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comments8.xml" ContentType="application/vnd.openxmlformats-officedocument.spreadsheetml.comments+xml"/>
  <Override PartName="/xl/drawings/drawing20.xml" ContentType="application/vnd.openxmlformats-officedocument.drawing+xml"/>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comments9.xml" ContentType="application/vnd.openxmlformats-officedocument.spreadsheetml.comments+xml"/>
  <Override PartName="/xl/comments10.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L:\ESDEIE\TRIMES\2025\FORMATOS\3TRIM\"/>
    </mc:Choice>
  </mc:AlternateContent>
  <xr:revisionPtr revIDLastSave="0" documentId="13_ncr:1_{AF1584A3-B236-4055-B838-FC7612D04493}" xr6:coauthVersionLast="47" xr6:coauthVersionMax="47" xr10:uidLastSave="{00000000-0000-0000-0000-000000000000}"/>
  <bookViews>
    <workbookView xWindow="-120" yWindow="-120" windowWidth="29040" windowHeight="15840" tabRatio="782" firstSheet="1" activeTab="1" xr2:uid="{00000000-000D-0000-FFFF-FFFF00000000}"/>
  </bookViews>
  <sheets>
    <sheet name="Indice" sheetId="47" r:id="rId1"/>
    <sheet name="DatosGenerales" sheetId="5" r:id="rId2"/>
    <sheet name="Aplicar" sheetId="16" state="hidden" r:id="rId3"/>
    <sheet name="Encargado" sheetId="45" state="hidden" r:id="rId4"/>
    <sheet name="Alertas" sheetId="57" r:id="rId5"/>
    <sheet name="Panorama A." sheetId="17" r:id="rId6"/>
    <sheet name="Panorama B." sheetId="54" r:id="rId7"/>
    <sheet name="Panorama B. anterior" sheetId="4" state="hidden" r:id="rId8"/>
    <sheet name="Panorama C." sheetId="11" r:id="rId9"/>
    <sheet name="Tabla I." sheetId="42" r:id="rId10"/>
    <sheet name="Tabla II." sheetId="9" r:id="rId11"/>
    <sheet name="Tabla III.1." sheetId="10" r:id="rId12"/>
    <sheet name="Tabla III.2." sheetId="38" r:id="rId13"/>
    <sheet name="Tabla III.3." sheetId="7" r:id="rId14"/>
    <sheet name="Tabla III.5." sheetId="12" r:id="rId15"/>
    <sheet name="Tabla III.4." sheetId="8" r:id="rId16"/>
    <sheet name="Tabla IV.1." sheetId="13" r:id="rId17"/>
    <sheet name="Tabla IV.2." sheetId="14" r:id="rId18"/>
    <sheet name="Tabla IV.3." sheetId="55" r:id="rId19"/>
    <sheet name="Base_Monet" sheetId="56" state="hidden" r:id="rId20"/>
    <sheet name="Tabla V." sheetId="22" r:id="rId21"/>
    <sheet name="Tabla VI." sheetId="6" r:id="rId22"/>
    <sheet name="Tabla VII.1." sheetId="25" r:id="rId23"/>
    <sheet name="CONTROL" sheetId="29" state="hidden" r:id="rId24"/>
    <sheet name="Tabla VII.2." sheetId="26" r:id="rId25"/>
    <sheet name="Base_Panor_A" sheetId="44" state="hidden" r:id="rId26"/>
    <sheet name="Base_EABP" sheetId="31" state="hidden" r:id="rId27"/>
    <sheet name="Cambios TRIMESTRAL" sheetId="50" state="hidden" r:id="rId28"/>
    <sheet name="Cambios Anual" sheetId="49" state="hidden" r:id="rId29"/>
    <sheet name="Menu" sheetId="28" state="hidden" r:id="rId30"/>
    <sheet name="TCambioSalida" sheetId="39" r:id="rId31"/>
    <sheet name="TCambio" sheetId="24" state="hidden" r:id="rId32"/>
    <sheet name="dolar" sheetId="51" state="hidden" r:id="rId33"/>
    <sheet name="yen" sheetId="52" state="hidden" r:id="rId34"/>
    <sheet name="euro" sheetId="53" state="hidden" r:id="rId35"/>
    <sheet name="Base_Servicios" sheetId="43" state="hidden" r:id="rId36"/>
    <sheet name="Base_ECID" sheetId="41" state="hidden" r:id="rId37"/>
    <sheet name="TPaises" sheetId="34" state="hidden" r:id="rId38"/>
    <sheet name="Ayuda" sheetId="46" state="hidden" r:id="rId39"/>
    <sheet name="VALIDACION_RUC" sheetId="15" state="hidden" r:id="rId40"/>
  </sheets>
  <externalReferences>
    <externalReference r:id="rId41"/>
    <externalReference r:id="rId42"/>
  </externalReferences>
  <definedNames>
    <definedName name="_xlnm._FilterDatabase" localSheetId="26" hidden="1">Base_EABP!$A$1:$L$1760</definedName>
    <definedName name="_xlnm._FilterDatabase" localSheetId="36" hidden="1">Base_ECID!$A$1:$M$241</definedName>
    <definedName name="_xlnm._FilterDatabase" localSheetId="19" hidden="1">Base_Monet!$A$1:$L$260</definedName>
    <definedName name="_xlnm._FilterDatabase" localSheetId="25" hidden="1">Base_Panor_A!$A$1:$K$61</definedName>
    <definedName name="_xlnm._FilterDatabase" localSheetId="35" hidden="1">Base_Servicios!$A$1:$G$59</definedName>
    <definedName name="_xlnm._FilterDatabase" localSheetId="3" hidden="1">Encargado!$A$1:$G$2040</definedName>
    <definedName name="_xlnm._FilterDatabase" localSheetId="29" hidden="1">Menu!$K$11:$L$165</definedName>
    <definedName name="ANUAL" localSheetId="4">[1]Menu!$C$3</definedName>
    <definedName name="ANUAL" localSheetId="18">[2]Menu!$C$3</definedName>
    <definedName name="ANUAL">Menu!$C$3</definedName>
    <definedName name="_xlnm.Print_Area" localSheetId="2">Aplicar!$B$2:$H$21</definedName>
    <definedName name="_xlnm.Print_Area" localSheetId="38">Ayuda!$B$3:$F$9</definedName>
    <definedName name="_xlnm.Print_Area" localSheetId="26">Base_EABP!$A$1:$L$1689</definedName>
    <definedName name="_xlnm.Print_Area" localSheetId="25">Base_Panor_A!$A$1:$K$11</definedName>
    <definedName name="_xlnm.Print_Area" localSheetId="1">DatosGenerales!$B$1:$L$41</definedName>
    <definedName name="_xlnm.Print_Area" localSheetId="0">Indice!$C$3:$D$47</definedName>
    <definedName name="_xlnm.Print_Area" localSheetId="5">'Panorama A.'!$E$6:$I$35,'Panorama A.'!$E$37:$I$66,'Panorama A.'!$E$69:$I$97</definedName>
    <definedName name="_xlnm.Print_Area" localSheetId="6">'Panorama B.'!$F$3:$K$46</definedName>
    <definedName name="_xlnm.Print_Area" localSheetId="7">'Panorama B. anterior'!$F$3:$I$17</definedName>
    <definedName name="_xlnm.Print_Area" localSheetId="8">'Panorama C.'!$F$3:$H$20</definedName>
    <definedName name="_xlnm.Print_Area" localSheetId="9">'Tabla I.'!$C$6:$G$70</definedName>
    <definedName name="_xlnm.Print_Area" localSheetId="10">'Tabla II.'!$F$8:$N$36,'Tabla II.'!$F$39:$N$75</definedName>
    <definedName name="_xlnm.Print_Area" localSheetId="11">'Tabla III.1.'!$F$8:$M$37,'Tabla III.1.'!$F$41:$M$63,'Tabla III.1.'!$F$65:$M$90</definedName>
    <definedName name="_xlnm.Print_Area" localSheetId="12">'Tabla III.2.'!$F$8:$M$29,'Tabla III.2.'!$F$33:$M$59</definedName>
    <definedName name="_xlnm.Print_Area" localSheetId="13">'Tabla III.3.'!$F$8:$S$29,'Tabla III.3.'!$F$33:$S$59</definedName>
    <definedName name="_xlnm.Print_Area" localSheetId="15">'Tabla III.4.'!$F$8:$S$29,'Tabla III.4.'!$F$33:$S$59</definedName>
    <definedName name="_xlnm.Print_Area" localSheetId="14">'Tabla III.5.'!$F$8:$M$28</definedName>
    <definedName name="_xlnm.Print_Area" localSheetId="16">'Tabla IV.1.'!$F$8:$H$30</definedName>
    <definedName name="_xlnm.Print_Area" localSheetId="17">'Tabla IV.2.'!$F$8:$M$44,'Tabla IV.2.'!$F$48:$M$86</definedName>
    <definedName name="_xlnm.Print_Area" localSheetId="18">'Tabla IV.3.'!$D$2:$E$21</definedName>
    <definedName name="_xlnm.Print_Area" localSheetId="20">'Tabla V.'!$F$3:$K$20</definedName>
    <definedName name="_xlnm.Print_Area" localSheetId="21">'Tabla VI.'!$F$8:$Q$36,'Tabla VI.'!$F$41:$Q$74</definedName>
    <definedName name="_xlnm.Print_Area" localSheetId="22">'Tabla VII.1.'!$G$9:$J$64,'Tabla VII.1.'!$G$68:$J$123</definedName>
    <definedName name="_xlnm.Print_Area" localSheetId="24">'Tabla VII.2.'!$G$9:$I$63,'Tabla VII.2.'!$G$67:$I$121</definedName>
    <definedName name="_xlnm.Print_Area" localSheetId="30">TCambioSalida!$D$2:$F$24</definedName>
    <definedName name="_xlnm.Print_Area" localSheetId="37">TPaises!$B$1:$G$245</definedName>
    <definedName name="ENCARGADO">Encargado!$B$1:$F$2040</definedName>
    <definedName name="Opciones" localSheetId="4">[1]Base_Servicios!$O$2:$O$4</definedName>
    <definedName name="Opciones" localSheetId="18">[2]Base_Servicios!$O$2:$O$4</definedName>
    <definedName name="Opciones">Base_Servicios!$O$2:$O$4</definedName>
    <definedName name="pais" localSheetId="4">[1]TPaises!$C$3:$C$245</definedName>
    <definedName name="pais" localSheetId="18">[2]TPaises!$C$3:$C$245</definedName>
    <definedName name="pais">TPaises!$C$3:$C$245</definedName>
    <definedName name="PERIODO" localSheetId="4">[1]Menu!$G$3</definedName>
    <definedName name="PERIODO" localSheetId="18">[2]Menu!$G$3</definedName>
    <definedName name="PERIODO">Menu!$G$3</definedName>
    <definedName name="RUC" localSheetId="4">[1]DatosGenerales!$D$11</definedName>
    <definedName name="RUC" localSheetId="18">[2]DatosGenerales!$D$11</definedName>
    <definedName name="RUC">DatosGenerales!$D$11</definedName>
    <definedName name="TABPAIS" localSheetId="4">[1]TPaises!$C$2:$D$246</definedName>
    <definedName name="TABPAIS" localSheetId="18">[2]TPaises!$C$2:$D$246</definedName>
    <definedName name="TABPAIS">TPaises!$C$2:$D$246</definedName>
    <definedName name="TC_DOLAR">TCambio!$B$3:$F$36</definedName>
    <definedName name="TC_Euro">TCambio!$H$3:$L$36</definedName>
    <definedName name="TC_Yen">TCambio!$N$3:$R$36</definedName>
    <definedName name="_xlnm.Print_Titles" localSheetId="26">Base_EABP!$1:$1</definedName>
    <definedName name="_xlnm.Print_Titles" localSheetId="25">Base_Panor_A!$1:$1</definedName>
    <definedName name="_xlnm.Print_Titles" localSheetId="5">'Panorama A.'!$2:$5</definedName>
    <definedName name="_xlnm.Print_Titles" localSheetId="9">'Tabla I.'!$2:$5</definedName>
    <definedName name="_xlnm.Print_Titles" localSheetId="10">'Tabla II.'!$3:$7</definedName>
    <definedName name="_xlnm.Print_Titles" localSheetId="11">'Tabla III.1.'!$3:$7</definedName>
    <definedName name="_xlnm.Print_Titles" localSheetId="12">'Tabla III.2.'!$3:$7</definedName>
    <definedName name="_xlnm.Print_Titles" localSheetId="13">'Tabla III.3.'!$3:$7</definedName>
    <definedName name="_xlnm.Print_Titles" localSheetId="15">'Tabla III.4.'!$3:$7</definedName>
    <definedName name="_xlnm.Print_Titles" localSheetId="14">'Tabla III.5.'!$3:$7</definedName>
    <definedName name="_xlnm.Print_Titles" localSheetId="16">'Tabla IV.1.'!$3:$7</definedName>
    <definedName name="_xlnm.Print_Titles" localSheetId="17">'Tabla IV.2.'!$3:$7</definedName>
    <definedName name="_xlnm.Print_Titles" localSheetId="18">'Tabla IV.3.'!$2:$4</definedName>
    <definedName name="_xlnm.Print_Titles" localSheetId="21">'Tabla VI.'!$3:$7</definedName>
    <definedName name="_xlnm.Print_Titles" localSheetId="22">'Tabla VII.1.'!$3:$8</definedName>
    <definedName name="_xlnm.Print_Titles" localSheetId="24">'Tabla VII.2.'!$3:$8</definedName>
    <definedName name="TRIM" localSheetId="4">[1]Menu!$D$3</definedName>
    <definedName name="TRIM" localSheetId="18">[2]Menu!$D$3</definedName>
    <definedName name="TRIM">Menu!$D$3</definedName>
    <definedName name="Z_1AADA64C_417E_444F_B61F_A816153A8D4B_.wvu.FilterData" localSheetId="3" hidden="1">Encargado!$A$1:$B$1</definedName>
    <definedName name="Z_2DE17DE9_FD0D_4300_AC64_E64340B3E2C2_.wvu.Cols" localSheetId="3" hidden="1">Encargado!#REF!,Encargado!#REF!,Encargado!#REF!,Encargado!#REF!,Encargado!#REF!,Encargado!#REF!</definedName>
    <definedName name="Z_2DE17DE9_FD0D_4300_AC64_E64340B3E2C2_.wvu.FilterData" localSheetId="3" hidden="1">Encargado!$A$1:$B$397</definedName>
    <definedName name="Z_2DE17DE9_FD0D_4300_AC64_E64340B3E2C2_.wvu.PrintArea" localSheetId="3" hidden="1">Encargado!$A$1:$B$1</definedName>
    <definedName name="Z_5799AB95_3308_44D1_968E_6A9EBB0EE9F2_.wvu.FilterData" localSheetId="3" hidden="1">Encargado!$A$1:$B$1</definedName>
    <definedName name="Z_AA351CC1_D80D_42D3_9AEB_A4E0111BE7B4_.wvu.FilterData" localSheetId="3" hidden="1">Encargado!$A$1:$B$1</definedName>
    <definedName name="Z_AA351CC1_D80D_42D3_9AEB_A4E0111BE7B4_.wvu.PrintArea" localSheetId="3" hidden="1">Encargado!$A$1:$B$1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9" i="52" l="1"/>
  <c r="B68" i="52"/>
  <c r="Q35" i="24" s="1"/>
  <c r="B69" i="51"/>
  <c r="B68" i="51"/>
  <c r="P35" i="24"/>
  <c r="J35" i="24"/>
  <c r="D35" i="24"/>
  <c r="B69" i="53"/>
  <c r="L35" i="24" s="1"/>
  <c r="B68" i="53"/>
  <c r="K35" i="24" s="1"/>
  <c r="R35" i="24"/>
  <c r="F35" i="24"/>
  <c r="E35" i="24"/>
  <c r="I12" i="54"/>
  <c r="I11" i="54" s="1"/>
  <c r="H12" i="54"/>
  <c r="I21" i="54"/>
  <c r="K38" i="54"/>
  <c r="L38" i="54"/>
  <c r="K30" i="54"/>
  <c r="L30" i="54"/>
  <c r="L21" i="54"/>
  <c r="L12" i="54"/>
  <c r="K21" i="54"/>
  <c r="K12" i="54"/>
  <c r="K11" i="54" s="1"/>
  <c r="I38" i="54"/>
  <c r="I29" i="54" s="1"/>
  <c r="H38" i="54"/>
  <c r="H30" i="54"/>
  <c r="H21" i="54"/>
  <c r="H109" i="25" l="1"/>
  <c r="H97" i="25"/>
  <c r="H85" i="25"/>
  <c r="H73" i="25"/>
  <c r="H50" i="25"/>
  <c r="H14" i="26"/>
  <c r="H26" i="26"/>
  <c r="D72" i="57" l="1"/>
  <c r="D71" i="57"/>
  <c r="D70" i="57"/>
  <c r="D69" i="57"/>
  <c r="D65" i="57"/>
  <c r="D64" i="57"/>
  <c r="D63" i="57"/>
  <c r="D62" i="57"/>
  <c r="D60" i="57"/>
  <c r="G11" i="42" l="1"/>
  <c r="G19" i="9" l="1"/>
  <c r="D259" i="56"/>
  <c r="B3" i="56"/>
  <c r="B4" i="56"/>
  <c r="B5" i="56"/>
  <c r="B6" i="56"/>
  <c r="B7" i="56"/>
  <c r="B8" i="56"/>
  <c r="B9" i="56"/>
  <c r="B10" i="56"/>
  <c r="B11" i="56"/>
  <c r="B12" i="56"/>
  <c r="B13" i="56"/>
  <c r="B14" i="56"/>
  <c r="B15" i="56"/>
  <c r="B16" i="56"/>
  <c r="B17" i="56"/>
  <c r="B18" i="56"/>
  <c r="B19" i="56"/>
  <c r="B20" i="56"/>
  <c r="B21" i="56"/>
  <c r="B22" i="56"/>
  <c r="B23" i="56"/>
  <c r="B24" i="56"/>
  <c r="B25" i="56"/>
  <c r="B26" i="56"/>
  <c r="B27" i="56"/>
  <c r="B28" i="56"/>
  <c r="B29" i="56"/>
  <c r="B30" i="56"/>
  <c r="B31" i="56"/>
  <c r="B32" i="56"/>
  <c r="B33" i="56"/>
  <c r="B34" i="56"/>
  <c r="B35" i="56"/>
  <c r="B36" i="56"/>
  <c r="B37" i="56"/>
  <c r="B38" i="56"/>
  <c r="B39" i="56"/>
  <c r="B40" i="56"/>
  <c r="B41" i="56"/>
  <c r="B42" i="56"/>
  <c r="B43" i="56"/>
  <c r="B44" i="56"/>
  <c r="B45" i="56"/>
  <c r="B46" i="56"/>
  <c r="B47" i="56"/>
  <c r="B48" i="56"/>
  <c r="B49" i="56"/>
  <c r="B50" i="56"/>
  <c r="B51" i="56"/>
  <c r="B52" i="56"/>
  <c r="B53" i="56"/>
  <c r="B54" i="56"/>
  <c r="B55" i="56"/>
  <c r="B56" i="56"/>
  <c r="B57" i="56"/>
  <c r="B58" i="56"/>
  <c r="B59" i="56"/>
  <c r="B60" i="56"/>
  <c r="B61" i="56"/>
  <c r="B62" i="56"/>
  <c r="B63" i="56"/>
  <c r="B64" i="56"/>
  <c r="B65" i="56"/>
  <c r="B66" i="56"/>
  <c r="B67" i="56"/>
  <c r="B68" i="56"/>
  <c r="B69" i="56"/>
  <c r="B70" i="56"/>
  <c r="B71" i="56"/>
  <c r="B72" i="56"/>
  <c r="B73" i="56"/>
  <c r="B74" i="56"/>
  <c r="B75" i="56"/>
  <c r="B76" i="56"/>
  <c r="B77" i="56"/>
  <c r="B78" i="56"/>
  <c r="B79" i="56"/>
  <c r="B80" i="56"/>
  <c r="B81" i="56"/>
  <c r="B82" i="56"/>
  <c r="B83" i="56"/>
  <c r="B84" i="56"/>
  <c r="B85" i="56"/>
  <c r="B86" i="56"/>
  <c r="B87" i="56"/>
  <c r="B88" i="56"/>
  <c r="B89" i="56"/>
  <c r="B90" i="56"/>
  <c r="B91" i="56"/>
  <c r="B92" i="56"/>
  <c r="B93" i="56"/>
  <c r="B94" i="56"/>
  <c r="B95" i="56"/>
  <c r="B96" i="56"/>
  <c r="B97" i="56"/>
  <c r="B98" i="56"/>
  <c r="B99" i="56"/>
  <c r="B100" i="56"/>
  <c r="B101" i="56"/>
  <c r="B102" i="56"/>
  <c r="B103" i="56"/>
  <c r="B104" i="56"/>
  <c r="B105" i="56"/>
  <c r="B106" i="56"/>
  <c r="B107" i="56"/>
  <c r="B108" i="56"/>
  <c r="B109" i="56"/>
  <c r="B110" i="56"/>
  <c r="B111" i="56"/>
  <c r="B112" i="56"/>
  <c r="B113" i="56"/>
  <c r="B114" i="56"/>
  <c r="B115" i="56"/>
  <c r="B116" i="56"/>
  <c r="B117" i="56"/>
  <c r="B118" i="56"/>
  <c r="B119" i="56"/>
  <c r="B120" i="56"/>
  <c r="B121" i="56"/>
  <c r="B122" i="56"/>
  <c r="B123" i="56"/>
  <c r="B124" i="56"/>
  <c r="B125" i="56"/>
  <c r="B126" i="56"/>
  <c r="B127" i="56"/>
  <c r="B128" i="56"/>
  <c r="B129" i="56"/>
  <c r="B130" i="56"/>
  <c r="B131" i="56"/>
  <c r="B132" i="56"/>
  <c r="B133" i="56"/>
  <c r="B134" i="56"/>
  <c r="B135" i="56"/>
  <c r="B136" i="56"/>
  <c r="B137" i="56"/>
  <c r="B138" i="56"/>
  <c r="B139" i="56"/>
  <c r="B140" i="56"/>
  <c r="B141" i="56"/>
  <c r="B142" i="56"/>
  <c r="B143" i="56"/>
  <c r="B144" i="56"/>
  <c r="B145" i="56"/>
  <c r="B146" i="56"/>
  <c r="B147" i="56"/>
  <c r="B148" i="56"/>
  <c r="B149" i="56"/>
  <c r="B150" i="56"/>
  <c r="B151" i="56"/>
  <c r="B152" i="56"/>
  <c r="B153" i="56"/>
  <c r="B154" i="56"/>
  <c r="B155" i="56"/>
  <c r="B156" i="56"/>
  <c r="B157" i="56"/>
  <c r="B158" i="56"/>
  <c r="B159" i="56"/>
  <c r="B160" i="56"/>
  <c r="B161" i="56"/>
  <c r="B162" i="56"/>
  <c r="B163" i="56"/>
  <c r="B164" i="56"/>
  <c r="B165" i="56"/>
  <c r="B166" i="56"/>
  <c r="B167" i="56"/>
  <c r="B168" i="56"/>
  <c r="B169" i="56"/>
  <c r="B170" i="56"/>
  <c r="B171" i="56"/>
  <c r="B172" i="56"/>
  <c r="B173" i="56"/>
  <c r="B174" i="56"/>
  <c r="B175" i="56"/>
  <c r="B176" i="56"/>
  <c r="B177" i="56"/>
  <c r="B178" i="56"/>
  <c r="B179" i="56"/>
  <c r="B180" i="56"/>
  <c r="B181" i="56"/>
  <c r="B182" i="56"/>
  <c r="B183" i="56"/>
  <c r="B184" i="56"/>
  <c r="B185" i="56"/>
  <c r="B186" i="56"/>
  <c r="B187" i="56"/>
  <c r="B188" i="56"/>
  <c r="B189" i="56"/>
  <c r="B190" i="56"/>
  <c r="B191" i="56"/>
  <c r="B192" i="56"/>
  <c r="B193" i="56"/>
  <c r="B194" i="56"/>
  <c r="B195" i="56"/>
  <c r="B196" i="56"/>
  <c r="B197" i="56"/>
  <c r="B198" i="56"/>
  <c r="B199" i="56"/>
  <c r="B200" i="56"/>
  <c r="B201" i="56"/>
  <c r="B202" i="56"/>
  <c r="B203" i="56"/>
  <c r="B204" i="56"/>
  <c r="B205" i="56"/>
  <c r="B206" i="56"/>
  <c r="B207" i="56"/>
  <c r="B208" i="56"/>
  <c r="B209" i="56"/>
  <c r="B210" i="56"/>
  <c r="B211" i="56"/>
  <c r="B212" i="56"/>
  <c r="B213" i="56"/>
  <c r="B214" i="56"/>
  <c r="B215" i="56"/>
  <c r="B216" i="56"/>
  <c r="B217" i="56"/>
  <c r="B218" i="56"/>
  <c r="B219" i="56"/>
  <c r="B220" i="56"/>
  <c r="B221" i="56"/>
  <c r="B222" i="56"/>
  <c r="B223" i="56"/>
  <c r="B224" i="56"/>
  <c r="B225" i="56"/>
  <c r="B226" i="56"/>
  <c r="B227" i="56"/>
  <c r="B228" i="56"/>
  <c r="B229" i="56"/>
  <c r="B230" i="56"/>
  <c r="B231" i="56"/>
  <c r="B232" i="56"/>
  <c r="B233" i="56"/>
  <c r="B234" i="56"/>
  <c r="B235" i="56"/>
  <c r="B236" i="56"/>
  <c r="B237" i="56"/>
  <c r="B238" i="56"/>
  <c r="B239" i="56"/>
  <c r="B240" i="56"/>
  <c r="B241" i="56"/>
  <c r="B242" i="56"/>
  <c r="B243" i="56"/>
  <c r="B244" i="56"/>
  <c r="B245" i="56"/>
  <c r="B246" i="56"/>
  <c r="B247" i="56"/>
  <c r="B248" i="56"/>
  <c r="B249" i="56"/>
  <c r="B250" i="56"/>
  <c r="B251" i="56"/>
  <c r="B252" i="56"/>
  <c r="B253" i="56"/>
  <c r="B254" i="56"/>
  <c r="B255" i="56"/>
  <c r="B256" i="56"/>
  <c r="B257" i="56"/>
  <c r="B258" i="56"/>
  <c r="B259" i="56"/>
  <c r="B260" i="56"/>
  <c r="B2" i="56"/>
  <c r="F218" i="56"/>
  <c r="F219" i="56"/>
  <c r="F220" i="56"/>
  <c r="F221" i="56"/>
  <c r="G165" i="56"/>
  <c r="G171" i="56" s="1"/>
  <c r="G177" i="56" s="1"/>
  <c r="G183" i="56" s="1"/>
  <c r="G189" i="56" s="1"/>
  <c r="G195" i="56" s="1"/>
  <c r="G201" i="56" s="1"/>
  <c r="G207" i="56" s="1"/>
  <c r="G213" i="56" s="1"/>
  <c r="G166" i="56"/>
  <c r="G172" i="56" s="1"/>
  <c r="G178" i="56" s="1"/>
  <c r="G184" i="56" s="1"/>
  <c r="G190" i="56" s="1"/>
  <c r="G196" i="56" s="1"/>
  <c r="G202" i="56" s="1"/>
  <c r="G208" i="56" s="1"/>
  <c r="G214" i="56" s="1"/>
  <c r="G167" i="56"/>
  <c r="G173" i="56" s="1"/>
  <c r="G179" i="56" s="1"/>
  <c r="G185" i="56" s="1"/>
  <c r="G191" i="56" s="1"/>
  <c r="G197" i="56" s="1"/>
  <c r="G203" i="56" s="1"/>
  <c r="G209" i="56" s="1"/>
  <c r="G215" i="56" s="1"/>
  <c r="G168" i="56"/>
  <c r="G174" i="56" s="1"/>
  <c r="G180" i="56" s="1"/>
  <c r="G186" i="56" s="1"/>
  <c r="G192" i="56" s="1"/>
  <c r="G198" i="56" s="1"/>
  <c r="G204" i="56" s="1"/>
  <c r="G210" i="56" s="1"/>
  <c r="G216" i="56" s="1"/>
  <c r="G169" i="56"/>
  <c r="G175" i="56" s="1"/>
  <c r="G181" i="56" s="1"/>
  <c r="G187" i="56" s="1"/>
  <c r="G193" i="56" s="1"/>
  <c r="G199" i="56" s="1"/>
  <c r="G205" i="56" s="1"/>
  <c r="G211" i="56" s="1"/>
  <c r="G217" i="56" s="1"/>
  <c r="G164" i="56"/>
  <c r="G170" i="56" s="1"/>
  <c r="G176" i="56" s="1"/>
  <c r="G182" i="56" s="1"/>
  <c r="G188" i="56" s="1"/>
  <c r="G194" i="56" s="1"/>
  <c r="G200" i="56" s="1"/>
  <c r="G206" i="56" s="1"/>
  <c r="G212" i="56" s="1"/>
  <c r="E221" i="56"/>
  <c r="E220" i="56"/>
  <c r="E219" i="56"/>
  <c r="E218" i="56"/>
  <c r="E168" i="56"/>
  <c r="E169" i="56"/>
  <c r="E170" i="56"/>
  <c r="E171" i="56"/>
  <c r="E172" i="56"/>
  <c r="E173" i="56"/>
  <c r="E174" i="56"/>
  <c r="E175" i="56"/>
  <c r="E176" i="56"/>
  <c r="E177" i="56"/>
  <c r="E178" i="56"/>
  <c r="E179" i="56"/>
  <c r="E180" i="56"/>
  <c r="E181" i="56"/>
  <c r="E182" i="56"/>
  <c r="E183" i="56"/>
  <c r="E184" i="56"/>
  <c r="E185" i="56"/>
  <c r="E186" i="56"/>
  <c r="E187" i="56"/>
  <c r="E188" i="56"/>
  <c r="E189" i="56"/>
  <c r="E190" i="56"/>
  <c r="E191" i="56"/>
  <c r="E192" i="56"/>
  <c r="E193" i="56"/>
  <c r="E194" i="56"/>
  <c r="E195" i="56"/>
  <c r="E196" i="56"/>
  <c r="E197" i="56"/>
  <c r="E198" i="56"/>
  <c r="E199" i="56"/>
  <c r="E200" i="56"/>
  <c r="E201" i="56"/>
  <c r="E202" i="56"/>
  <c r="E203" i="56"/>
  <c r="E204" i="56"/>
  <c r="E205" i="56"/>
  <c r="E206" i="56"/>
  <c r="E207" i="56"/>
  <c r="E208" i="56"/>
  <c r="E209" i="56"/>
  <c r="E210" i="56"/>
  <c r="E211" i="56"/>
  <c r="E212" i="56"/>
  <c r="E213" i="56"/>
  <c r="E214" i="56"/>
  <c r="E215" i="56"/>
  <c r="E216" i="56"/>
  <c r="E217" i="56"/>
  <c r="D30" i="54"/>
  <c r="P27" i="24" l="1"/>
  <c r="J27" i="24"/>
  <c r="D27" i="24"/>
  <c r="D26" i="24"/>
  <c r="D77" i="57"/>
  <c r="D32" i="57"/>
  <c r="D81" i="57"/>
  <c r="D80" i="57"/>
  <c r="D79" i="57"/>
  <c r="D57" i="57"/>
  <c r="D38" i="57"/>
  <c r="D37" i="57"/>
  <c r="D36" i="57"/>
  <c r="D35" i="57"/>
  <c r="D24" i="57"/>
  <c r="D23" i="57"/>
  <c r="D18" i="57"/>
  <c r="D22" i="57" l="1"/>
  <c r="E260" i="56" l="1"/>
  <c r="E259" i="56"/>
  <c r="E258" i="56"/>
  <c r="I259" i="56"/>
  <c r="I260" i="56" s="1"/>
  <c r="E257" i="56"/>
  <c r="E256" i="56"/>
  <c r="E255" i="56"/>
  <c r="I256" i="56"/>
  <c r="I257" i="56" s="1"/>
  <c r="E254" i="56"/>
  <c r="E253" i="56"/>
  <c r="E252" i="56"/>
  <c r="I253" i="56"/>
  <c r="I254" i="56" s="1"/>
  <c r="E251" i="56"/>
  <c r="E250" i="56"/>
  <c r="E249" i="56"/>
  <c r="I250" i="56"/>
  <c r="I251" i="56" s="1"/>
  <c r="E248" i="56"/>
  <c r="E247" i="56"/>
  <c r="E246" i="56"/>
  <c r="I247" i="56"/>
  <c r="I248" i="56" s="1"/>
  <c r="E245" i="56"/>
  <c r="E244" i="56"/>
  <c r="E243" i="56"/>
  <c r="I244" i="56"/>
  <c r="I245" i="56" s="1"/>
  <c r="F240" i="56"/>
  <c r="F241" i="56"/>
  <c r="E242" i="56"/>
  <c r="E241" i="56"/>
  <c r="E240" i="56"/>
  <c r="I241" i="56"/>
  <c r="I242" i="56" s="1"/>
  <c r="F237" i="56"/>
  <c r="F238" i="56"/>
  <c r="E239" i="56"/>
  <c r="E238" i="56"/>
  <c r="E237" i="56"/>
  <c r="I238" i="56"/>
  <c r="I239" i="56" s="1"/>
  <c r="F234" i="56"/>
  <c r="F235" i="56"/>
  <c r="E236" i="56"/>
  <c r="E235" i="56"/>
  <c r="E234" i="56"/>
  <c r="I235" i="56"/>
  <c r="I236" i="56" s="1"/>
  <c r="F231" i="56"/>
  <c r="F232" i="56"/>
  <c r="E233" i="56"/>
  <c r="E232" i="56"/>
  <c r="E231" i="56"/>
  <c r="I232" i="56"/>
  <c r="I233" i="56" s="1"/>
  <c r="F228" i="56"/>
  <c r="F229" i="56"/>
  <c r="H225" i="56"/>
  <c r="H226" i="56" s="1"/>
  <c r="H227" i="56" s="1"/>
  <c r="H223" i="56"/>
  <c r="H224" i="56" s="1"/>
  <c r="L225" i="56"/>
  <c r="L228" i="56" s="1"/>
  <c r="L231" i="56" s="1"/>
  <c r="L234" i="56" s="1"/>
  <c r="L237" i="56" s="1"/>
  <c r="L240" i="56" s="1"/>
  <c r="L243" i="56" s="1"/>
  <c r="L246" i="56" s="1"/>
  <c r="L249" i="56" s="1"/>
  <c r="L252" i="56" s="1"/>
  <c r="L255" i="56" s="1"/>
  <c r="L258" i="56" s="1"/>
  <c r="E230" i="56"/>
  <c r="E229" i="56"/>
  <c r="E228" i="56"/>
  <c r="I229" i="56"/>
  <c r="I230" i="56" s="1"/>
  <c r="E227" i="56"/>
  <c r="E226" i="56"/>
  <c r="E225" i="56"/>
  <c r="I226" i="56"/>
  <c r="I227" i="56" s="1"/>
  <c r="F247" i="56"/>
  <c r="I223" i="56"/>
  <c r="I224" i="56" s="1"/>
  <c r="E224" i="56"/>
  <c r="E223" i="56"/>
  <c r="E222" i="56"/>
  <c r="D222" i="56"/>
  <c r="D223" i="56" s="1"/>
  <c r="D224" i="56" s="1"/>
  <c r="D225" i="56"/>
  <c r="D226" i="56" s="1"/>
  <c r="D227" i="56" s="1"/>
  <c r="D228" i="56"/>
  <c r="D229" i="56" s="1"/>
  <c r="D230" i="56" s="1"/>
  <c r="D231" i="56"/>
  <c r="D232" i="56" s="1"/>
  <c r="D233" i="56" s="1"/>
  <c r="D234" i="56"/>
  <c r="D235" i="56" s="1"/>
  <c r="D236" i="56" s="1"/>
  <c r="D237" i="56"/>
  <c r="D238" i="56" s="1"/>
  <c r="D239" i="56" s="1"/>
  <c r="D240" i="56"/>
  <c r="D241" i="56" s="1"/>
  <c r="D242" i="56" s="1"/>
  <c r="D243" i="56"/>
  <c r="D244" i="56" s="1"/>
  <c r="D245" i="56" s="1"/>
  <c r="D246" i="56"/>
  <c r="D247" i="56" s="1"/>
  <c r="D248" i="56" s="1"/>
  <c r="D249" i="56"/>
  <c r="D250" i="56" s="1"/>
  <c r="D251" i="56" s="1"/>
  <c r="D252" i="56"/>
  <c r="D253" i="56" s="1"/>
  <c r="D254" i="56" s="1"/>
  <c r="D255" i="56"/>
  <c r="D256" i="56" s="1"/>
  <c r="D257" i="56" s="1"/>
  <c r="D258" i="56"/>
  <c r="D260" i="56" s="1"/>
  <c r="B2" i="55"/>
  <c r="D35" i="47" s="1"/>
  <c r="F21" i="56"/>
  <c r="E167" i="56"/>
  <c r="E166" i="56"/>
  <c r="E165" i="56"/>
  <c r="E164" i="56"/>
  <c r="E163" i="56"/>
  <c r="E162" i="56"/>
  <c r="E161" i="56"/>
  <c r="E160" i="56"/>
  <c r="E159" i="56"/>
  <c r="E158" i="56"/>
  <c r="E157" i="56"/>
  <c r="E156" i="56"/>
  <c r="E155" i="56"/>
  <c r="E154" i="56"/>
  <c r="E153" i="56"/>
  <c r="E152" i="56"/>
  <c r="E146" i="56"/>
  <c r="E151" i="56"/>
  <c r="E150" i="56"/>
  <c r="E149" i="56"/>
  <c r="E148" i="56"/>
  <c r="E147" i="56"/>
  <c r="E145" i="56"/>
  <c r="E144" i="56"/>
  <c r="E143" i="56"/>
  <c r="E142" i="56"/>
  <c r="E141" i="56"/>
  <c r="E140" i="56"/>
  <c r="E139" i="56"/>
  <c r="E138" i="56"/>
  <c r="E137" i="56"/>
  <c r="E136" i="56"/>
  <c r="E135" i="56"/>
  <c r="E134" i="56"/>
  <c r="E133" i="56"/>
  <c r="E132" i="56"/>
  <c r="E131" i="56"/>
  <c r="E130" i="56"/>
  <c r="E129" i="56"/>
  <c r="E128" i="56"/>
  <c r="E127" i="56"/>
  <c r="E126" i="56"/>
  <c r="E125" i="56"/>
  <c r="E124" i="56"/>
  <c r="E123" i="56"/>
  <c r="E122" i="56"/>
  <c r="E121" i="56"/>
  <c r="E120" i="56"/>
  <c r="E119" i="56"/>
  <c r="E118" i="56"/>
  <c r="E117" i="56"/>
  <c r="E116" i="56"/>
  <c r="E115" i="56"/>
  <c r="E114" i="56"/>
  <c r="E113" i="56"/>
  <c r="E112" i="56"/>
  <c r="E111" i="56"/>
  <c r="E110" i="56"/>
  <c r="E109" i="56"/>
  <c r="E108" i="56"/>
  <c r="E107" i="56"/>
  <c r="E106" i="56"/>
  <c r="E105" i="56"/>
  <c r="E104" i="56"/>
  <c r="E103" i="56"/>
  <c r="E102" i="56"/>
  <c r="E101" i="56"/>
  <c r="E100" i="56"/>
  <c r="E99" i="56"/>
  <c r="E98" i="56"/>
  <c r="E97" i="56"/>
  <c r="E96" i="56"/>
  <c r="E95" i="56"/>
  <c r="E94" i="56"/>
  <c r="E93" i="56"/>
  <c r="E92" i="56"/>
  <c r="E91" i="56"/>
  <c r="E90" i="56"/>
  <c r="E89" i="56"/>
  <c r="E88" i="56"/>
  <c r="E87" i="56"/>
  <c r="E86" i="56"/>
  <c r="E85" i="56"/>
  <c r="E84" i="56"/>
  <c r="E83" i="56"/>
  <c r="E82" i="56"/>
  <c r="E81" i="56"/>
  <c r="E80" i="56"/>
  <c r="E79" i="56"/>
  <c r="E78" i="56"/>
  <c r="E77" i="56"/>
  <c r="E76" i="56"/>
  <c r="E75" i="56"/>
  <c r="E74" i="56"/>
  <c r="E73" i="56"/>
  <c r="E72" i="56"/>
  <c r="E71" i="56"/>
  <c r="E70" i="56"/>
  <c r="E69" i="56"/>
  <c r="E68" i="56"/>
  <c r="E67" i="56"/>
  <c r="E66" i="56"/>
  <c r="E65" i="56"/>
  <c r="E64" i="56"/>
  <c r="E63" i="56"/>
  <c r="E62" i="56"/>
  <c r="E61" i="56"/>
  <c r="E60" i="56"/>
  <c r="E59" i="56"/>
  <c r="E58" i="56"/>
  <c r="E57" i="56"/>
  <c r="E56" i="56"/>
  <c r="E55" i="56"/>
  <c r="E54" i="56"/>
  <c r="E53" i="56"/>
  <c r="E52" i="56"/>
  <c r="E51" i="56"/>
  <c r="E50" i="56"/>
  <c r="E49" i="56"/>
  <c r="E48" i="56"/>
  <c r="E47" i="56"/>
  <c r="E46" i="56"/>
  <c r="E45" i="56"/>
  <c r="E44" i="56"/>
  <c r="L8" i="56"/>
  <c r="L14" i="56" s="1"/>
  <c r="L20" i="56" s="1"/>
  <c r="L26" i="56" s="1"/>
  <c r="L32" i="56" s="1"/>
  <c r="L38" i="56" s="1"/>
  <c r="L44" i="56" s="1"/>
  <c r="L50" i="56" s="1"/>
  <c r="L56" i="56" s="1"/>
  <c r="L62" i="56" s="1"/>
  <c r="L68" i="56" s="1"/>
  <c r="L74" i="56" s="1"/>
  <c r="L80" i="56" s="1"/>
  <c r="L86" i="56" s="1"/>
  <c r="L92" i="56" s="1"/>
  <c r="L98" i="56" s="1"/>
  <c r="L104" i="56" s="1"/>
  <c r="L110" i="56" s="1"/>
  <c r="L116" i="56" s="1"/>
  <c r="L122" i="56" s="1"/>
  <c r="L128" i="56" s="1"/>
  <c r="L134" i="56" s="1"/>
  <c r="L140" i="56" s="1"/>
  <c r="L146" i="56" s="1"/>
  <c r="L152" i="56" s="1"/>
  <c r="L158" i="56" s="1"/>
  <c r="L164" i="56" s="1"/>
  <c r="L170" i="56" s="1"/>
  <c r="L176" i="56" s="1"/>
  <c r="L182" i="56" s="1"/>
  <c r="L188" i="56" s="1"/>
  <c r="L194" i="56" s="1"/>
  <c r="L200" i="56" s="1"/>
  <c r="L206" i="56" s="1"/>
  <c r="L212" i="56" s="1"/>
  <c r="L218" i="56" s="1"/>
  <c r="L220" i="56" s="1"/>
  <c r="E43" i="56"/>
  <c r="E42" i="56"/>
  <c r="E41" i="56"/>
  <c r="E40" i="56"/>
  <c r="E39" i="56"/>
  <c r="E38" i="56"/>
  <c r="E37" i="56"/>
  <c r="E36" i="56"/>
  <c r="E35" i="56"/>
  <c r="E34" i="56"/>
  <c r="E33" i="56"/>
  <c r="E32" i="56"/>
  <c r="E31" i="56"/>
  <c r="E30" i="56"/>
  <c r="E29" i="56"/>
  <c r="E28" i="56"/>
  <c r="E27" i="56"/>
  <c r="E26" i="56"/>
  <c r="E25" i="56"/>
  <c r="E24" i="56"/>
  <c r="E23" i="56"/>
  <c r="E22" i="56"/>
  <c r="E21" i="56"/>
  <c r="E20" i="56"/>
  <c r="F246" i="56" l="1"/>
  <c r="J222" i="56"/>
  <c r="J223" i="56" s="1"/>
  <c r="J224" i="56" s="1"/>
  <c r="J225" i="56" s="1"/>
  <c r="J226" i="56" s="1"/>
  <c r="J227" i="56" s="1"/>
  <c r="J228" i="56" s="1"/>
  <c r="J229" i="56" s="1"/>
  <c r="J230" i="56" s="1"/>
  <c r="J231" i="56" s="1"/>
  <c r="J232" i="56" s="1"/>
  <c r="J233" i="56" s="1"/>
  <c r="J234" i="56" s="1"/>
  <c r="J235" i="56" s="1"/>
  <c r="J236" i="56" s="1"/>
  <c r="J237" i="56" s="1"/>
  <c r="J238" i="56" s="1"/>
  <c r="J239" i="56" s="1"/>
  <c r="J240" i="56" s="1"/>
  <c r="J241" i="56" s="1"/>
  <c r="J242" i="56" s="1"/>
  <c r="J243" i="56" s="1"/>
  <c r="J244" i="56" s="1"/>
  <c r="J245" i="56" s="1"/>
  <c r="J246" i="56" s="1"/>
  <c r="J247" i="56" s="1"/>
  <c r="J248" i="56" s="1"/>
  <c r="J249" i="56" s="1"/>
  <c r="J250" i="56" s="1"/>
  <c r="J251" i="56" s="1"/>
  <c r="J252" i="56" s="1"/>
  <c r="J253" i="56" s="1"/>
  <c r="J254" i="56" s="1"/>
  <c r="J255" i="56" s="1"/>
  <c r="J256" i="56" s="1"/>
  <c r="J257" i="56" s="1"/>
  <c r="J258" i="56" s="1"/>
  <c r="J259" i="56" s="1"/>
  <c r="J260" i="56" s="1"/>
  <c r="H228" i="56"/>
  <c r="H229" i="56" s="1"/>
  <c r="H230" i="56" s="1"/>
  <c r="F20" i="56"/>
  <c r="F26" i="56"/>
  <c r="F27" i="56"/>
  <c r="F32" i="56"/>
  <c r="H231" i="56" l="1"/>
  <c r="F23" i="56"/>
  <c r="F24" i="56"/>
  <c r="F33" i="56"/>
  <c r="F38" i="56"/>
  <c r="I8" i="56"/>
  <c r="I14" i="56" s="1"/>
  <c r="I20" i="56" s="1"/>
  <c r="I26" i="56" s="1"/>
  <c r="I32" i="56" s="1"/>
  <c r="I38" i="56" s="1"/>
  <c r="I44" i="56" s="1"/>
  <c r="I50" i="56" s="1"/>
  <c r="I56" i="56" s="1"/>
  <c r="I62" i="56" s="1"/>
  <c r="I68" i="56" s="1"/>
  <c r="I74" i="56" s="1"/>
  <c r="I80" i="56" s="1"/>
  <c r="I86" i="56" s="1"/>
  <c r="I92" i="56" s="1"/>
  <c r="I98" i="56" s="1"/>
  <c r="I104" i="56" s="1"/>
  <c r="I110" i="56" s="1"/>
  <c r="I116" i="56" s="1"/>
  <c r="I122" i="56" s="1"/>
  <c r="I128" i="56" s="1"/>
  <c r="I134" i="56" s="1"/>
  <c r="I140" i="56" s="1"/>
  <c r="I146" i="56" s="1"/>
  <c r="I152" i="56" s="1"/>
  <c r="I158" i="56" s="1"/>
  <c r="I164" i="56" s="1"/>
  <c r="I170" i="56" s="1"/>
  <c r="I176" i="56" s="1"/>
  <c r="I182" i="56" s="1"/>
  <c r="I188" i="56" s="1"/>
  <c r="I194" i="56" s="1"/>
  <c r="I200" i="56" s="1"/>
  <c r="I206" i="56" s="1"/>
  <c r="I212" i="56" s="1"/>
  <c r="F14" i="56"/>
  <c r="F15" i="56"/>
  <c r="F17" i="56"/>
  <c r="F18" i="56"/>
  <c r="E19" i="56"/>
  <c r="E18" i="56"/>
  <c r="E17" i="56"/>
  <c r="E16" i="56"/>
  <c r="E15" i="56"/>
  <c r="E14" i="56"/>
  <c r="H8" i="56"/>
  <c r="H14" i="56" s="1"/>
  <c r="E13" i="56"/>
  <c r="E12" i="56"/>
  <c r="E11" i="56"/>
  <c r="E10" i="56"/>
  <c r="E9" i="56"/>
  <c r="E8" i="56"/>
  <c r="H3" i="56"/>
  <c r="H4" i="56" s="1"/>
  <c r="H5" i="56" s="1"/>
  <c r="H6" i="56" s="1"/>
  <c r="H7" i="56" s="1"/>
  <c r="I3" i="56"/>
  <c r="I9" i="56" s="1"/>
  <c r="I15" i="56" s="1"/>
  <c r="I21" i="56" s="1"/>
  <c r="I27" i="56" s="1"/>
  <c r="I33" i="56" s="1"/>
  <c r="I39" i="56" s="1"/>
  <c r="I45" i="56" s="1"/>
  <c r="I51" i="56" s="1"/>
  <c r="I57" i="56" s="1"/>
  <c r="I63" i="56" s="1"/>
  <c r="I69" i="56" s="1"/>
  <c r="I75" i="56" s="1"/>
  <c r="I81" i="56" s="1"/>
  <c r="I87" i="56" s="1"/>
  <c r="I93" i="56" s="1"/>
  <c r="I99" i="56" s="1"/>
  <c r="I105" i="56" s="1"/>
  <c r="I111" i="56" s="1"/>
  <c r="I117" i="56" s="1"/>
  <c r="I123" i="56" s="1"/>
  <c r="I129" i="56" s="1"/>
  <c r="I135" i="56" s="1"/>
  <c r="I141" i="56" s="1"/>
  <c r="I147" i="56" s="1"/>
  <c r="I153" i="56" s="1"/>
  <c r="I159" i="56" s="1"/>
  <c r="I165" i="56" s="1"/>
  <c r="I171" i="56" s="1"/>
  <c r="I177" i="56" s="1"/>
  <c r="I183" i="56" s="1"/>
  <c r="I189" i="56" s="1"/>
  <c r="I195" i="56" s="1"/>
  <c r="I201" i="56" s="1"/>
  <c r="I207" i="56" s="1"/>
  <c r="I213" i="56" s="1"/>
  <c r="E3" i="56"/>
  <c r="E4" i="56"/>
  <c r="E5" i="56"/>
  <c r="E6" i="56"/>
  <c r="E7" i="56"/>
  <c r="E2" i="56"/>
  <c r="D31" i="54"/>
  <c r="D21" i="54"/>
  <c r="D12" i="54"/>
  <c r="H12" i="55"/>
  <c r="H11" i="55"/>
  <c r="F230" i="56" s="1"/>
  <c r="F51" i="54"/>
  <c r="F50" i="54"/>
  <c r="F11" i="54"/>
  <c r="D2" i="56" s="1"/>
  <c r="D3" i="56" s="1"/>
  <c r="D4" i="56" s="1"/>
  <c r="D5" i="56" s="1"/>
  <c r="D6" i="56" s="1"/>
  <c r="D7" i="56" s="1"/>
  <c r="F233" i="56" l="1"/>
  <c r="H232" i="56"/>
  <c r="H233" i="56" s="1"/>
  <c r="H234" i="56"/>
  <c r="H17" i="55"/>
  <c r="F248" i="56" s="1"/>
  <c r="H13" i="55"/>
  <c r="F236" i="56" s="1"/>
  <c r="F30" i="56"/>
  <c r="F29" i="56"/>
  <c r="F44" i="56"/>
  <c r="F39" i="56"/>
  <c r="H15" i="56"/>
  <c r="H16" i="56" s="1"/>
  <c r="H17" i="56" s="1"/>
  <c r="H18" i="56" s="1"/>
  <c r="H19" i="56" s="1"/>
  <c r="H20" i="56"/>
  <c r="I4" i="56"/>
  <c r="I5" i="56" s="1"/>
  <c r="I6" i="56" s="1"/>
  <c r="I7" i="56" s="1"/>
  <c r="I13" i="56" s="1"/>
  <c r="I19" i="56" s="1"/>
  <c r="I25" i="56" s="1"/>
  <c r="I31" i="56" s="1"/>
  <c r="I37" i="56" s="1"/>
  <c r="I43" i="56" s="1"/>
  <c r="I49" i="56" s="1"/>
  <c r="I55" i="56" s="1"/>
  <c r="I61" i="56" s="1"/>
  <c r="I67" i="56" s="1"/>
  <c r="I73" i="56" s="1"/>
  <c r="I79" i="56" s="1"/>
  <c r="I85" i="56" s="1"/>
  <c r="I91" i="56" s="1"/>
  <c r="I97" i="56" s="1"/>
  <c r="I103" i="56" s="1"/>
  <c r="I109" i="56" s="1"/>
  <c r="I115" i="56" s="1"/>
  <c r="I121" i="56" s="1"/>
  <c r="I127" i="56" s="1"/>
  <c r="I133" i="56" s="1"/>
  <c r="I139" i="56" s="1"/>
  <c r="I145" i="56" s="1"/>
  <c r="I151" i="56" s="1"/>
  <c r="I157" i="56" s="1"/>
  <c r="I163" i="56" s="1"/>
  <c r="I169" i="56" s="1"/>
  <c r="I175" i="56" s="1"/>
  <c r="I181" i="56" s="1"/>
  <c r="I187" i="56" s="1"/>
  <c r="I193" i="56" s="1"/>
  <c r="I199" i="56" s="1"/>
  <c r="I205" i="56" s="1"/>
  <c r="I211" i="56" s="1"/>
  <c r="I217" i="56" s="1"/>
  <c r="H9" i="56"/>
  <c r="H10" i="56" s="1"/>
  <c r="H11" i="56" s="1"/>
  <c r="H12" i="56" s="1"/>
  <c r="H13" i="56" s="1"/>
  <c r="F250" i="56" l="1"/>
  <c r="F249" i="56"/>
  <c r="H235" i="56"/>
  <c r="H236" i="56" s="1"/>
  <c r="H237" i="56"/>
  <c r="H14" i="55"/>
  <c r="F239" i="56" s="1"/>
  <c r="F35" i="56"/>
  <c r="F36" i="56"/>
  <c r="F45" i="56"/>
  <c r="F50" i="56"/>
  <c r="I10" i="56"/>
  <c r="I16" i="56" s="1"/>
  <c r="I22" i="56" s="1"/>
  <c r="I28" i="56" s="1"/>
  <c r="I34" i="56" s="1"/>
  <c r="I40" i="56" s="1"/>
  <c r="I46" i="56" s="1"/>
  <c r="I52" i="56" s="1"/>
  <c r="I58" i="56" s="1"/>
  <c r="I64" i="56" s="1"/>
  <c r="I70" i="56" s="1"/>
  <c r="I76" i="56" s="1"/>
  <c r="I82" i="56" s="1"/>
  <c r="I88" i="56" s="1"/>
  <c r="I94" i="56" s="1"/>
  <c r="I100" i="56" s="1"/>
  <c r="I106" i="56" s="1"/>
  <c r="I112" i="56" s="1"/>
  <c r="I118" i="56" s="1"/>
  <c r="I124" i="56" s="1"/>
  <c r="I130" i="56" s="1"/>
  <c r="I136" i="56" s="1"/>
  <c r="I142" i="56" s="1"/>
  <c r="I148" i="56" s="1"/>
  <c r="I154" i="56" s="1"/>
  <c r="I160" i="56" s="1"/>
  <c r="I166" i="56" s="1"/>
  <c r="I172" i="56" s="1"/>
  <c r="I178" i="56" s="1"/>
  <c r="I184" i="56" s="1"/>
  <c r="I190" i="56" s="1"/>
  <c r="I196" i="56" s="1"/>
  <c r="I202" i="56" s="1"/>
  <c r="I208" i="56" s="1"/>
  <c r="I214" i="56" s="1"/>
  <c r="I11" i="56"/>
  <c r="I17" i="56" s="1"/>
  <c r="I23" i="56" s="1"/>
  <c r="I29" i="56" s="1"/>
  <c r="I35" i="56" s="1"/>
  <c r="I41" i="56" s="1"/>
  <c r="I47" i="56" s="1"/>
  <c r="I53" i="56" s="1"/>
  <c r="I59" i="56" s="1"/>
  <c r="I65" i="56" s="1"/>
  <c r="I71" i="56" s="1"/>
  <c r="I77" i="56" s="1"/>
  <c r="I83" i="56" s="1"/>
  <c r="I89" i="56" s="1"/>
  <c r="I95" i="56" s="1"/>
  <c r="I101" i="56" s="1"/>
  <c r="I107" i="56" s="1"/>
  <c r="I113" i="56" s="1"/>
  <c r="I119" i="56" s="1"/>
  <c r="I125" i="56" s="1"/>
  <c r="I131" i="56" s="1"/>
  <c r="I137" i="56" s="1"/>
  <c r="I143" i="56" s="1"/>
  <c r="I149" i="56" s="1"/>
  <c r="I155" i="56" s="1"/>
  <c r="I161" i="56" s="1"/>
  <c r="I167" i="56" s="1"/>
  <c r="I173" i="56" s="1"/>
  <c r="I179" i="56" s="1"/>
  <c r="I185" i="56" s="1"/>
  <c r="I191" i="56" s="1"/>
  <c r="I197" i="56" s="1"/>
  <c r="I203" i="56" s="1"/>
  <c r="I209" i="56" s="1"/>
  <c r="I215" i="56" s="1"/>
  <c r="H21" i="56"/>
  <c r="H22" i="56" s="1"/>
  <c r="H23" i="56" s="1"/>
  <c r="H24" i="56" s="1"/>
  <c r="H25" i="56" s="1"/>
  <c r="H26" i="56"/>
  <c r="I12" i="56"/>
  <c r="I18" i="56" s="1"/>
  <c r="I24" i="56" s="1"/>
  <c r="I30" i="56" s="1"/>
  <c r="I36" i="56" s="1"/>
  <c r="I42" i="56" s="1"/>
  <c r="I48" i="56" s="1"/>
  <c r="I54" i="56" s="1"/>
  <c r="I60" i="56" s="1"/>
  <c r="I66" i="56" s="1"/>
  <c r="I72" i="56" s="1"/>
  <c r="I78" i="56" s="1"/>
  <c r="I84" i="56" s="1"/>
  <c r="I90" i="56" s="1"/>
  <c r="I96" i="56" s="1"/>
  <c r="I102" i="56" s="1"/>
  <c r="I108" i="56" s="1"/>
  <c r="I114" i="56" s="1"/>
  <c r="I120" i="56" s="1"/>
  <c r="I126" i="56" s="1"/>
  <c r="I132" i="56" s="1"/>
  <c r="I138" i="56" s="1"/>
  <c r="I144" i="56" s="1"/>
  <c r="I150" i="56" s="1"/>
  <c r="I156" i="56" s="1"/>
  <c r="I162" i="56" s="1"/>
  <c r="I168" i="56" s="1"/>
  <c r="I174" i="56" s="1"/>
  <c r="I180" i="56" s="1"/>
  <c r="I186" i="56" s="1"/>
  <c r="I192" i="56" s="1"/>
  <c r="I198" i="56" s="1"/>
  <c r="I204" i="56" s="1"/>
  <c r="I210" i="56" s="1"/>
  <c r="I216" i="56" s="1"/>
  <c r="H238" i="56" l="1"/>
  <c r="H239" i="56" s="1"/>
  <c r="H240" i="56"/>
  <c r="F10" i="55"/>
  <c r="G10" i="55"/>
  <c r="F226" i="56" s="1"/>
  <c r="F42" i="56"/>
  <c r="F41" i="56"/>
  <c r="F51" i="56"/>
  <c r="F56" i="56"/>
  <c r="H27" i="56"/>
  <c r="H28" i="56" s="1"/>
  <c r="H29" i="56" s="1"/>
  <c r="H30" i="56" s="1"/>
  <c r="H31" i="56" s="1"/>
  <c r="H32" i="56"/>
  <c r="C7" i="54"/>
  <c r="C6" i="54"/>
  <c r="F4" i="54" l="1"/>
  <c r="D13" i="47"/>
  <c r="F225" i="56"/>
  <c r="H10" i="55"/>
  <c r="J2" i="56"/>
  <c r="J3" i="56" s="1"/>
  <c r="J4" i="56" s="1"/>
  <c r="J5" i="56" s="1"/>
  <c r="J6" i="56" s="1"/>
  <c r="J7" i="56" s="1"/>
  <c r="J8" i="56" s="1"/>
  <c r="J9" i="56" s="1"/>
  <c r="J10" i="56" s="1"/>
  <c r="J11" i="56" s="1"/>
  <c r="J12" i="56" s="1"/>
  <c r="J13" i="56" s="1"/>
  <c r="J14" i="56" s="1"/>
  <c r="J15" i="56" s="1"/>
  <c r="J16" i="56" s="1"/>
  <c r="J17" i="56" s="1"/>
  <c r="J18" i="56" s="1"/>
  <c r="J19" i="56" s="1"/>
  <c r="J20" i="56" s="1"/>
  <c r="J21" i="56" s="1"/>
  <c r="J22" i="56" s="1"/>
  <c r="J23" i="56" s="1"/>
  <c r="J24" i="56" s="1"/>
  <c r="J25" i="56" s="1"/>
  <c r="J26" i="56" s="1"/>
  <c r="J27" i="56" s="1"/>
  <c r="J28" i="56" s="1"/>
  <c r="J29" i="56" s="1"/>
  <c r="J30" i="56" s="1"/>
  <c r="J31" i="56" s="1"/>
  <c r="J32" i="56" s="1"/>
  <c r="J33" i="56" s="1"/>
  <c r="J34" i="56" s="1"/>
  <c r="J35" i="56" s="1"/>
  <c r="J36" i="56" s="1"/>
  <c r="J37" i="56" s="1"/>
  <c r="J38" i="56" s="1"/>
  <c r="J39" i="56" s="1"/>
  <c r="J40" i="56" s="1"/>
  <c r="J41" i="56" s="1"/>
  <c r="J42" i="56" s="1"/>
  <c r="J43" i="56" s="1"/>
  <c r="J44" i="56" s="1"/>
  <c r="J45" i="56" s="1"/>
  <c r="J46" i="56" s="1"/>
  <c r="J47" i="56" s="1"/>
  <c r="J48" i="56" s="1"/>
  <c r="J49" i="56" s="1"/>
  <c r="J50" i="56" s="1"/>
  <c r="J51" i="56" s="1"/>
  <c r="J52" i="56" s="1"/>
  <c r="J53" i="56" s="1"/>
  <c r="J54" i="56" s="1"/>
  <c r="J55" i="56" s="1"/>
  <c r="J56" i="56" s="1"/>
  <c r="J57" i="56" s="1"/>
  <c r="J58" i="56" s="1"/>
  <c r="J59" i="56" s="1"/>
  <c r="J60" i="56" s="1"/>
  <c r="J61" i="56" s="1"/>
  <c r="J62" i="56" s="1"/>
  <c r="J63" i="56" s="1"/>
  <c r="J64" i="56" s="1"/>
  <c r="J65" i="56" s="1"/>
  <c r="J66" i="56" s="1"/>
  <c r="J67" i="56" s="1"/>
  <c r="J68" i="56" s="1"/>
  <c r="J69" i="56" s="1"/>
  <c r="J70" i="56" s="1"/>
  <c r="J71" i="56" s="1"/>
  <c r="J72" i="56" s="1"/>
  <c r="J73" i="56" s="1"/>
  <c r="J74" i="56" s="1"/>
  <c r="J75" i="56" s="1"/>
  <c r="J76" i="56" s="1"/>
  <c r="J77" i="56" s="1"/>
  <c r="J78" i="56" s="1"/>
  <c r="J79" i="56" s="1"/>
  <c r="J80" i="56" s="1"/>
  <c r="J81" i="56" s="1"/>
  <c r="J82" i="56" s="1"/>
  <c r="J83" i="56" s="1"/>
  <c r="J84" i="56" s="1"/>
  <c r="J85" i="56" s="1"/>
  <c r="J86" i="56" s="1"/>
  <c r="J87" i="56" s="1"/>
  <c r="J88" i="56" s="1"/>
  <c r="J89" i="56" s="1"/>
  <c r="J90" i="56" s="1"/>
  <c r="J91" i="56" s="1"/>
  <c r="J92" i="56" s="1"/>
  <c r="J93" i="56" s="1"/>
  <c r="J94" i="56" s="1"/>
  <c r="J95" i="56" s="1"/>
  <c r="J96" i="56" s="1"/>
  <c r="J97" i="56" s="1"/>
  <c r="J98" i="56" s="1"/>
  <c r="J99" i="56" s="1"/>
  <c r="J100" i="56" s="1"/>
  <c r="J101" i="56" s="1"/>
  <c r="J102" i="56" s="1"/>
  <c r="J103" i="56" s="1"/>
  <c r="J104" i="56" s="1"/>
  <c r="J105" i="56" s="1"/>
  <c r="J106" i="56" s="1"/>
  <c r="J107" i="56" s="1"/>
  <c r="J108" i="56" s="1"/>
  <c r="J109" i="56" s="1"/>
  <c r="J110" i="56" s="1"/>
  <c r="J111" i="56" s="1"/>
  <c r="J112" i="56" s="1"/>
  <c r="J113" i="56" s="1"/>
  <c r="J114" i="56" s="1"/>
  <c r="J115" i="56" s="1"/>
  <c r="J116" i="56" s="1"/>
  <c r="J117" i="56" s="1"/>
  <c r="J118" i="56" s="1"/>
  <c r="J119" i="56" s="1"/>
  <c r="J120" i="56" s="1"/>
  <c r="J121" i="56" s="1"/>
  <c r="J122" i="56" s="1"/>
  <c r="J123" i="56" s="1"/>
  <c r="J124" i="56" s="1"/>
  <c r="J125" i="56" s="1"/>
  <c r="J126" i="56" s="1"/>
  <c r="J127" i="56" s="1"/>
  <c r="J128" i="56" s="1"/>
  <c r="J129" i="56" s="1"/>
  <c r="J130" i="56" s="1"/>
  <c r="J131" i="56" s="1"/>
  <c r="J132" i="56" s="1"/>
  <c r="J133" i="56" s="1"/>
  <c r="J134" i="56" s="1"/>
  <c r="J135" i="56" s="1"/>
  <c r="J136" i="56" s="1"/>
  <c r="J137" i="56" s="1"/>
  <c r="J138" i="56" s="1"/>
  <c r="J139" i="56" s="1"/>
  <c r="J140" i="56" s="1"/>
  <c r="J141" i="56" s="1"/>
  <c r="J142" i="56" s="1"/>
  <c r="J143" i="56" s="1"/>
  <c r="J144" i="56" s="1"/>
  <c r="J145" i="56" s="1"/>
  <c r="J146" i="56" s="1"/>
  <c r="J147" i="56" s="1"/>
  <c r="J148" i="56" s="1"/>
  <c r="J149" i="56" s="1"/>
  <c r="J150" i="56" s="1"/>
  <c r="J151" i="56" s="1"/>
  <c r="J152" i="56" s="1"/>
  <c r="J153" i="56" s="1"/>
  <c r="J154" i="56" s="1"/>
  <c r="J155" i="56" s="1"/>
  <c r="J156" i="56" s="1"/>
  <c r="J157" i="56" s="1"/>
  <c r="J158" i="56" s="1"/>
  <c r="J159" i="56" s="1"/>
  <c r="J160" i="56" s="1"/>
  <c r="J161" i="56" s="1"/>
  <c r="J162" i="56" s="1"/>
  <c r="J163" i="56" s="1"/>
  <c r="J164" i="56" s="1"/>
  <c r="J165" i="56" s="1"/>
  <c r="J166" i="56" s="1"/>
  <c r="J167" i="56" s="1"/>
  <c r="J168" i="56" s="1"/>
  <c r="J169" i="56" s="1"/>
  <c r="J170" i="56" s="1"/>
  <c r="J171" i="56" s="1"/>
  <c r="J172" i="56" s="1"/>
  <c r="J173" i="56" s="1"/>
  <c r="J174" i="56" s="1"/>
  <c r="J175" i="56" s="1"/>
  <c r="J176" i="56" s="1"/>
  <c r="J177" i="56" s="1"/>
  <c r="J178" i="56" s="1"/>
  <c r="J179" i="56" s="1"/>
  <c r="J180" i="56" s="1"/>
  <c r="J181" i="56" s="1"/>
  <c r="J182" i="56" s="1"/>
  <c r="J183" i="56" s="1"/>
  <c r="J184" i="56" s="1"/>
  <c r="J185" i="56" s="1"/>
  <c r="J186" i="56" s="1"/>
  <c r="J187" i="56" s="1"/>
  <c r="J188" i="56" s="1"/>
  <c r="J189" i="56" s="1"/>
  <c r="J190" i="56" s="1"/>
  <c r="J191" i="56" s="1"/>
  <c r="J192" i="56" s="1"/>
  <c r="J193" i="56" s="1"/>
  <c r="J194" i="56" s="1"/>
  <c r="J195" i="56" s="1"/>
  <c r="J196" i="56" s="1"/>
  <c r="J197" i="56" s="1"/>
  <c r="J198" i="56" s="1"/>
  <c r="J199" i="56" s="1"/>
  <c r="J200" i="56" s="1"/>
  <c r="J201" i="56" s="1"/>
  <c r="J202" i="56" s="1"/>
  <c r="J203" i="56" s="1"/>
  <c r="J204" i="56" s="1"/>
  <c r="J205" i="56" s="1"/>
  <c r="J206" i="56" s="1"/>
  <c r="J207" i="56" s="1"/>
  <c r="J208" i="56" s="1"/>
  <c r="J209" i="56" s="1"/>
  <c r="J210" i="56" s="1"/>
  <c r="J211" i="56" s="1"/>
  <c r="J212" i="56" s="1"/>
  <c r="J213" i="56" s="1"/>
  <c r="J214" i="56" s="1"/>
  <c r="J215" i="56" s="1"/>
  <c r="J216" i="56" s="1"/>
  <c r="J217" i="56" s="1"/>
  <c r="J218" i="56" s="1"/>
  <c r="J219" i="56" s="1"/>
  <c r="J220" i="56" s="1"/>
  <c r="J221" i="56" s="1"/>
  <c r="H241" i="56"/>
  <c r="H242" i="56" s="1"/>
  <c r="H243" i="56"/>
  <c r="H15" i="55"/>
  <c r="F47" i="56"/>
  <c r="F48" i="56"/>
  <c r="F8" i="56"/>
  <c r="F57" i="56"/>
  <c r="H33" i="56"/>
  <c r="H34" i="56" s="1"/>
  <c r="H35" i="56" s="1"/>
  <c r="H36" i="56" s="1"/>
  <c r="H37" i="56" s="1"/>
  <c r="H38" i="56"/>
  <c r="F12" i="54"/>
  <c r="D8" i="56" s="1"/>
  <c r="D9" i="56" s="1"/>
  <c r="D10" i="56" s="1"/>
  <c r="D11" i="56" s="1"/>
  <c r="D12" i="56" s="1"/>
  <c r="D13" i="56" s="1"/>
  <c r="P26" i="24"/>
  <c r="J26" i="24"/>
  <c r="P25" i="24"/>
  <c r="J25" i="24"/>
  <c r="D25" i="24"/>
  <c r="P24" i="24"/>
  <c r="J24" i="24"/>
  <c r="D24" i="24"/>
  <c r="P23" i="24"/>
  <c r="J23" i="24"/>
  <c r="D23" i="24"/>
  <c r="P22" i="24"/>
  <c r="J22" i="24"/>
  <c r="D22" i="24"/>
  <c r="P21" i="24"/>
  <c r="J21" i="24"/>
  <c r="D21" i="24"/>
  <c r="H11" i="4" l="1"/>
  <c r="F227" i="56"/>
  <c r="F242" i="56"/>
  <c r="H244" i="56"/>
  <c r="H245" i="56" s="1"/>
  <c r="H246" i="56"/>
  <c r="F54" i="56"/>
  <c r="F53" i="56"/>
  <c r="F9" i="56"/>
  <c r="H39" i="56"/>
  <c r="H40" i="56" s="1"/>
  <c r="H41" i="56" s="1"/>
  <c r="H42" i="56" s="1"/>
  <c r="H43" i="56" s="1"/>
  <c r="H44" i="56"/>
  <c r="F13" i="54"/>
  <c r="D14" i="56" s="1"/>
  <c r="D15" i="56" s="1"/>
  <c r="D16" i="56" s="1"/>
  <c r="D17" i="56" s="1"/>
  <c r="D18" i="56" s="1"/>
  <c r="D19" i="56" s="1"/>
  <c r="F20" i="54"/>
  <c r="D56" i="56" s="1"/>
  <c r="D57" i="56" s="1"/>
  <c r="D58" i="56" s="1"/>
  <c r="D59" i="56" s="1"/>
  <c r="D60" i="56" s="1"/>
  <c r="D61" i="56" s="1"/>
  <c r="F15" i="54"/>
  <c r="D26" i="56" s="1"/>
  <c r="D27" i="56" s="1"/>
  <c r="D28" i="56" s="1"/>
  <c r="D29" i="56" s="1"/>
  <c r="D30" i="56" s="1"/>
  <c r="D31" i="56" s="1"/>
  <c r="F14" i="54"/>
  <c r="D20" i="56" s="1"/>
  <c r="D21" i="56" s="1"/>
  <c r="D22" i="56" s="1"/>
  <c r="D23" i="56" s="1"/>
  <c r="D24" i="56" s="1"/>
  <c r="D25" i="56" s="1"/>
  <c r="F17" i="54"/>
  <c r="D38" i="56" s="1"/>
  <c r="D39" i="56" s="1"/>
  <c r="D40" i="56" s="1"/>
  <c r="D41" i="56" s="1"/>
  <c r="D42" i="56" s="1"/>
  <c r="D43" i="56" s="1"/>
  <c r="F16" i="54"/>
  <c r="D32" i="56" s="1"/>
  <c r="D33" i="56" s="1"/>
  <c r="D34" i="56" s="1"/>
  <c r="D35" i="56" s="1"/>
  <c r="D36" i="56" s="1"/>
  <c r="D37" i="56" s="1"/>
  <c r="F18" i="54"/>
  <c r="D44" i="56" s="1"/>
  <c r="D45" i="56" s="1"/>
  <c r="D46" i="56" s="1"/>
  <c r="D47" i="56" s="1"/>
  <c r="D48" i="56" s="1"/>
  <c r="D49" i="56" s="1"/>
  <c r="F19" i="54"/>
  <c r="D50" i="56" s="1"/>
  <c r="D51" i="56" s="1"/>
  <c r="D52" i="56" s="1"/>
  <c r="D53" i="56" s="1"/>
  <c r="D54" i="56" s="1"/>
  <c r="D55" i="56" s="1"/>
  <c r="P20" i="24"/>
  <c r="J20" i="24"/>
  <c r="D20" i="24"/>
  <c r="O21" i="6"/>
  <c r="O20" i="6"/>
  <c r="O19" i="6"/>
  <c r="O18" i="6"/>
  <c r="O17" i="6"/>
  <c r="P19" i="24"/>
  <c r="J19" i="24"/>
  <c r="D19" i="24"/>
  <c r="P18" i="24"/>
  <c r="J18" i="24"/>
  <c r="D18" i="24"/>
  <c r="H247" i="56" l="1"/>
  <c r="H248" i="56" s="1"/>
  <c r="H249" i="56"/>
  <c r="F59" i="56"/>
  <c r="F60" i="56"/>
  <c r="H45" i="56"/>
  <c r="H46" i="56" s="1"/>
  <c r="H47" i="56" s="1"/>
  <c r="H48" i="56" s="1"/>
  <c r="H49" i="56" s="1"/>
  <c r="H50" i="56"/>
  <c r="P17" i="24"/>
  <c r="J17" i="24"/>
  <c r="D17" i="24"/>
  <c r="I11" i="4" l="1"/>
  <c r="H250" i="56"/>
  <c r="H251" i="56" s="1"/>
  <c r="H252" i="56"/>
  <c r="F12" i="56"/>
  <c r="F11" i="56"/>
  <c r="H51" i="56"/>
  <c r="H52" i="56" s="1"/>
  <c r="H53" i="56" s="1"/>
  <c r="H54" i="56" s="1"/>
  <c r="H55" i="56" s="1"/>
  <c r="H56" i="56"/>
  <c r="F21" i="54"/>
  <c r="D62" i="56" s="1"/>
  <c r="D63" i="56" s="1"/>
  <c r="D64" i="56" s="1"/>
  <c r="D65" i="56" s="1"/>
  <c r="D66" i="56" s="1"/>
  <c r="D67" i="56" s="1"/>
  <c r="E14" i="24"/>
  <c r="H253" i="56" l="1"/>
  <c r="H254" i="56" s="1"/>
  <c r="H255" i="56"/>
  <c r="H57" i="56"/>
  <c r="H58" i="56" s="1"/>
  <c r="H59" i="56" s="1"/>
  <c r="H60" i="56" s="1"/>
  <c r="H61" i="56" s="1"/>
  <c r="H62" i="56"/>
  <c r="F27" i="54"/>
  <c r="D98" i="56" s="1"/>
  <c r="D99" i="56" s="1"/>
  <c r="D100" i="56" s="1"/>
  <c r="D101" i="56" s="1"/>
  <c r="D102" i="56" s="1"/>
  <c r="D103" i="56" s="1"/>
  <c r="F26" i="54"/>
  <c r="D92" i="56" s="1"/>
  <c r="D93" i="56" s="1"/>
  <c r="D94" i="56" s="1"/>
  <c r="D95" i="56" s="1"/>
  <c r="D96" i="56" s="1"/>
  <c r="D97" i="56" s="1"/>
  <c r="F28" i="54"/>
  <c r="D104" i="56" s="1"/>
  <c r="D105" i="56" s="1"/>
  <c r="D106" i="56" s="1"/>
  <c r="D107" i="56" s="1"/>
  <c r="D108" i="56" s="1"/>
  <c r="D109" i="56" s="1"/>
  <c r="F25" i="54"/>
  <c r="D86" i="56" s="1"/>
  <c r="D87" i="56" s="1"/>
  <c r="D88" i="56" s="1"/>
  <c r="D89" i="56" s="1"/>
  <c r="D90" i="56" s="1"/>
  <c r="D91" i="56" s="1"/>
  <c r="F23" i="54"/>
  <c r="D74" i="56" s="1"/>
  <c r="D75" i="56" s="1"/>
  <c r="D76" i="56" s="1"/>
  <c r="D77" i="56" s="1"/>
  <c r="D78" i="56" s="1"/>
  <c r="D79" i="56" s="1"/>
  <c r="F24" i="54"/>
  <c r="D80" i="56" s="1"/>
  <c r="D81" i="56" s="1"/>
  <c r="D82" i="56" s="1"/>
  <c r="D83" i="56" s="1"/>
  <c r="D84" i="56" s="1"/>
  <c r="D85" i="56" s="1"/>
  <c r="F22" i="54"/>
  <c r="D68" i="56" s="1"/>
  <c r="D69" i="56" s="1"/>
  <c r="D70" i="56" s="1"/>
  <c r="D71" i="56" s="1"/>
  <c r="D72" i="56" s="1"/>
  <c r="D73" i="56" s="1"/>
  <c r="F29" i="54"/>
  <c r="L13" i="24"/>
  <c r="R13" i="24"/>
  <c r="F13" i="24"/>
  <c r="J16" i="24"/>
  <c r="J15" i="24"/>
  <c r="J14" i="24"/>
  <c r="J13" i="24"/>
  <c r="P16" i="24"/>
  <c r="P15" i="24"/>
  <c r="P14" i="24"/>
  <c r="P13" i="24"/>
  <c r="D16" i="24"/>
  <c r="D15" i="24"/>
  <c r="D14" i="24"/>
  <c r="D13" i="24"/>
  <c r="H256" i="56" l="1"/>
  <c r="H257" i="56" s="1"/>
  <c r="H258" i="56"/>
  <c r="H259" i="56" s="1"/>
  <c r="H260" i="56" s="1"/>
  <c r="H63" i="56"/>
  <c r="H64" i="56" s="1"/>
  <c r="H65" i="56" s="1"/>
  <c r="H66" i="56" s="1"/>
  <c r="H67" i="56" s="1"/>
  <c r="H68" i="56"/>
  <c r="G29" i="42"/>
  <c r="F29" i="42"/>
  <c r="F25" i="42"/>
  <c r="G42" i="42"/>
  <c r="F42" i="42"/>
  <c r="F48" i="42"/>
  <c r="G54" i="42"/>
  <c r="F54" i="42"/>
  <c r="G51" i="42"/>
  <c r="F51" i="42"/>
  <c r="G48" i="42"/>
  <c r="G47" i="42" s="1"/>
  <c r="G25" i="42"/>
  <c r="H69" i="56" l="1"/>
  <c r="H70" i="56" s="1"/>
  <c r="H71" i="56" s="1"/>
  <c r="H72" i="56" s="1"/>
  <c r="H73" i="56" s="1"/>
  <c r="H74" i="56"/>
  <c r="F46" i="54"/>
  <c r="F47" i="42"/>
  <c r="G24" i="42"/>
  <c r="F24" i="42"/>
  <c r="D61" i="44"/>
  <c r="D60" i="44"/>
  <c r="D59" i="44"/>
  <c r="D58" i="44"/>
  <c r="D57" i="44"/>
  <c r="D56" i="44"/>
  <c r="D55" i="44"/>
  <c r="D54" i="44"/>
  <c r="D53" i="44"/>
  <c r="D52" i="44"/>
  <c r="D51" i="44"/>
  <c r="D50" i="44"/>
  <c r="D49" i="44"/>
  <c r="D48" i="44"/>
  <c r="D47" i="44"/>
  <c r="D46" i="44"/>
  <c r="D45" i="44"/>
  <c r="D44" i="44"/>
  <c r="D43" i="44"/>
  <c r="D42" i="44"/>
  <c r="D41" i="44"/>
  <c r="D40" i="44"/>
  <c r="D39" i="44"/>
  <c r="D38" i="44"/>
  <c r="D37" i="44"/>
  <c r="D36" i="44"/>
  <c r="D35" i="44"/>
  <c r="D34" i="44"/>
  <c r="D33" i="44"/>
  <c r="D32" i="44"/>
  <c r="D31" i="44"/>
  <c r="D30" i="44"/>
  <c r="D29" i="44"/>
  <c r="D28" i="44"/>
  <c r="D27" i="44"/>
  <c r="D26" i="44"/>
  <c r="D25" i="44"/>
  <c r="D24" i="44"/>
  <c r="D23" i="44"/>
  <c r="D22" i="44"/>
  <c r="D21" i="44"/>
  <c r="D20" i="44"/>
  <c r="D19" i="44"/>
  <c r="D18" i="44"/>
  <c r="D17" i="44"/>
  <c r="D16" i="44"/>
  <c r="D15" i="44"/>
  <c r="D14" i="44"/>
  <c r="D13" i="44"/>
  <c r="D12" i="44"/>
  <c r="D11" i="44"/>
  <c r="D10" i="44"/>
  <c r="D9" i="44"/>
  <c r="D8" i="44"/>
  <c r="D7" i="44"/>
  <c r="D6" i="44"/>
  <c r="D5" i="44"/>
  <c r="D4" i="44"/>
  <c r="D3" i="44"/>
  <c r="D2" i="44"/>
  <c r="H75" i="56" l="1"/>
  <c r="H76" i="56" s="1"/>
  <c r="H77" i="56" s="1"/>
  <c r="H78" i="56" s="1"/>
  <c r="H79" i="56" s="1"/>
  <c r="H80" i="56"/>
  <c r="L11" i="24"/>
  <c r="H81" i="56" l="1"/>
  <c r="H82" i="56" s="1"/>
  <c r="H83" i="56" s="1"/>
  <c r="H84" i="56" s="1"/>
  <c r="H85" i="56" s="1"/>
  <c r="H86" i="56"/>
  <c r="K71" i="14"/>
  <c r="K51" i="14"/>
  <c r="L36" i="14"/>
  <c r="L10" i="14"/>
  <c r="L23" i="14"/>
  <c r="E4" i="28"/>
  <c r="G19" i="13"/>
  <c r="G12" i="13"/>
  <c r="H10" i="13"/>
  <c r="H7" i="11"/>
  <c r="G22" i="13" l="1"/>
  <c r="K49" i="54"/>
  <c r="H87" i="56"/>
  <c r="H88" i="56" s="1"/>
  <c r="H89" i="56" s="1"/>
  <c r="H90" i="56" s="1"/>
  <c r="H91" i="56" s="1"/>
  <c r="H92" i="56"/>
  <c r="H10" i="14"/>
  <c r="H23" i="14"/>
  <c r="J10" i="14"/>
  <c r="H36" i="14"/>
  <c r="H8" i="11"/>
  <c r="G1713" i="31"/>
  <c r="C1713" i="31" s="1"/>
  <c r="E1713" i="31"/>
  <c r="G1711" i="31"/>
  <c r="B1711" i="31" s="1"/>
  <c r="E1711" i="31"/>
  <c r="H93" i="56" l="1"/>
  <c r="H94" i="56" s="1"/>
  <c r="H95" i="56" s="1"/>
  <c r="H96" i="56" s="1"/>
  <c r="H97" i="56" s="1"/>
  <c r="H98" i="56"/>
  <c r="C1711" i="31"/>
  <c r="H10" i="11"/>
  <c r="H99" i="56" l="1"/>
  <c r="H100" i="56" s="1"/>
  <c r="H101" i="56" s="1"/>
  <c r="H102" i="56" s="1"/>
  <c r="H103" i="56" s="1"/>
  <c r="H104" i="56"/>
  <c r="G53" i="6"/>
  <c r="G52" i="6"/>
  <c r="G48" i="6"/>
  <c r="Q56" i="6"/>
  <c r="H56" i="6"/>
  <c r="H105" i="56" l="1"/>
  <c r="H106" i="56" s="1"/>
  <c r="H107" i="56" s="1"/>
  <c r="H108" i="56" s="1"/>
  <c r="H109" i="56" s="1"/>
  <c r="H110" i="56"/>
  <c r="B1760" i="31"/>
  <c r="B1759" i="31"/>
  <c r="B1758" i="31"/>
  <c r="B1757" i="31"/>
  <c r="B1756" i="31"/>
  <c r="B1755" i="31"/>
  <c r="B1754" i="31"/>
  <c r="B1753" i="31"/>
  <c r="B1752" i="31"/>
  <c r="B1751" i="31"/>
  <c r="B1750" i="31"/>
  <c r="B1749" i="31"/>
  <c r="B1748" i="31"/>
  <c r="B1747" i="31"/>
  <c r="B1746" i="31"/>
  <c r="B1745" i="31"/>
  <c r="B1744" i="31"/>
  <c r="B1743" i="31"/>
  <c r="B1742" i="31"/>
  <c r="B1741" i="31"/>
  <c r="B1740" i="31"/>
  <c r="B1739" i="31"/>
  <c r="B1738" i="31"/>
  <c r="B1737" i="31"/>
  <c r="B1736" i="31"/>
  <c r="B1735" i="31"/>
  <c r="D110" i="56" l="1" a="1"/>
  <c r="D110" i="56" s="1"/>
  <c r="H111" i="56"/>
  <c r="H116" i="56"/>
  <c r="A1" i="5"/>
  <c r="D9" i="47" s="1"/>
  <c r="A1" i="47"/>
  <c r="D116" i="56" l="1" a="1"/>
  <c r="D116" i="56" s="1"/>
  <c r="H112" i="56"/>
  <c r="D111" i="56" a="1"/>
  <c r="D111" i="56" s="1"/>
  <c r="H117" i="56"/>
  <c r="H122" i="56"/>
  <c r="G37" i="42"/>
  <c r="F37" i="42"/>
  <c r="D122" i="56" l="1" a="1"/>
  <c r="D122" i="56" s="1"/>
  <c r="H118" i="56"/>
  <c r="D117" i="56" a="1"/>
  <c r="D117" i="56" s="1"/>
  <c r="D112" i="56" a="1"/>
  <c r="D112" i="56" s="1"/>
  <c r="H113" i="56"/>
  <c r="H123" i="56"/>
  <c r="H128" i="56"/>
  <c r="L54" i="38"/>
  <c r="D113" i="56" l="1" a="1"/>
  <c r="D113" i="56" s="1"/>
  <c r="D128" i="56" a="1"/>
  <c r="D128" i="56" s="1"/>
  <c r="H114" i="56"/>
  <c r="H124" i="56"/>
  <c r="D123" i="56" a="1"/>
  <c r="D123" i="56" s="1"/>
  <c r="H119" i="56"/>
  <c r="D118" i="56" a="1"/>
  <c r="D118" i="56" s="1"/>
  <c r="H129" i="56"/>
  <c r="H134" i="56"/>
  <c r="I50" i="6"/>
  <c r="D134" i="56" l="1" a="1"/>
  <c r="D134" i="56" s="1"/>
  <c r="H130" i="56"/>
  <c r="D129" i="56" a="1"/>
  <c r="D129" i="56" s="1"/>
  <c r="H120" i="56"/>
  <c r="D119" i="56" a="1"/>
  <c r="D119" i="56" s="1"/>
  <c r="H125" i="56"/>
  <c r="D124" i="56" a="1"/>
  <c r="D124" i="56" s="1"/>
  <c r="H115" i="56"/>
  <c r="D114" i="56" a="1"/>
  <c r="D114" i="56" s="1"/>
  <c r="H135" i="56"/>
  <c r="H140" i="56"/>
  <c r="R9" i="24"/>
  <c r="L9" i="24"/>
  <c r="F9" i="24"/>
  <c r="D115" i="56" l="1" a="1"/>
  <c r="D115" i="56" s="1"/>
  <c r="D140" i="56" a="1"/>
  <c r="D140" i="56" s="1"/>
  <c r="H126" i="56"/>
  <c r="D125" i="56" a="1"/>
  <c r="D125" i="56" s="1"/>
  <c r="H121" i="56"/>
  <c r="D120" i="56" a="1"/>
  <c r="D120" i="56" s="1"/>
  <c r="H136" i="56"/>
  <c r="D135" i="56" a="1"/>
  <c r="D135" i="56" s="1"/>
  <c r="H131" i="56"/>
  <c r="D130" i="56" a="1"/>
  <c r="D130" i="56" s="1"/>
  <c r="H141" i="56"/>
  <c r="H146" i="56"/>
  <c r="P5" i="24"/>
  <c r="J5" i="24"/>
  <c r="D5" i="24"/>
  <c r="D121" i="56" l="1" a="1"/>
  <c r="D121" i="56" s="1"/>
  <c r="D146" i="56" a="1"/>
  <c r="D146" i="56" s="1"/>
  <c r="H142" i="56"/>
  <c r="D141" i="56" a="1"/>
  <c r="D141" i="56" s="1"/>
  <c r="H132" i="56"/>
  <c r="D131" i="56" a="1"/>
  <c r="D131" i="56" s="1"/>
  <c r="H137" i="56"/>
  <c r="D136" i="56" a="1"/>
  <c r="D136" i="56" s="1"/>
  <c r="H127" i="56"/>
  <c r="D126" i="56" a="1"/>
  <c r="D126" i="56" s="1"/>
  <c r="H147" i="56"/>
  <c r="H152" i="56"/>
  <c r="L76" i="10"/>
  <c r="L69" i="10"/>
  <c r="L68" i="10"/>
  <c r="L71" i="10"/>
  <c r="F15" i="22"/>
  <c r="D9" i="24"/>
  <c r="D24" i="39"/>
  <c r="D23" i="39"/>
  <c r="D16" i="39"/>
  <c r="D15" i="39"/>
  <c r="F6" i="39"/>
  <c r="P9" i="24"/>
  <c r="P6" i="24"/>
  <c r="P4" i="24"/>
  <c r="J9" i="24"/>
  <c r="J4" i="24"/>
  <c r="D4" i="24"/>
  <c r="P12" i="24"/>
  <c r="J12" i="24"/>
  <c r="J6" i="24"/>
  <c r="J7" i="24"/>
  <c r="E6" i="39"/>
  <c r="F48" i="14"/>
  <c r="F8" i="14"/>
  <c r="H9" i="13"/>
  <c r="K1470" i="31"/>
  <c r="K1471" i="31" s="1"/>
  <c r="K1472" i="31" s="1"/>
  <c r="K1473" i="31" s="1"/>
  <c r="K1474" i="31" s="1"/>
  <c r="K1475" i="31" s="1"/>
  <c r="K1476" i="31" s="1"/>
  <c r="K1477" i="31" s="1"/>
  <c r="K1478" i="31" s="1"/>
  <c r="K1479" i="31" s="1"/>
  <c r="K1480" i="31" s="1"/>
  <c r="K1481" i="31" s="1"/>
  <c r="M34" i="38"/>
  <c r="H34" i="38"/>
  <c r="M10" i="10"/>
  <c r="M43" i="10" s="1"/>
  <c r="N42" i="9"/>
  <c r="M42" i="9"/>
  <c r="E1736" i="31"/>
  <c r="H1736" i="31"/>
  <c r="I1736" i="31"/>
  <c r="G1736" i="31" s="1"/>
  <c r="B4" i="5"/>
  <c r="I11" i="6"/>
  <c r="F3" i="28"/>
  <c r="H8" i="54" s="1"/>
  <c r="E3" i="28"/>
  <c r="A3" i="15"/>
  <c r="C3" i="15" s="1"/>
  <c r="Z3" i="15" s="1"/>
  <c r="D2" i="43"/>
  <c r="D3" i="43"/>
  <c r="D4" i="43"/>
  <c r="E4" i="43"/>
  <c r="F4" i="43"/>
  <c r="D5" i="43"/>
  <c r="E5" i="43"/>
  <c r="F5" i="43"/>
  <c r="D6" i="43"/>
  <c r="E6" i="43"/>
  <c r="F6" i="43"/>
  <c r="D7" i="43"/>
  <c r="D8" i="43"/>
  <c r="E8" i="43"/>
  <c r="F8" i="43"/>
  <c r="D9" i="43"/>
  <c r="E9" i="43"/>
  <c r="F9" i="43"/>
  <c r="D10" i="43"/>
  <c r="E10" i="43"/>
  <c r="F10" i="43"/>
  <c r="D11" i="43"/>
  <c r="D12" i="43"/>
  <c r="E12" i="43"/>
  <c r="F12" i="43"/>
  <c r="D13" i="43"/>
  <c r="E13" i="43"/>
  <c r="F13" i="43"/>
  <c r="D14" i="43"/>
  <c r="E14" i="43"/>
  <c r="F14" i="43"/>
  <c r="D15" i="43"/>
  <c r="E15" i="43"/>
  <c r="F15" i="43"/>
  <c r="D16" i="43"/>
  <c r="D17" i="43"/>
  <c r="E17" i="43"/>
  <c r="F17" i="43"/>
  <c r="D18" i="43"/>
  <c r="E18" i="43"/>
  <c r="F18" i="43"/>
  <c r="D19" i="43"/>
  <c r="E19" i="43"/>
  <c r="F19" i="43"/>
  <c r="D20" i="43"/>
  <c r="D21" i="43"/>
  <c r="E21" i="43"/>
  <c r="F21" i="43"/>
  <c r="D22" i="43"/>
  <c r="E22" i="43"/>
  <c r="F22" i="43"/>
  <c r="D23" i="43"/>
  <c r="E23" i="43"/>
  <c r="F23" i="43"/>
  <c r="D24" i="43"/>
  <c r="E24" i="43"/>
  <c r="F24" i="43"/>
  <c r="D25" i="43"/>
  <c r="E25" i="43"/>
  <c r="F25" i="43"/>
  <c r="D26" i="43"/>
  <c r="E26" i="43"/>
  <c r="F26" i="43"/>
  <c r="D27" i="43"/>
  <c r="E27" i="43"/>
  <c r="F27" i="43"/>
  <c r="D28" i="43"/>
  <c r="E28" i="43"/>
  <c r="F28" i="43"/>
  <c r="D29" i="43"/>
  <c r="E29" i="43"/>
  <c r="F29" i="43"/>
  <c r="D30" i="43"/>
  <c r="D31" i="43"/>
  <c r="E31" i="43"/>
  <c r="F31" i="43"/>
  <c r="D32" i="43"/>
  <c r="E32" i="43"/>
  <c r="F32" i="43"/>
  <c r="D33" i="43"/>
  <c r="D34" i="43"/>
  <c r="E34" i="43"/>
  <c r="F34" i="43"/>
  <c r="D35" i="43"/>
  <c r="E35" i="43"/>
  <c r="F35" i="43"/>
  <c r="D36" i="43"/>
  <c r="E36" i="43"/>
  <c r="F36" i="43"/>
  <c r="D37" i="43"/>
  <c r="E37" i="43"/>
  <c r="F37" i="43"/>
  <c r="D38" i="43"/>
  <c r="D39" i="43"/>
  <c r="E39" i="43"/>
  <c r="F39" i="43"/>
  <c r="D40" i="43"/>
  <c r="E40" i="43"/>
  <c r="F40" i="43"/>
  <c r="D41" i="43"/>
  <c r="E41" i="43"/>
  <c r="F41" i="43"/>
  <c r="D42" i="43"/>
  <c r="E42" i="43"/>
  <c r="F42" i="43"/>
  <c r="D43" i="43"/>
  <c r="D44" i="43"/>
  <c r="D45" i="43"/>
  <c r="E45" i="43"/>
  <c r="F45" i="43"/>
  <c r="D46" i="43"/>
  <c r="E46" i="43"/>
  <c r="F46" i="43"/>
  <c r="D47" i="43"/>
  <c r="D48" i="43"/>
  <c r="E48" i="43"/>
  <c r="F48" i="43"/>
  <c r="D49" i="43"/>
  <c r="E49" i="43"/>
  <c r="F49" i="43"/>
  <c r="D50" i="43"/>
  <c r="D51" i="43"/>
  <c r="E51" i="43"/>
  <c r="F51" i="43"/>
  <c r="D52" i="43"/>
  <c r="E52" i="43"/>
  <c r="F52" i="43"/>
  <c r="D53" i="43"/>
  <c r="G53" i="43"/>
  <c r="D54" i="43"/>
  <c r="G54" i="43"/>
  <c r="D55" i="43"/>
  <c r="G55" i="43"/>
  <c r="D56" i="43"/>
  <c r="D57" i="43"/>
  <c r="E57" i="43"/>
  <c r="F57" i="43"/>
  <c r="D58" i="43"/>
  <c r="E58" i="43"/>
  <c r="F58" i="43"/>
  <c r="D59" i="43"/>
  <c r="E59" i="43"/>
  <c r="F59" i="43"/>
  <c r="E2" i="41"/>
  <c r="H2" i="41"/>
  <c r="E3" i="41"/>
  <c r="I3" i="41"/>
  <c r="F3" i="41" s="1"/>
  <c r="J3" i="41"/>
  <c r="J4" i="41" s="1"/>
  <c r="L3" i="41"/>
  <c r="L4" i="41" s="1"/>
  <c r="L5" i="41" s="1"/>
  <c r="L6" i="41" s="1"/>
  <c r="L7" i="41" s="1"/>
  <c r="L8" i="41" s="1"/>
  <c r="L9" i="41" s="1"/>
  <c r="L10" i="41" s="1"/>
  <c r="L11" i="41" s="1"/>
  <c r="L12" i="41" s="1"/>
  <c r="L13" i="41" s="1"/>
  <c r="E4" i="41"/>
  <c r="E5" i="41"/>
  <c r="E6" i="41"/>
  <c r="E7" i="41"/>
  <c r="E8" i="41"/>
  <c r="E9" i="41"/>
  <c r="E10" i="41"/>
  <c r="E11" i="41"/>
  <c r="E12" i="41"/>
  <c r="E13" i="41"/>
  <c r="E14" i="41"/>
  <c r="H14" i="41"/>
  <c r="M14" i="41"/>
  <c r="M26" i="41" s="1"/>
  <c r="M38" i="41" s="1"/>
  <c r="E15" i="41"/>
  <c r="J15" i="41"/>
  <c r="H15" i="41" s="1"/>
  <c r="L15" i="41"/>
  <c r="L16" i="41" s="1"/>
  <c r="L17" i="41" s="1"/>
  <c r="L18" i="41" s="1"/>
  <c r="L19" i="41" s="1"/>
  <c r="L20" i="41" s="1"/>
  <c r="L21" i="41" s="1"/>
  <c r="L22" i="41" s="1"/>
  <c r="L23" i="41" s="1"/>
  <c r="L24" i="41" s="1"/>
  <c r="L25" i="41" s="1"/>
  <c r="E16" i="41"/>
  <c r="E17" i="41"/>
  <c r="E18" i="41"/>
  <c r="E19" i="41"/>
  <c r="E20" i="41"/>
  <c r="E21" i="41"/>
  <c r="E22" i="41"/>
  <c r="E23" i="41"/>
  <c r="E24" i="41"/>
  <c r="E25" i="41"/>
  <c r="E26" i="41"/>
  <c r="H26" i="41"/>
  <c r="E27" i="41"/>
  <c r="J27" i="41"/>
  <c r="H27" i="41" s="1"/>
  <c r="L27" i="41"/>
  <c r="L28" i="41" s="1"/>
  <c r="L29" i="41" s="1"/>
  <c r="L30" i="41" s="1"/>
  <c r="L31" i="41" s="1"/>
  <c r="L32" i="41" s="1"/>
  <c r="L33" i="41" s="1"/>
  <c r="L34" i="41" s="1"/>
  <c r="L35" i="41" s="1"/>
  <c r="L36" i="41" s="1"/>
  <c r="L37" i="41" s="1"/>
  <c r="E28" i="41"/>
  <c r="E29" i="41"/>
  <c r="E30" i="41"/>
  <c r="E31" i="41"/>
  <c r="E32" i="41"/>
  <c r="E33" i="41"/>
  <c r="E34" i="41"/>
  <c r="E35" i="41"/>
  <c r="E36" i="41"/>
  <c r="E37" i="41"/>
  <c r="E38" i="41"/>
  <c r="H38" i="41"/>
  <c r="E39" i="41"/>
  <c r="J39" i="41"/>
  <c r="H39" i="41" s="1"/>
  <c r="L39" i="41"/>
  <c r="L40" i="41" s="1"/>
  <c r="L41" i="41" s="1"/>
  <c r="L42" i="41" s="1"/>
  <c r="L43" i="41" s="1"/>
  <c r="L44" i="41" s="1"/>
  <c r="L45" i="41" s="1"/>
  <c r="L46" i="41" s="1"/>
  <c r="L47" i="41" s="1"/>
  <c r="L48" i="41" s="1"/>
  <c r="L49" i="41" s="1"/>
  <c r="E40" i="41"/>
  <c r="J40" i="41"/>
  <c r="H40" i="41" s="1"/>
  <c r="E41" i="41"/>
  <c r="E42" i="41"/>
  <c r="E43" i="41"/>
  <c r="E44" i="41"/>
  <c r="E45" i="41"/>
  <c r="E46" i="41"/>
  <c r="E47" i="41"/>
  <c r="E48" i="41"/>
  <c r="E49" i="41"/>
  <c r="E50" i="41"/>
  <c r="H50" i="41"/>
  <c r="E51" i="41"/>
  <c r="J51" i="41"/>
  <c r="H51" i="41" s="1"/>
  <c r="L51" i="41"/>
  <c r="L52" i="41" s="1"/>
  <c r="L53" i="41" s="1"/>
  <c r="L54" i="41" s="1"/>
  <c r="L55" i="41" s="1"/>
  <c r="L56" i="41" s="1"/>
  <c r="L57" i="41" s="1"/>
  <c r="L58" i="41" s="1"/>
  <c r="L59" i="41" s="1"/>
  <c r="L60" i="41" s="1"/>
  <c r="L61" i="41" s="1"/>
  <c r="L62" i="41" s="1"/>
  <c r="L63" i="41" s="1"/>
  <c r="L64" i="41" s="1"/>
  <c r="L65" i="41" s="1"/>
  <c r="L66" i="41" s="1"/>
  <c r="L67" i="41" s="1"/>
  <c r="L68" i="41" s="1"/>
  <c r="L69" i="41" s="1"/>
  <c r="L70" i="41" s="1"/>
  <c r="L71" i="41" s="1"/>
  <c r="L72" i="41" s="1"/>
  <c r="L73" i="41" s="1"/>
  <c r="E52" i="41"/>
  <c r="H52" i="41"/>
  <c r="I52" i="41"/>
  <c r="I54" i="41" s="1"/>
  <c r="E53" i="41"/>
  <c r="J53" i="41"/>
  <c r="H53" i="41" s="1"/>
  <c r="E54" i="41"/>
  <c r="H54" i="41"/>
  <c r="E55" i="41"/>
  <c r="J55" i="41"/>
  <c r="H55" i="41" s="1"/>
  <c r="E56" i="41"/>
  <c r="H56" i="41"/>
  <c r="E57" i="41"/>
  <c r="J57" i="41"/>
  <c r="H57" i="41" s="1"/>
  <c r="E58" i="41"/>
  <c r="H58" i="41"/>
  <c r="E59" i="41"/>
  <c r="J59" i="41"/>
  <c r="H59" i="41" s="1"/>
  <c r="E60" i="41"/>
  <c r="H60" i="41"/>
  <c r="E61" i="41"/>
  <c r="J61" i="41"/>
  <c r="H61" i="41" s="1"/>
  <c r="E62" i="41"/>
  <c r="H62" i="41"/>
  <c r="E63" i="41"/>
  <c r="J63" i="41"/>
  <c r="H63" i="41" s="1"/>
  <c r="E64" i="41"/>
  <c r="H64" i="41"/>
  <c r="E65" i="41"/>
  <c r="J65" i="41"/>
  <c r="H65" i="41" s="1"/>
  <c r="E66" i="41"/>
  <c r="H66" i="41"/>
  <c r="E67" i="41"/>
  <c r="J67" i="41"/>
  <c r="H67" i="41" s="1"/>
  <c r="E68" i="41"/>
  <c r="H68" i="41"/>
  <c r="E69" i="41"/>
  <c r="J69" i="41"/>
  <c r="H69" i="41" s="1"/>
  <c r="E70" i="41"/>
  <c r="H70" i="41"/>
  <c r="E71" i="41"/>
  <c r="J71" i="41"/>
  <c r="H71" i="41" s="1"/>
  <c r="E72" i="41"/>
  <c r="H72" i="41"/>
  <c r="E73" i="41"/>
  <c r="J73" i="41"/>
  <c r="H73" i="41" s="1"/>
  <c r="E74" i="41"/>
  <c r="H74" i="41"/>
  <c r="M74" i="41"/>
  <c r="M98" i="41" s="1"/>
  <c r="M122" i="41" s="1"/>
  <c r="E75" i="41"/>
  <c r="J75" i="41"/>
  <c r="H75" i="41" s="1"/>
  <c r="L75" i="41"/>
  <c r="L76" i="41" s="1"/>
  <c r="L77" i="41" s="1"/>
  <c r="L78" i="41" s="1"/>
  <c r="L79" i="41" s="1"/>
  <c r="L80" i="41" s="1"/>
  <c r="L81" i="41" s="1"/>
  <c r="L82" i="41" s="1"/>
  <c r="L83" i="41" s="1"/>
  <c r="L84" i="41" s="1"/>
  <c r="L85" i="41" s="1"/>
  <c r="L86" i="41" s="1"/>
  <c r="L87" i="41" s="1"/>
  <c r="L88" i="41" s="1"/>
  <c r="L89" i="41" s="1"/>
  <c r="L90" i="41" s="1"/>
  <c r="L91" i="41" s="1"/>
  <c r="L92" i="41" s="1"/>
  <c r="L93" i="41" s="1"/>
  <c r="L94" i="41" s="1"/>
  <c r="L95" i="41" s="1"/>
  <c r="L96" i="41" s="1"/>
  <c r="L97" i="41" s="1"/>
  <c r="E76" i="41"/>
  <c r="H76" i="41"/>
  <c r="E77" i="41"/>
  <c r="J77" i="41"/>
  <c r="H77" i="41" s="1"/>
  <c r="E78" i="41"/>
  <c r="H78" i="41"/>
  <c r="E79" i="41"/>
  <c r="J79" i="41"/>
  <c r="H79" i="41" s="1"/>
  <c r="E80" i="41"/>
  <c r="H80" i="41"/>
  <c r="E81" i="41"/>
  <c r="J81" i="41"/>
  <c r="H81" i="41" s="1"/>
  <c r="E82" i="41"/>
  <c r="H82" i="41"/>
  <c r="E83" i="41"/>
  <c r="J83" i="41"/>
  <c r="H83" i="41" s="1"/>
  <c r="E84" i="41"/>
  <c r="H84" i="41"/>
  <c r="E85" i="41"/>
  <c r="J85" i="41"/>
  <c r="H85" i="41" s="1"/>
  <c r="E86" i="41"/>
  <c r="H86" i="41"/>
  <c r="E87" i="41"/>
  <c r="J87" i="41"/>
  <c r="H87" i="41" s="1"/>
  <c r="E88" i="41"/>
  <c r="H88" i="41"/>
  <c r="E89" i="41"/>
  <c r="J89" i="41"/>
  <c r="H89" i="41" s="1"/>
  <c r="E90" i="41"/>
  <c r="H90" i="41"/>
  <c r="E91" i="41"/>
  <c r="J91" i="41"/>
  <c r="H91" i="41" s="1"/>
  <c r="E92" i="41"/>
  <c r="H92" i="41"/>
  <c r="E93" i="41"/>
  <c r="J93" i="41"/>
  <c r="H93" i="41" s="1"/>
  <c r="E94" i="41"/>
  <c r="H94" i="41"/>
  <c r="E95" i="41"/>
  <c r="J95" i="41"/>
  <c r="H95" i="41" s="1"/>
  <c r="E96" i="41"/>
  <c r="H96" i="41"/>
  <c r="E97" i="41"/>
  <c r="J97" i="41"/>
  <c r="H97" i="41" s="1"/>
  <c r="E98" i="41"/>
  <c r="H98" i="41"/>
  <c r="E99" i="41"/>
  <c r="J99" i="41"/>
  <c r="H99" i="41" s="1"/>
  <c r="L99" i="41"/>
  <c r="L100" i="41" s="1"/>
  <c r="L101" i="41" s="1"/>
  <c r="L102" i="41" s="1"/>
  <c r="L103" i="41" s="1"/>
  <c r="L104" i="41" s="1"/>
  <c r="L105" i="41" s="1"/>
  <c r="L106" i="41" s="1"/>
  <c r="L107" i="41" s="1"/>
  <c r="L108" i="41" s="1"/>
  <c r="L109" i="41" s="1"/>
  <c r="L110" i="41" s="1"/>
  <c r="L111" i="41" s="1"/>
  <c r="L112" i="41" s="1"/>
  <c r="L113" i="41" s="1"/>
  <c r="L114" i="41" s="1"/>
  <c r="L115" i="41" s="1"/>
  <c r="L116" i="41" s="1"/>
  <c r="L117" i="41" s="1"/>
  <c r="L118" i="41" s="1"/>
  <c r="L119" i="41" s="1"/>
  <c r="L120" i="41" s="1"/>
  <c r="L121" i="41" s="1"/>
  <c r="E100" i="41"/>
  <c r="H100" i="41"/>
  <c r="E101" i="41"/>
  <c r="J101" i="41"/>
  <c r="H101" i="41" s="1"/>
  <c r="E102" i="41"/>
  <c r="H102" i="41"/>
  <c r="E103" i="41"/>
  <c r="J103" i="41"/>
  <c r="H103" i="41" s="1"/>
  <c r="E104" i="41"/>
  <c r="H104" i="41"/>
  <c r="E105" i="41"/>
  <c r="J105" i="41"/>
  <c r="H105" i="41" s="1"/>
  <c r="E106" i="41"/>
  <c r="H106" i="41"/>
  <c r="E107" i="41"/>
  <c r="J107" i="41"/>
  <c r="H107" i="41" s="1"/>
  <c r="E108" i="41"/>
  <c r="H108" i="41"/>
  <c r="E109" i="41"/>
  <c r="J109" i="41"/>
  <c r="H109" i="41" s="1"/>
  <c r="E110" i="41"/>
  <c r="H110" i="41"/>
  <c r="E111" i="41"/>
  <c r="J111" i="41"/>
  <c r="H111" i="41" s="1"/>
  <c r="E112" i="41"/>
  <c r="H112" i="41"/>
  <c r="E113" i="41"/>
  <c r="J113" i="41"/>
  <c r="H113" i="41" s="1"/>
  <c r="E114" i="41"/>
  <c r="H114" i="41"/>
  <c r="E115" i="41"/>
  <c r="J115" i="41"/>
  <c r="H115" i="41" s="1"/>
  <c r="E116" i="41"/>
  <c r="H116" i="41"/>
  <c r="E117" i="41"/>
  <c r="H117" i="41"/>
  <c r="J117" i="41"/>
  <c r="E118" i="41"/>
  <c r="H118" i="41"/>
  <c r="E119" i="41"/>
  <c r="J119" i="41"/>
  <c r="H119" i="41" s="1"/>
  <c r="E120" i="41"/>
  <c r="H120" i="41"/>
  <c r="E121" i="41"/>
  <c r="J121" i="41"/>
  <c r="H121" i="41" s="1"/>
  <c r="E122" i="41"/>
  <c r="H122" i="41"/>
  <c r="E123" i="41"/>
  <c r="J123" i="41"/>
  <c r="H123" i="41" s="1"/>
  <c r="L123" i="41"/>
  <c r="L124" i="41" s="1"/>
  <c r="L125" i="41" s="1"/>
  <c r="L126" i="41" s="1"/>
  <c r="L127" i="41" s="1"/>
  <c r="L128" i="41" s="1"/>
  <c r="L129" i="41" s="1"/>
  <c r="L130" i="41" s="1"/>
  <c r="L131" i="41" s="1"/>
  <c r="L132" i="41" s="1"/>
  <c r="L133" i="41" s="1"/>
  <c r="L134" i="41" s="1"/>
  <c r="L135" i="41" s="1"/>
  <c r="L136" i="41" s="1"/>
  <c r="L137" i="41" s="1"/>
  <c r="L138" i="41" s="1"/>
  <c r="L139" i="41" s="1"/>
  <c r="L140" i="41" s="1"/>
  <c r="L141" i="41" s="1"/>
  <c r="L142" i="41" s="1"/>
  <c r="L143" i="41" s="1"/>
  <c r="L144" i="41" s="1"/>
  <c r="L145" i="41" s="1"/>
  <c r="E124" i="41"/>
  <c r="H124" i="41"/>
  <c r="E125" i="41"/>
  <c r="J125" i="41"/>
  <c r="H125" i="41" s="1"/>
  <c r="E126" i="41"/>
  <c r="H126" i="41"/>
  <c r="E127" i="41"/>
  <c r="J127" i="41"/>
  <c r="H127" i="41" s="1"/>
  <c r="E128" i="41"/>
  <c r="H128" i="41"/>
  <c r="E129" i="41"/>
  <c r="J129" i="41"/>
  <c r="H129" i="41" s="1"/>
  <c r="E130" i="41"/>
  <c r="H130" i="41"/>
  <c r="E131" i="41"/>
  <c r="J131" i="41"/>
  <c r="H131" i="41" s="1"/>
  <c r="E132" i="41"/>
  <c r="H132" i="41"/>
  <c r="E133" i="41"/>
  <c r="J133" i="41"/>
  <c r="H133" i="41" s="1"/>
  <c r="E134" i="41"/>
  <c r="H134" i="41"/>
  <c r="E135" i="41"/>
  <c r="J135" i="41"/>
  <c r="H135" i="41" s="1"/>
  <c r="E136" i="41"/>
  <c r="H136" i="41"/>
  <c r="E137" i="41"/>
  <c r="J137" i="41"/>
  <c r="H137" i="41" s="1"/>
  <c r="E138" i="41"/>
  <c r="H138" i="41"/>
  <c r="E139" i="41"/>
  <c r="J139" i="41"/>
  <c r="H139" i="41" s="1"/>
  <c r="E140" i="41"/>
  <c r="H140" i="41"/>
  <c r="E141" i="41"/>
  <c r="J141" i="41"/>
  <c r="H141" i="41" s="1"/>
  <c r="E142" i="41"/>
  <c r="H142" i="41"/>
  <c r="E143" i="41"/>
  <c r="J143" i="41"/>
  <c r="H143" i="41" s="1"/>
  <c r="E144" i="41"/>
  <c r="H144" i="41"/>
  <c r="E145" i="41"/>
  <c r="J145" i="41"/>
  <c r="H145" i="41" s="1"/>
  <c r="E146" i="41"/>
  <c r="H146" i="41"/>
  <c r="E147" i="41"/>
  <c r="I147" i="41"/>
  <c r="J147" i="41"/>
  <c r="H147" i="41" s="1"/>
  <c r="L147" i="41"/>
  <c r="L148" i="41" s="1"/>
  <c r="L149" i="41" s="1"/>
  <c r="L150" i="41" s="1"/>
  <c r="L151" i="41" s="1"/>
  <c r="L152" i="41" s="1"/>
  <c r="L153" i="41" s="1"/>
  <c r="L154" i="41" s="1"/>
  <c r="L155" i="41" s="1"/>
  <c r="L156" i="41" s="1"/>
  <c r="L157" i="41" s="1"/>
  <c r="E148" i="41"/>
  <c r="E149" i="41"/>
  <c r="E150" i="41"/>
  <c r="E151" i="41"/>
  <c r="E152" i="41"/>
  <c r="E153" i="41"/>
  <c r="E154" i="41"/>
  <c r="E155" i="41"/>
  <c r="E156" i="41"/>
  <c r="E157" i="41"/>
  <c r="E158" i="41"/>
  <c r="H158" i="41"/>
  <c r="M158" i="41"/>
  <c r="M170" i="41" s="1"/>
  <c r="M182" i="41" s="1"/>
  <c r="E159" i="41"/>
  <c r="J159" i="41"/>
  <c r="H159" i="41" s="1"/>
  <c r="L159" i="41"/>
  <c r="L160" i="41" s="1"/>
  <c r="L161" i="41" s="1"/>
  <c r="L162" i="41" s="1"/>
  <c r="L163" i="41" s="1"/>
  <c r="L164" i="41" s="1"/>
  <c r="L165" i="41" s="1"/>
  <c r="L166" i="41" s="1"/>
  <c r="L167" i="41" s="1"/>
  <c r="L168" i="41" s="1"/>
  <c r="L169" i="41" s="1"/>
  <c r="E160" i="41"/>
  <c r="E161" i="41"/>
  <c r="E162" i="41"/>
  <c r="E163" i="41"/>
  <c r="E164" i="41"/>
  <c r="E165" i="41"/>
  <c r="E166" i="41"/>
  <c r="E167" i="41"/>
  <c r="E168" i="41"/>
  <c r="E169" i="41"/>
  <c r="E170" i="41"/>
  <c r="H170" i="41"/>
  <c r="E171" i="41"/>
  <c r="J171" i="41"/>
  <c r="H171" i="41" s="1"/>
  <c r="L171" i="41"/>
  <c r="L172" i="41" s="1"/>
  <c r="L173" i="41" s="1"/>
  <c r="L174" i="41" s="1"/>
  <c r="L175" i="41" s="1"/>
  <c r="L176" i="41" s="1"/>
  <c r="L177" i="41" s="1"/>
  <c r="L178" i="41" s="1"/>
  <c r="L179" i="41" s="1"/>
  <c r="L180" i="41" s="1"/>
  <c r="L181" i="41" s="1"/>
  <c r="E172" i="41"/>
  <c r="E173" i="41"/>
  <c r="E174" i="41"/>
  <c r="E175" i="41"/>
  <c r="E176" i="41"/>
  <c r="E177" i="41"/>
  <c r="E178" i="41"/>
  <c r="E179" i="41"/>
  <c r="E180" i="41"/>
  <c r="E181" i="41"/>
  <c r="E182" i="41"/>
  <c r="H182" i="41"/>
  <c r="E183" i="41"/>
  <c r="J183" i="41"/>
  <c r="H183" i="41" s="1"/>
  <c r="L183" i="41"/>
  <c r="L184" i="41" s="1"/>
  <c r="L185" i="41" s="1"/>
  <c r="L186" i="41" s="1"/>
  <c r="L187" i="41" s="1"/>
  <c r="L188" i="41" s="1"/>
  <c r="L189" i="41" s="1"/>
  <c r="L190" i="41" s="1"/>
  <c r="L191" i="41" s="1"/>
  <c r="L192" i="41" s="1"/>
  <c r="L193" i="41" s="1"/>
  <c r="E184" i="41"/>
  <c r="E185" i="41"/>
  <c r="E186" i="41"/>
  <c r="E187" i="41"/>
  <c r="E188" i="41"/>
  <c r="E189" i="41"/>
  <c r="E190" i="41"/>
  <c r="E191" i="41"/>
  <c r="E192" i="41"/>
  <c r="E193" i="41"/>
  <c r="E194" i="41"/>
  <c r="H194" i="41"/>
  <c r="E195" i="41"/>
  <c r="I195" i="41"/>
  <c r="F195" i="41" s="1"/>
  <c r="J195" i="41"/>
  <c r="H195" i="41" s="1"/>
  <c r="L195" i="41"/>
  <c r="E196" i="41"/>
  <c r="L196" i="41"/>
  <c r="L197" i="41" s="1"/>
  <c r="L198" i="41" s="1"/>
  <c r="L199" i="41" s="1"/>
  <c r="L200" i="41" s="1"/>
  <c r="L201" i="41" s="1"/>
  <c r="L202" i="41" s="1"/>
  <c r="L203" i="41" s="1"/>
  <c r="L204" i="41" s="1"/>
  <c r="L205" i="41" s="1"/>
  <c r="L206" i="41" s="1"/>
  <c r="L207" i="41" s="1"/>
  <c r="L208" i="41" s="1"/>
  <c r="L209" i="41" s="1"/>
  <c r="L210" i="41" s="1"/>
  <c r="L211" i="41" s="1"/>
  <c r="L212" i="41" s="1"/>
  <c r="L213" i="41" s="1"/>
  <c r="L214" i="41" s="1"/>
  <c r="L215" i="41" s="1"/>
  <c r="L216" i="41" s="1"/>
  <c r="L217" i="41" s="1"/>
  <c r="L218" i="41" s="1"/>
  <c r="L219" i="41" s="1"/>
  <c r="L220" i="41" s="1"/>
  <c r="L221" i="41" s="1"/>
  <c r="L222" i="41" s="1"/>
  <c r="L223" i="41" s="1"/>
  <c r="L224" i="41" s="1"/>
  <c r="L225" i="41" s="1"/>
  <c r="L226" i="41" s="1"/>
  <c r="L227" i="41" s="1"/>
  <c r="L228" i="41" s="1"/>
  <c r="L229" i="41" s="1"/>
  <c r="L230" i="41" s="1"/>
  <c r="L231" i="41" s="1"/>
  <c r="L232" i="41" s="1"/>
  <c r="L233" i="41" s="1"/>
  <c r="L234" i="41" s="1"/>
  <c r="L235" i="41" s="1"/>
  <c r="L236" i="41" s="1"/>
  <c r="L237" i="41" s="1"/>
  <c r="L238" i="41" s="1"/>
  <c r="L239" i="41" s="1"/>
  <c r="L240" i="41" s="1"/>
  <c r="L241" i="41" s="1"/>
  <c r="E197" i="41"/>
  <c r="E198" i="41"/>
  <c r="E199" i="41"/>
  <c r="E200" i="41"/>
  <c r="E201" i="41"/>
  <c r="E202" i="41"/>
  <c r="E203" i="41"/>
  <c r="E204" i="41"/>
  <c r="E205" i="41"/>
  <c r="E206" i="41"/>
  <c r="H206" i="41"/>
  <c r="M206" i="41"/>
  <c r="M218" i="41" s="1"/>
  <c r="M230" i="41" s="1"/>
  <c r="E207" i="41"/>
  <c r="J207" i="41"/>
  <c r="J208" i="41" s="1"/>
  <c r="E208" i="41"/>
  <c r="E209" i="41"/>
  <c r="E210" i="41"/>
  <c r="E211" i="41"/>
  <c r="E212" i="41"/>
  <c r="E213" i="41"/>
  <c r="E214" i="41"/>
  <c r="E215" i="41"/>
  <c r="E216" i="41"/>
  <c r="E217" i="41"/>
  <c r="E218" i="41"/>
  <c r="H218" i="41"/>
  <c r="E219" i="41"/>
  <c r="J219" i="41"/>
  <c r="J220" i="41" s="1"/>
  <c r="E220" i="41"/>
  <c r="E221" i="41"/>
  <c r="E222" i="41"/>
  <c r="E223" i="41"/>
  <c r="E224" i="41"/>
  <c r="E225" i="41"/>
  <c r="E226" i="41"/>
  <c r="E227" i="41"/>
  <c r="E228" i="41"/>
  <c r="E229" i="41"/>
  <c r="E230" i="41"/>
  <c r="H230" i="41"/>
  <c r="E231" i="41"/>
  <c r="J231" i="41"/>
  <c r="J232" i="41" s="1"/>
  <c r="E232" i="41"/>
  <c r="E233" i="41"/>
  <c r="E234" i="41"/>
  <c r="E235" i="41"/>
  <c r="E236" i="41"/>
  <c r="E237" i="41"/>
  <c r="E238" i="41"/>
  <c r="E239" i="41"/>
  <c r="E240" i="41"/>
  <c r="E241" i="41"/>
  <c r="G3" i="28"/>
  <c r="H3" i="28"/>
  <c r="N3" i="28"/>
  <c r="Q3" i="28"/>
  <c r="R3" i="28"/>
  <c r="O3" i="28" s="1"/>
  <c r="S3" i="28"/>
  <c r="P3" i="28" s="1"/>
  <c r="N4" i="28"/>
  <c r="Q4" i="28"/>
  <c r="R4" i="28"/>
  <c r="O4" i="28" s="1"/>
  <c r="S4" i="28"/>
  <c r="P4" i="28" s="1"/>
  <c r="B3" i="39"/>
  <c r="E2" i="31"/>
  <c r="G2" i="31"/>
  <c r="C2" i="31" s="1"/>
  <c r="E3" i="31"/>
  <c r="H3" i="31"/>
  <c r="H4" i="31" s="1"/>
  <c r="H5" i="31" s="1"/>
  <c r="H6" i="31" s="1"/>
  <c r="H7" i="31" s="1"/>
  <c r="H8" i="31" s="1"/>
  <c r="I3" i="31"/>
  <c r="G3" i="31" s="1"/>
  <c r="K3" i="31"/>
  <c r="E4" i="31"/>
  <c r="E5" i="31"/>
  <c r="E6" i="31"/>
  <c r="E7" i="31"/>
  <c r="E8" i="31"/>
  <c r="E9" i="31"/>
  <c r="G9" i="31"/>
  <c r="H9" i="31"/>
  <c r="H10" i="31" s="1"/>
  <c r="H11" i="31" s="1"/>
  <c r="L9" i="31"/>
  <c r="L16" i="31" s="1"/>
  <c r="L23" i="31" s="1"/>
  <c r="L30" i="31" s="1"/>
  <c r="L37" i="31" s="1"/>
  <c r="L44" i="31" s="1"/>
  <c r="L51" i="31" s="1"/>
  <c r="L58" i="31" s="1"/>
  <c r="L65" i="31" s="1"/>
  <c r="L72" i="31" s="1"/>
  <c r="L79" i="31" s="1"/>
  <c r="L86" i="31" s="1"/>
  <c r="E10" i="31"/>
  <c r="I10" i="31"/>
  <c r="E11" i="31"/>
  <c r="E12" i="31"/>
  <c r="E13" i="31"/>
  <c r="E14" i="31"/>
  <c r="E15" i="31"/>
  <c r="E16" i="31"/>
  <c r="G16" i="31"/>
  <c r="B16" i="31" s="1"/>
  <c r="E17" i="31"/>
  <c r="I17" i="31"/>
  <c r="I18" i="31" s="1"/>
  <c r="E18" i="31"/>
  <c r="E19" i="31"/>
  <c r="E20" i="31"/>
  <c r="E21" i="31"/>
  <c r="E22" i="31"/>
  <c r="E23" i="31"/>
  <c r="G23" i="31"/>
  <c r="B23" i="31" s="1"/>
  <c r="E24" i="31"/>
  <c r="I24" i="31"/>
  <c r="G24" i="31" s="1"/>
  <c r="E25" i="31"/>
  <c r="E26" i="31"/>
  <c r="E27" i="31"/>
  <c r="E28" i="31"/>
  <c r="E29" i="31"/>
  <c r="E30" i="31"/>
  <c r="G30" i="31"/>
  <c r="E31" i="31"/>
  <c r="I31" i="31"/>
  <c r="G31" i="31" s="1"/>
  <c r="E32" i="31"/>
  <c r="E33" i="31"/>
  <c r="E34" i="31"/>
  <c r="E35" i="31"/>
  <c r="E36" i="31"/>
  <c r="E37" i="31"/>
  <c r="G37" i="31"/>
  <c r="B37" i="31" s="1"/>
  <c r="E38" i="31"/>
  <c r="I38" i="31"/>
  <c r="E39" i="31"/>
  <c r="E40" i="31"/>
  <c r="E41" i="31"/>
  <c r="E42" i="31"/>
  <c r="E43" i="31"/>
  <c r="E44" i="31"/>
  <c r="G44" i="31"/>
  <c r="E45" i="31"/>
  <c r="I45" i="31"/>
  <c r="G45" i="31" s="1"/>
  <c r="E46" i="31"/>
  <c r="E47" i="31"/>
  <c r="E48" i="31"/>
  <c r="E49" i="31"/>
  <c r="E50" i="31"/>
  <c r="E51" i="31"/>
  <c r="G51" i="31"/>
  <c r="E52" i="31"/>
  <c r="I52" i="31"/>
  <c r="G52" i="31" s="1"/>
  <c r="E53" i="31"/>
  <c r="E54" i="31"/>
  <c r="E55" i="31"/>
  <c r="E56" i="31"/>
  <c r="E57" i="31"/>
  <c r="E58" i="31"/>
  <c r="G58" i="31"/>
  <c r="B58" i="31" s="1"/>
  <c r="E59" i="31"/>
  <c r="I59" i="31"/>
  <c r="I60" i="31" s="1"/>
  <c r="I61" i="31" s="1"/>
  <c r="G61" i="31" s="1"/>
  <c r="E60" i="31"/>
  <c r="E61" i="31"/>
  <c r="E62" i="31"/>
  <c r="E63" i="31"/>
  <c r="E64" i="31"/>
  <c r="E65" i="31"/>
  <c r="G65" i="31"/>
  <c r="C65" i="31" s="1"/>
  <c r="E66" i="31"/>
  <c r="I66" i="31"/>
  <c r="I67" i="31" s="1"/>
  <c r="I68" i="31" s="1"/>
  <c r="G68" i="31" s="1"/>
  <c r="E67" i="31"/>
  <c r="E68" i="31"/>
  <c r="E69" i="31"/>
  <c r="E70" i="31"/>
  <c r="E71" i="31"/>
  <c r="E72" i="31"/>
  <c r="G72" i="31"/>
  <c r="E73" i="31"/>
  <c r="I73" i="31"/>
  <c r="G73" i="31" s="1"/>
  <c r="E74" i="31"/>
  <c r="E75" i="31"/>
  <c r="E76" i="31"/>
  <c r="E77" i="31"/>
  <c r="E78" i="31"/>
  <c r="E79" i="31"/>
  <c r="G79" i="31"/>
  <c r="E80" i="31"/>
  <c r="I80" i="31"/>
  <c r="I81" i="31" s="1"/>
  <c r="I82" i="31" s="1"/>
  <c r="I83" i="31" s="1"/>
  <c r="E81" i="31"/>
  <c r="E82" i="31"/>
  <c r="E83" i="31"/>
  <c r="E84" i="31"/>
  <c r="E85" i="31"/>
  <c r="E86" i="31"/>
  <c r="G86" i="31"/>
  <c r="E87" i="31"/>
  <c r="I87" i="31"/>
  <c r="G87" i="31" s="1"/>
  <c r="E88" i="31"/>
  <c r="E89" i="31"/>
  <c r="E90" i="31"/>
  <c r="E91" i="31"/>
  <c r="E92" i="31"/>
  <c r="E93" i="31"/>
  <c r="G93" i="31"/>
  <c r="E94" i="31"/>
  <c r="H94" i="31"/>
  <c r="H95" i="31" s="1"/>
  <c r="H96" i="31" s="1"/>
  <c r="H97" i="31" s="1"/>
  <c r="H98" i="31" s="1"/>
  <c r="I94" i="31"/>
  <c r="I95" i="31" s="1"/>
  <c r="I96" i="31" s="1"/>
  <c r="G96" i="31" s="1"/>
  <c r="K94" i="31"/>
  <c r="K95" i="31" s="1"/>
  <c r="K96" i="31" s="1"/>
  <c r="K97" i="31" s="1"/>
  <c r="K98" i="31" s="1"/>
  <c r="K99" i="31" s="1"/>
  <c r="K100" i="31" s="1"/>
  <c r="K101" i="31" s="1"/>
  <c r="K102" i="31" s="1"/>
  <c r="K103" i="31" s="1"/>
  <c r="K104" i="31" s="1"/>
  <c r="K105" i="31" s="1"/>
  <c r="K106" i="31" s="1"/>
  <c r="K107" i="31" s="1"/>
  <c r="K108" i="31" s="1"/>
  <c r="K109" i="31" s="1"/>
  <c r="K110" i="31" s="1"/>
  <c r="K111" i="31" s="1"/>
  <c r="K112" i="31" s="1"/>
  <c r="K113" i="31" s="1"/>
  <c r="K114" i="31" s="1"/>
  <c r="K115" i="31" s="1"/>
  <c r="K116" i="31" s="1"/>
  <c r="K117" i="31" s="1"/>
  <c r="K118" i="31" s="1"/>
  <c r="K119" i="31" s="1"/>
  <c r="K120" i="31" s="1"/>
  <c r="K121" i="31" s="1"/>
  <c r="K122" i="31" s="1"/>
  <c r="K123" i="31" s="1"/>
  <c r="K124" i="31" s="1"/>
  <c r="K125" i="31" s="1"/>
  <c r="K126" i="31" s="1"/>
  <c r="K127" i="31" s="1"/>
  <c r="K128" i="31" s="1"/>
  <c r="K129" i="31" s="1"/>
  <c r="K130" i="31" s="1"/>
  <c r="K131" i="31" s="1"/>
  <c r="K132" i="31" s="1"/>
  <c r="K133" i="31" s="1"/>
  <c r="K134" i="31" s="1"/>
  <c r="K135" i="31" s="1"/>
  <c r="K136" i="31" s="1"/>
  <c r="K137" i="31" s="1"/>
  <c r="K138" i="31" s="1"/>
  <c r="K139" i="31" s="1"/>
  <c r="K140" i="31" s="1"/>
  <c r="K141" i="31" s="1"/>
  <c r="K142" i="31" s="1"/>
  <c r="K143" i="31" s="1"/>
  <c r="K144" i="31" s="1"/>
  <c r="K145" i="31" s="1"/>
  <c r="K146" i="31" s="1"/>
  <c r="K147" i="31" s="1"/>
  <c r="K148" i="31" s="1"/>
  <c r="K149" i="31" s="1"/>
  <c r="K150" i="31" s="1"/>
  <c r="K151" i="31" s="1"/>
  <c r="K152" i="31" s="1"/>
  <c r="K153" i="31" s="1"/>
  <c r="K154" i="31" s="1"/>
  <c r="K155" i="31" s="1"/>
  <c r="K156" i="31" s="1"/>
  <c r="K157" i="31" s="1"/>
  <c r="K158" i="31" s="1"/>
  <c r="K159" i="31" s="1"/>
  <c r="K160" i="31" s="1"/>
  <c r="K161" i="31" s="1"/>
  <c r="K162" i="31" s="1"/>
  <c r="K163" i="31" s="1"/>
  <c r="K164" i="31" s="1"/>
  <c r="K165" i="31" s="1"/>
  <c r="K166" i="31" s="1"/>
  <c r="K167" i="31" s="1"/>
  <c r="K168" i="31" s="1"/>
  <c r="K169" i="31" s="1"/>
  <c r="K170" i="31" s="1"/>
  <c r="K171" i="31" s="1"/>
  <c r="K172" i="31" s="1"/>
  <c r="K173" i="31" s="1"/>
  <c r="K174" i="31" s="1"/>
  <c r="K175" i="31" s="1"/>
  <c r="K176" i="31" s="1"/>
  <c r="K177" i="31" s="1"/>
  <c r="K178" i="31" s="1"/>
  <c r="K179" i="31" s="1"/>
  <c r="K180" i="31" s="1"/>
  <c r="K181" i="31" s="1"/>
  <c r="K182" i="31" s="1"/>
  <c r="K183" i="31" s="1"/>
  <c r="K184" i="31" s="1"/>
  <c r="K185" i="31" s="1"/>
  <c r="K186" i="31" s="1"/>
  <c r="K187" i="31" s="1"/>
  <c r="K188" i="31" s="1"/>
  <c r="K189" i="31" s="1"/>
  <c r="K190" i="31" s="1"/>
  <c r="K191" i="31" s="1"/>
  <c r="K192" i="31" s="1"/>
  <c r="K193" i="31" s="1"/>
  <c r="K194" i="31" s="1"/>
  <c r="K195" i="31" s="1"/>
  <c r="K196" i="31" s="1"/>
  <c r="K197" i="31" s="1"/>
  <c r="K198" i="31" s="1"/>
  <c r="K199" i="31" s="1"/>
  <c r="K200" i="31" s="1"/>
  <c r="K201" i="31" s="1"/>
  <c r="K202" i="31" s="1"/>
  <c r="K203" i="31" s="1"/>
  <c r="K204" i="31" s="1"/>
  <c r="K205" i="31" s="1"/>
  <c r="K206" i="31" s="1"/>
  <c r="K207" i="31" s="1"/>
  <c r="K208" i="31" s="1"/>
  <c r="K209" i="31" s="1"/>
  <c r="K210" i="31" s="1"/>
  <c r="K211" i="31" s="1"/>
  <c r="K212" i="31" s="1"/>
  <c r="K213" i="31" s="1"/>
  <c r="K214" i="31" s="1"/>
  <c r="K215" i="31" s="1"/>
  <c r="K216" i="31" s="1"/>
  <c r="K217" i="31" s="1"/>
  <c r="K218" i="31" s="1"/>
  <c r="K219" i="31" s="1"/>
  <c r="K220" i="31" s="1"/>
  <c r="K221" i="31" s="1"/>
  <c r="K222" i="31" s="1"/>
  <c r="K223" i="31" s="1"/>
  <c r="K224" i="31" s="1"/>
  <c r="K225" i="31" s="1"/>
  <c r="K226" i="31" s="1"/>
  <c r="K227" i="31" s="1"/>
  <c r="K228" i="31" s="1"/>
  <c r="K229" i="31" s="1"/>
  <c r="K230" i="31" s="1"/>
  <c r="K231" i="31" s="1"/>
  <c r="K232" i="31" s="1"/>
  <c r="E95" i="31"/>
  <c r="E96" i="31"/>
  <c r="E97" i="31"/>
  <c r="E98" i="31"/>
  <c r="E99" i="31"/>
  <c r="E100" i="31"/>
  <c r="G100" i="31"/>
  <c r="H100" i="31"/>
  <c r="H107" i="31" s="1"/>
  <c r="H114" i="31" s="1"/>
  <c r="F114" i="31" s="1"/>
  <c r="L100" i="31"/>
  <c r="L107" i="31" s="1"/>
  <c r="L114" i="31" s="1"/>
  <c r="L121" i="31" s="1"/>
  <c r="L128" i="31" s="1"/>
  <c r="L135" i="31" s="1"/>
  <c r="L142" i="31" s="1"/>
  <c r="L149" i="31" s="1"/>
  <c r="L156" i="31" s="1"/>
  <c r="L163" i="31" s="1"/>
  <c r="L170" i="31" s="1"/>
  <c r="L177" i="31" s="1"/>
  <c r="L184" i="31" s="1"/>
  <c r="L191" i="31" s="1"/>
  <c r="L198" i="31" s="1"/>
  <c r="L205" i="31" s="1"/>
  <c r="L212" i="31" s="1"/>
  <c r="L219" i="31" s="1"/>
  <c r="L226" i="31" s="1"/>
  <c r="E101" i="31"/>
  <c r="I101" i="31"/>
  <c r="G101" i="31" s="1"/>
  <c r="C101" i="31" s="1"/>
  <c r="E102" i="31"/>
  <c r="E103" i="31"/>
  <c r="E104" i="31"/>
  <c r="E105" i="31"/>
  <c r="E106" i="31"/>
  <c r="E107" i="31"/>
  <c r="G107" i="31"/>
  <c r="E108" i="31"/>
  <c r="I108" i="31"/>
  <c r="E109" i="31"/>
  <c r="E110" i="31"/>
  <c r="E111" i="31"/>
  <c r="E112" i="31"/>
  <c r="E113" i="31"/>
  <c r="E114" i="31"/>
  <c r="G114" i="31"/>
  <c r="B114" i="31" s="1"/>
  <c r="E115" i="31"/>
  <c r="I115" i="31"/>
  <c r="I116" i="31" s="1"/>
  <c r="E116" i="31"/>
  <c r="E117" i="31"/>
  <c r="E118" i="31"/>
  <c r="E119" i="31"/>
  <c r="E120" i="31"/>
  <c r="E121" i="31"/>
  <c r="G121" i="31"/>
  <c r="E122" i="31"/>
  <c r="I122" i="31"/>
  <c r="E123" i="31"/>
  <c r="E124" i="31"/>
  <c r="E125" i="31"/>
  <c r="E126" i="31"/>
  <c r="E127" i="31"/>
  <c r="E128" i="31"/>
  <c r="G128" i="31"/>
  <c r="C128" i="31" s="1"/>
  <c r="E129" i="31"/>
  <c r="I129" i="31"/>
  <c r="E130" i="31"/>
  <c r="E131" i="31"/>
  <c r="E132" i="31"/>
  <c r="E133" i="31"/>
  <c r="E134" i="31"/>
  <c r="E135" i="31"/>
  <c r="G135" i="31"/>
  <c r="B135" i="31" s="1"/>
  <c r="E136" i="31"/>
  <c r="I136" i="31"/>
  <c r="I137" i="31" s="1"/>
  <c r="E137" i="31"/>
  <c r="E138" i="31"/>
  <c r="E139" i="31"/>
  <c r="E140" i="31"/>
  <c r="E141" i="31"/>
  <c r="E142" i="31"/>
  <c r="G142" i="31"/>
  <c r="B142" i="31" s="1"/>
  <c r="E143" i="31"/>
  <c r="I143" i="31"/>
  <c r="E144" i="31"/>
  <c r="E145" i="31"/>
  <c r="E146" i="31"/>
  <c r="E147" i="31"/>
  <c r="E148" i="31"/>
  <c r="E149" i="31"/>
  <c r="G149" i="31"/>
  <c r="E150" i="31"/>
  <c r="I150" i="31"/>
  <c r="E151" i="31"/>
  <c r="E152" i="31"/>
  <c r="E153" i="31"/>
  <c r="E154" i="31"/>
  <c r="E155" i="31"/>
  <c r="E156" i="31"/>
  <c r="G156" i="31"/>
  <c r="E157" i="31"/>
  <c r="I157" i="31"/>
  <c r="E158" i="31"/>
  <c r="E159" i="31"/>
  <c r="E160" i="31"/>
  <c r="E161" i="31"/>
  <c r="E162" i="31"/>
  <c r="E163" i="31"/>
  <c r="G163" i="31"/>
  <c r="E164" i="31"/>
  <c r="I164" i="31"/>
  <c r="I165" i="31" s="1"/>
  <c r="E165" i="31"/>
  <c r="E166" i="31"/>
  <c r="E167" i="31"/>
  <c r="E168" i="31"/>
  <c r="E169" i="31"/>
  <c r="E170" i="31"/>
  <c r="G170" i="31"/>
  <c r="C170" i="31" s="1"/>
  <c r="E171" i="31"/>
  <c r="I171" i="31"/>
  <c r="E172" i="31"/>
  <c r="E173" i="31"/>
  <c r="E174" i="31"/>
  <c r="E175" i="31"/>
  <c r="E176" i="31"/>
  <c r="E177" i="31"/>
  <c r="G177" i="31"/>
  <c r="B177" i="31" s="1"/>
  <c r="E178" i="31"/>
  <c r="I178" i="31"/>
  <c r="I179" i="31" s="1"/>
  <c r="G179" i="31" s="1"/>
  <c r="E179" i="31"/>
  <c r="E180" i="31"/>
  <c r="E181" i="31"/>
  <c r="E182" i="31"/>
  <c r="E183" i="31"/>
  <c r="E184" i="31"/>
  <c r="G184" i="31"/>
  <c r="E185" i="31"/>
  <c r="I185" i="31"/>
  <c r="G185" i="31" s="1"/>
  <c r="C185" i="31" s="1"/>
  <c r="E186" i="31"/>
  <c r="E187" i="31"/>
  <c r="E188" i="31"/>
  <c r="E189" i="31"/>
  <c r="E190" i="31"/>
  <c r="E191" i="31"/>
  <c r="G191" i="31"/>
  <c r="B191" i="31" s="1"/>
  <c r="E192" i="31"/>
  <c r="I192" i="31"/>
  <c r="I193" i="31" s="1"/>
  <c r="E193" i="31"/>
  <c r="E194" i="31"/>
  <c r="E195" i="31"/>
  <c r="E196" i="31"/>
  <c r="E197" i="31"/>
  <c r="E198" i="31"/>
  <c r="G198" i="31"/>
  <c r="B198" i="31" s="1"/>
  <c r="E199" i="31"/>
  <c r="I199" i="31"/>
  <c r="E200" i="31"/>
  <c r="E201" i="31"/>
  <c r="E202" i="31"/>
  <c r="E203" i="31"/>
  <c r="E204" i="31"/>
  <c r="E205" i="31"/>
  <c r="G205" i="31"/>
  <c r="C205" i="31" s="1"/>
  <c r="E206" i="31"/>
  <c r="I206" i="31"/>
  <c r="G206" i="31" s="1"/>
  <c r="E207" i="31"/>
  <c r="E208" i="31"/>
  <c r="E209" i="31"/>
  <c r="E210" i="31"/>
  <c r="E211" i="31"/>
  <c r="E212" i="31"/>
  <c r="G212" i="31"/>
  <c r="B212" i="31" s="1"/>
  <c r="E213" i="31"/>
  <c r="H213" i="31"/>
  <c r="H214" i="31" s="1"/>
  <c r="H215" i="31" s="1"/>
  <c r="H216" i="31" s="1"/>
  <c r="H217" i="31" s="1"/>
  <c r="H218" i="31" s="1"/>
  <c r="I213" i="31"/>
  <c r="G213" i="31" s="1"/>
  <c r="C213" i="31" s="1"/>
  <c r="E214" i="31"/>
  <c r="E215" i="31"/>
  <c r="E216" i="31"/>
  <c r="E217" i="31"/>
  <c r="E218" i="31"/>
  <c r="E219" i="31"/>
  <c r="G219" i="31"/>
  <c r="H219" i="31"/>
  <c r="H220" i="31" s="1"/>
  <c r="E220" i="31"/>
  <c r="I220" i="31"/>
  <c r="G220" i="31" s="1"/>
  <c r="E221" i="31"/>
  <c r="E222" i="31"/>
  <c r="E223" i="31"/>
  <c r="E224" i="31"/>
  <c r="E225" i="31"/>
  <c r="E226" i="31"/>
  <c r="G226" i="31"/>
  <c r="C226" i="31" s="1"/>
  <c r="E227" i="31"/>
  <c r="I227" i="31"/>
  <c r="I228" i="31" s="1"/>
  <c r="E228" i="31"/>
  <c r="E229" i="31"/>
  <c r="E230" i="31"/>
  <c r="E231" i="31"/>
  <c r="E232" i="31"/>
  <c r="E233" i="31"/>
  <c r="G233" i="31"/>
  <c r="E234" i="31"/>
  <c r="H234" i="31"/>
  <c r="H235" i="31" s="1"/>
  <c r="H236" i="31" s="1"/>
  <c r="H237" i="31" s="1"/>
  <c r="H238" i="31" s="1"/>
  <c r="I234" i="31"/>
  <c r="G234" i="31" s="1"/>
  <c r="K234" i="31"/>
  <c r="K235" i="31" s="1"/>
  <c r="K236" i="31" s="1"/>
  <c r="K237" i="31" s="1"/>
  <c r="K238" i="31" s="1"/>
  <c r="E235" i="31"/>
  <c r="E236" i="31"/>
  <c r="E237" i="31"/>
  <c r="E238" i="31"/>
  <c r="E239" i="31"/>
  <c r="G239" i="31"/>
  <c r="H239" i="31"/>
  <c r="H240" i="31" s="1"/>
  <c r="H241" i="31" s="1"/>
  <c r="L239" i="31"/>
  <c r="L245" i="31" s="1"/>
  <c r="L251" i="31" s="1"/>
  <c r="L257" i="31" s="1"/>
  <c r="L263" i="31" s="1"/>
  <c r="L269" i="31" s="1"/>
  <c r="L275" i="31" s="1"/>
  <c r="L281" i="31" s="1"/>
  <c r="L287" i="31" s="1"/>
  <c r="L293" i="31" s="1"/>
  <c r="L299" i="31" s="1"/>
  <c r="L305" i="31" s="1"/>
  <c r="E240" i="31"/>
  <c r="I240" i="31"/>
  <c r="K240" i="31"/>
  <c r="K241" i="31" s="1"/>
  <c r="K242" i="31" s="1"/>
  <c r="K243" i="31" s="1"/>
  <c r="K244" i="31" s="1"/>
  <c r="E241" i="31"/>
  <c r="E242" i="31"/>
  <c r="E243" i="31"/>
  <c r="E244" i="31"/>
  <c r="E245" i="31"/>
  <c r="G245" i="31"/>
  <c r="C245" i="31" s="1"/>
  <c r="E246" i="31"/>
  <c r="I246" i="31"/>
  <c r="G246" i="31" s="1"/>
  <c r="K246" i="31"/>
  <c r="K247" i="31" s="1"/>
  <c r="K248" i="31" s="1"/>
  <c r="K249" i="31" s="1"/>
  <c r="K250" i="31" s="1"/>
  <c r="E247" i="31"/>
  <c r="E248" i="31"/>
  <c r="E249" i="31"/>
  <c r="E250" i="31"/>
  <c r="E251" i="31"/>
  <c r="G251" i="31"/>
  <c r="E252" i="31"/>
  <c r="I252" i="31"/>
  <c r="K252" i="31"/>
  <c r="K253" i="31" s="1"/>
  <c r="K254" i="31" s="1"/>
  <c r="K255" i="31" s="1"/>
  <c r="K256" i="31" s="1"/>
  <c r="E253" i="31"/>
  <c r="E254" i="31"/>
  <c r="E255" i="31"/>
  <c r="E256" i="31"/>
  <c r="E257" i="31"/>
  <c r="G257" i="31"/>
  <c r="B257" i="31" s="1"/>
  <c r="E258" i="31"/>
  <c r="I258" i="31"/>
  <c r="K258" i="31"/>
  <c r="K259" i="31" s="1"/>
  <c r="K260" i="31" s="1"/>
  <c r="K261" i="31" s="1"/>
  <c r="K262" i="31" s="1"/>
  <c r="E259" i="31"/>
  <c r="E260" i="31"/>
  <c r="E261" i="31"/>
  <c r="E262" i="31"/>
  <c r="E263" i="31"/>
  <c r="G263" i="31"/>
  <c r="E264" i="31"/>
  <c r="I264" i="31"/>
  <c r="G264" i="31" s="1"/>
  <c r="K264" i="31"/>
  <c r="K265" i="31" s="1"/>
  <c r="K266" i="31" s="1"/>
  <c r="K267" i="31" s="1"/>
  <c r="K268" i="31" s="1"/>
  <c r="E265" i="31"/>
  <c r="E266" i="31"/>
  <c r="E267" i="31"/>
  <c r="E268" i="31"/>
  <c r="E269" i="31"/>
  <c r="G269" i="31"/>
  <c r="E270" i="31"/>
  <c r="I270" i="31"/>
  <c r="I271" i="31" s="1"/>
  <c r="I272" i="31" s="1"/>
  <c r="G272" i="31" s="1"/>
  <c r="K270" i="31"/>
  <c r="K271" i="31" s="1"/>
  <c r="K272" i="31" s="1"/>
  <c r="K273" i="31" s="1"/>
  <c r="K274" i="31" s="1"/>
  <c r="E271" i="31"/>
  <c r="E272" i="31"/>
  <c r="E273" i="31"/>
  <c r="E274" i="31"/>
  <c r="E275" i="31"/>
  <c r="G275" i="31"/>
  <c r="E276" i="31"/>
  <c r="I276" i="31"/>
  <c r="I277" i="31" s="1"/>
  <c r="G277" i="31" s="1"/>
  <c r="C277" i="31" s="1"/>
  <c r="K276" i="31"/>
  <c r="K277" i="31" s="1"/>
  <c r="K278" i="31" s="1"/>
  <c r="K279" i="31" s="1"/>
  <c r="K280" i="31" s="1"/>
  <c r="E277" i="31"/>
  <c r="E278" i="31"/>
  <c r="E279" i="31"/>
  <c r="E280" i="31"/>
  <c r="E281" i="31"/>
  <c r="G281" i="31"/>
  <c r="E282" i="31"/>
  <c r="I282" i="31"/>
  <c r="I283" i="31" s="1"/>
  <c r="K282" i="31"/>
  <c r="K283" i="31" s="1"/>
  <c r="K284" i="31" s="1"/>
  <c r="K285" i="31" s="1"/>
  <c r="K286" i="31" s="1"/>
  <c r="E283" i="31"/>
  <c r="E284" i="31"/>
  <c r="E285" i="31"/>
  <c r="E286" i="31"/>
  <c r="E287" i="31"/>
  <c r="G287" i="31"/>
  <c r="B287" i="31" s="1"/>
  <c r="E288" i="31"/>
  <c r="I288" i="31"/>
  <c r="I289" i="31" s="1"/>
  <c r="I290" i="31" s="1"/>
  <c r="K288" i="31"/>
  <c r="K289" i="31" s="1"/>
  <c r="K290" i="31" s="1"/>
  <c r="K291" i="31" s="1"/>
  <c r="K292" i="31" s="1"/>
  <c r="E289" i="31"/>
  <c r="E290" i="31"/>
  <c r="E291" i="31"/>
  <c r="E292" i="31"/>
  <c r="E293" i="31"/>
  <c r="G293" i="31"/>
  <c r="B293" i="31" s="1"/>
  <c r="E294" i="31"/>
  <c r="I294" i="31"/>
  <c r="I295" i="31" s="1"/>
  <c r="K294" i="31"/>
  <c r="K295" i="31" s="1"/>
  <c r="K296" i="31" s="1"/>
  <c r="K297" i="31" s="1"/>
  <c r="K298" i="31" s="1"/>
  <c r="E295" i="31"/>
  <c r="E296" i="31"/>
  <c r="E297" i="31"/>
  <c r="E298" i="31"/>
  <c r="E299" i="31"/>
  <c r="G299" i="31"/>
  <c r="B299" i="31" s="1"/>
  <c r="E300" i="31"/>
  <c r="I300" i="31"/>
  <c r="I301" i="31" s="1"/>
  <c r="K300" i="31"/>
  <c r="K301" i="31" s="1"/>
  <c r="K302" i="31" s="1"/>
  <c r="K303" i="31" s="1"/>
  <c r="K304" i="31" s="1"/>
  <c r="E301" i="31"/>
  <c r="E302" i="31"/>
  <c r="E303" i="31"/>
  <c r="E304" i="31"/>
  <c r="E305" i="31"/>
  <c r="G305" i="31"/>
  <c r="E306" i="31"/>
  <c r="I306" i="31"/>
  <c r="K306" i="31"/>
  <c r="K307" i="31" s="1"/>
  <c r="K308" i="31" s="1"/>
  <c r="K309" i="31" s="1"/>
  <c r="K310" i="31" s="1"/>
  <c r="E307" i="31"/>
  <c r="E308" i="31"/>
  <c r="E309" i="31"/>
  <c r="E310" i="31"/>
  <c r="E311" i="31"/>
  <c r="G311" i="31"/>
  <c r="E312" i="31"/>
  <c r="H312" i="31"/>
  <c r="I312" i="31"/>
  <c r="G312" i="31" s="1"/>
  <c r="K312" i="31"/>
  <c r="K313" i="31" s="1"/>
  <c r="K314" i="31" s="1"/>
  <c r="K315" i="31" s="1"/>
  <c r="K316" i="31" s="1"/>
  <c r="E313" i="31"/>
  <c r="E314" i="31"/>
  <c r="E315" i="31"/>
  <c r="E316" i="31"/>
  <c r="E317" i="31"/>
  <c r="G317" i="31"/>
  <c r="C317" i="31" s="1"/>
  <c r="H317" i="31"/>
  <c r="H323" i="31" s="1"/>
  <c r="H329" i="31" s="1"/>
  <c r="F329" i="31" s="1"/>
  <c r="L317" i="31"/>
  <c r="L323" i="31" s="1"/>
  <c r="L329" i="31" s="1"/>
  <c r="L335" i="31" s="1"/>
  <c r="L341" i="31" s="1"/>
  <c r="L347" i="31" s="1"/>
  <c r="L353" i="31" s="1"/>
  <c r="L359" i="31" s="1"/>
  <c r="L365" i="31" s="1"/>
  <c r="L371" i="31" s="1"/>
  <c r="L377" i="31" s="1"/>
  <c r="L383" i="31" s="1"/>
  <c r="L389" i="31" s="1"/>
  <c r="L395" i="31" s="1"/>
  <c r="L401" i="31" s="1"/>
  <c r="L407" i="31" s="1"/>
  <c r="L413" i="31" s="1"/>
  <c r="L419" i="31" s="1"/>
  <c r="L425" i="31" s="1"/>
  <c r="L431" i="31" s="1"/>
  <c r="L437" i="31" s="1"/>
  <c r="L443" i="31" s="1"/>
  <c r="L449" i="31" s="1"/>
  <c r="L455" i="31" s="1"/>
  <c r="L461" i="31" s="1"/>
  <c r="L467" i="31" s="1"/>
  <c r="E318" i="31"/>
  <c r="I318" i="31"/>
  <c r="G318" i="31" s="1"/>
  <c r="K318" i="31"/>
  <c r="K319" i="31" s="1"/>
  <c r="K320" i="31" s="1"/>
  <c r="K321" i="31" s="1"/>
  <c r="K322" i="31" s="1"/>
  <c r="E319" i="31"/>
  <c r="E320" i="31"/>
  <c r="E321" i="31"/>
  <c r="E322" i="31"/>
  <c r="E323" i="31"/>
  <c r="G323" i="31"/>
  <c r="C323" i="31" s="1"/>
  <c r="E324" i="31"/>
  <c r="I324" i="31"/>
  <c r="G324" i="31" s="1"/>
  <c r="K324" i="31"/>
  <c r="K325" i="31" s="1"/>
  <c r="K326" i="31" s="1"/>
  <c r="K327" i="31" s="1"/>
  <c r="K328" i="31" s="1"/>
  <c r="E325" i="31"/>
  <c r="E326" i="31"/>
  <c r="E327" i="31"/>
  <c r="E328" i="31"/>
  <c r="E329" i="31"/>
  <c r="G329" i="31"/>
  <c r="E330" i="31"/>
  <c r="I330" i="31"/>
  <c r="K330" i="31"/>
  <c r="K331" i="31" s="1"/>
  <c r="K332" i="31" s="1"/>
  <c r="K333" i="31" s="1"/>
  <c r="K334" i="31" s="1"/>
  <c r="E331" i="31"/>
  <c r="E332" i="31"/>
  <c r="E333" i="31"/>
  <c r="E334" i="31"/>
  <c r="E335" i="31"/>
  <c r="G335" i="31"/>
  <c r="E336" i="31"/>
  <c r="I336" i="31"/>
  <c r="K336" i="31"/>
  <c r="K337" i="31" s="1"/>
  <c r="K338" i="31" s="1"/>
  <c r="K339" i="31" s="1"/>
  <c r="K340" i="31" s="1"/>
  <c r="E337" i="31"/>
  <c r="E338" i="31"/>
  <c r="E339" i="31"/>
  <c r="E340" i="31"/>
  <c r="E341" i="31"/>
  <c r="G341" i="31"/>
  <c r="E342" i="31"/>
  <c r="I342" i="31"/>
  <c r="G342" i="31" s="1"/>
  <c r="K342" i="31"/>
  <c r="K343" i="31" s="1"/>
  <c r="K344" i="31" s="1"/>
  <c r="K345" i="31" s="1"/>
  <c r="K346" i="31" s="1"/>
  <c r="E343" i="31"/>
  <c r="E344" i="31"/>
  <c r="E345" i="31"/>
  <c r="E346" i="31"/>
  <c r="E347" i="31"/>
  <c r="G347" i="31"/>
  <c r="E348" i="31"/>
  <c r="I348" i="31"/>
  <c r="G348" i="31" s="1"/>
  <c r="K348" i="31"/>
  <c r="K349" i="31" s="1"/>
  <c r="K350" i="31" s="1"/>
  <c r="K351" i="31" s="1"/>
  <c r="K352" i="31" s="1"/>
  <c r="E349" i="31"/>
  <c r="E350" i="31"/>
  <c r="E351" i="31"/>
  <c r="E352" i="31"/>
  <c r="E353" i="31"/>
  <c r="G353" i="31"/>
  <c r="C353" i="31" s="1"/>
  <c r="E354" i="31"/>
  <c r="I354" i="31"/>
  <c r="G354" i="31" s="1"/>
  <c r="C354" i="31" s="1"/>
  <c r="K354" i="31"/>
  <c r="K355" i="31" s="1"/>
  <c r="K356" i="31" s="1"/>
  <c r="K357" i="31" s="1"/>
  <c r="K358" i="31" s="1"/>
  <c r="E355" i="31"/>
  <c r="E356" i="31"/>
  <c r="E357" i="31"/>
  <c r="E358" i="31"/>
  <c r="E359" i="31"/>
  <c r="G359" i="31"/>
  <c r="E360" i="31"/>
  <c r="I360" i="31"/>
  <c r="I361" i="31" s="1"/>
  <c r="K360" i="31"/>
  <c r="K361" i="31" s="1"/>
  <c r="K362" i="31" s="1"/>
  <c r="K363" i="31" s="1"/>
  <c r="K364" i="31" s="1"/>
  <c r="E361" i="31"/>
  <c r="E362" i="31"/>
  <c r="E363" i="31"/>
  <c r="E364" i="31"/>
  <c r="E365" i="31"/>
  <c r="G365" i="31"/>
  <c r="B365" i="31" s="1"/>
  <c r="E366" i="31"/>
  <c r="I366" i="31"/>
  <c r="G366" i="31" s="1"/>
  <c r="C366" i="31" s="1"/>
  <c r="K366" i="31"/>
  <c r="K367" i="31" s="1"/>
  <c r="K368" i="31" s="1"/>
  <c r="K369" i="31" s="1"/>
  <c r="K370" i="31" s="1"/>
  <c r="E367" i="31"/>
  <c r="E368" i="31"/>
  <c r="E369" i="31"/>
  <c r="E370" i="31"/>
  <c r="E371" i="31"/>
  <c r="G371" i="31"/>
  <c r="E372" i="31"/>
  <c r="I372" i="31"/>
  <c r="G372" i="31" s="1"/>
  <c r="K372" i="31"/>
  <c r="K373" i="31" s="1"/>
  <c r="K374" i="31" s="1"/>
  <c r="K375" i="31" s="1"/>
  <c r="K376" i="31" s="1"/>
  <c r="E373" i="31"/>
  <c r="E374" i="31"/>
  <c r="E375" i="31"/>
  <c r="E376" i="31"/>
  <c r="E377" i="31"/>
  <c r="G377" i="31"/>
  <c r="C377" i="31" s="1"/>
  <c r="E378" i="31"/>
  <c r="I378" i="31"/>
  <c r="I379" i="31" s="1"/>
  <c r="I380" i="31" s="1"/>
  <c r="I381" i="31" s="1"/>
  <c r="I382" i="31" s="1"/>
  <c r="G382" i="31" s="1"/>
  <c r="C382" i="31" s="1"/>
  <c r="K378" i="31"/>
  <c r="K379" i="31" s="1"/>
  <c r="K380" i="31" s="1"/>
  <c r="K381" i="31" s="1"/>
  <c r="K382" i="31" s="1"/>
  <c r="E379" i="31"/>
  <c r="E380" i="31"/>
  <c r="E381" i="31"/>
  <c r="E382" i="31"/>
  <c r="E383" i="31"/>
  <c r="G383" i="31"/>
  <c r="E384" i="31"/>
  <c r="I384" i="31"/>
  <c r="I385" i="31" s="1"/>
  <c r="I386" i="31" s="1"/>
  <c r="G386" i="31" s="1"/>
  <c r="K384" i="31"/>
  <c r="K385" i="31" s="1"/>
  <c r="K386" i="31" s="1"/>
  <c r="K387" i="31" s="1"/>
  <c r="K388" i="31" s="1"/>
  <c r="E385" i="31"/>
  <c r="E386" i="31"/>
  <c r="E387" i="31"/>
  <c r="E388" i="31"/>
  <c r="E389" i="31"/>
  <c r="G389" i="31"/>
  <c r="C389" i="31" s="1"/>
  <c r="E390" i="31"/>
  <c r="I390" i="31"/>
  <c r="G390" i="31" s="1"/>
  <c r="K390" i="31"/>
  <c r="K391" i="31" s="1"/>
  <c r="K392" i="31" s="1"/>
  <c r="K393" i="31" s="1"/>
  <c r="K394" i="31" s="1"/>
  <c r="E391" i="31"/>
  <c r="E392" i="31"/>
  <c r="E393" i="31"/>
  <c r="E394" i="31"/>
  <c r="E395" i="31"/>
  <c r="G395" i="31"/>
  <c r="E396" i="31"/>
  <c r="I396" i="31"/>
  <c r="I397" i="31" s="1"/>
  <c r="I398" i="31" s="1"/>
  <c r="K396" i="31"/>
  <c r="K397" i="31" s="1"/>
  <c r="K398" i="31" s="1"/>
  <c r="K399" i="31" s="1"/>
  <c r="K400" i="31" s="1"/>
  <c r="E397" i="31"/>
  <c r="E398" i="31"/>
  <c r="E399" i="31"/>
  <c r="E400" i="31"/>
  <c r="E401" i="31"/>
  <c r="G401" i="31"/>
  <c r="B401" i="31" s="1"/>
  <c r="E402" i="31"/>
  <c r="I402" i="31"/>
  <c r="I403" i="31" s="1"/>
  <c r="K402" i="31"/>
  <c r="K403" i="31" s="1"/>
  <c r="K404" i="31" s="1"/>
  <c r="K405" i="31" s="1"/>
  <c r="K406" i="31" s="1"/>
  <c r="E403" i="31"/>
  <c r="E404" i="31"/>
  <c r="E405" i="31"/>
  <c r="E406" i="31"/>
  <c r="E407" i="31"/>
  <c r="G407" i="31"/>
  <c r="B407" i="31" s="1"/>
  <c r="E408" i="31"/>
  <c r="I408" i="31"/>
  <c r="G408" i="31" s="1"/>
  <c r="K408" i="31"/>
  <c r="K409" i="31" s="1"/>
  <c r="K410" i="31" s="1"/>
  <c r="K411" i="31" s="1"/>
  <c r="K412" i="31" s="1"/>
  <c r="E409" i="31"/>
  <c r="E410" i="31"/>
  <c r="E411" i="31"/>
  <c r="E412" i="31"/>
  <c r="E413" i="31"/>
  <c r="G413" i="31"/>
  <c r="B413" i="31" s="1"/>
  <c r="E414" i="31"/>
  <c r="I414" i="31"/>
  <c r="I415" i="31" s="1"/>
  <c r="I416" i="31" s="1"/>
  <c r="K414" i="31"/>
  <c r="K415" i="31" s="1"/>
  <c r="K416" i="31" s="1"/>
  <c r="K417" i="31" s="1"/>
  <c r="K418" i="31" s="1"/>
  <c r="E415" i="31"/>
  <c r="E416" i="31"/>
  <c r="E417" i="31"/>
  <c r="E418" i="31"/>
  <c r="E419" i="31"/>
  <c r="G419" i="31"/>
  <c r="E420" i="31"/>
  <c r="H420" i="31"/>
  <c r="H421" i="31" s="1"/>
  <c r="H422" i="31" s="1"/>
  <c r="H423" i="31" s="1"/>
  <c r="H424" i="31" s="1"/>
  <c r="I420" i="31"/>
  <c r="K420" i="31"/>
  <c r="K421" i="31" s="1"/>
  <c r="K422" i="31" s="1"/>
  <c r="K423" i="31" s="1"/>
  <c r="K424" i="31" s="1"/>
  <c r="E421" i="31"/>
  <c r="E422" i="31"/>
  <c r="E423" i="31"/>
  <c r="E424" i="31"/>
  <c r="E425" i="31"/>
  <c r="G425" i="31"/>
  <c r="B425" i="31" s="1"/>
  <c r="H425" i="31"/>
  <c r="H426" i="31" s="1"/>
  <c r="E426" i="31"/>
  <c r="I426" i="31"/>
  <c r="I427" i="31" s="1"/>
  <c r="K426" i="31"/>
  <c r="K427" i="31" s="1"/>
  <c r="K428" i="31" s="1"/>
  <c r="K429" i="31" s="1"/>
  <c r="K430" i="31" s="1"/>
  <c r="E427" i="31"/>
  <c r="E428" i="31"/>
  <c r="E429" i="31"/>
  <c r="E430" i="31"/>
  <c r="E431" i="31"/>
  <c r="G431" i="31"/>
  <c r="E432" i="31"/>
  <c r="I432" i="31"/>
  <c r="I433" i="31" s="1"/>
  <c r="I434" i="31" s="1"/>
  <c r="K432" i="31"/>
  <c r="K433" i="31" s="1"/>
  <c r="K434" i="31" s="1"/>
  <c r="K435" i="31" s="1"/>
  <c r="K436" i="31" s="1"/>
  <c r="E433" i="31"/>
  <c r="E434" i="31"/>
  <c r="E435" i="31"/>
  <c r="E436" i="31"/>
  <c r="E437" i="31"/>
  <c r="G437" i="31"/>
  <c r="B437" i="31" s="1"/>
  <c r="E438" i="31"/>
  <c r="I438" i="31"/>
  <c r="G438" i="31" s="1"/>
  <c r="K438" i="31"/>
  <c r="K439" i="31" s="1"/>
  <c r="K440" i="31" s="1"/>
  <c r="K441" i="31" s="1"/>
  <c r="K442" i="31" s="1"/>
  <c r="E439" i="31"/>
  <c r="E440" i="31"/>
  <c r="E441" i="31"/>
  <c r="E442" i="31"/>
  <c r="E443" i="31"/>
  <c r="G443" i="31"/>
  <c r="B443" i="31" s="1"/>
  <c r="E444" i="31"/>
  <c r="I444" i="31"/>
  <c r="K444" i="31"/>
  <c r="K445" i="31" s="1"/>
  <c r="K446" i="31" s="1"/>
  <c r="K447" i="31" s="1"/>
  <c r="K448" i="31" s="1"/>
  <c r="E445" i="31"/>
  <c r="E446" i="31"/>
  <c r="E447" i="31"/>
  <c r="E448" i="31"/>
  <c r="E449" i="31"/>
  <c r="G449" i="31"/>
  <c r="B449" i="31" s="1"/>
  <c r="E450" i="31"/>
  <c r="I450" i="31"/>
  <c r="I451" i="31" s="1"/>
  <c r="I452" i="31" s="1"/>
  <c r="K450" i="31"/>
  <c r="K451" i="31" s="1"/>
  <c r="K452" i="31" s="1"/>
  <c r="K453" i="31" s="1"/>
  <c r="K454" i="31" s="1"/>
  <c r="E451" i="31"/>
  <c r="E452" i="31"/>
  <c r="E453" i="31"/>
  <c r="E454" i="31"/>
  <c r="E455" i="31"/>
  <c r="G455" i="31"/>
  <c r="E456" i="31"/>
  <c r="H456" i="31"/>
  <c r="H457" i="31" s="1"/>
  <c r="I456" i="31"/>
  <c r="I457" i="31" s="1"/>
  <c r="K456" i="31"/>
  <c r="K457" i="31" s="1"/>
  <c r="K458" i="31" s="1"/>
  <c r="K459" i="31" s="1"/>
  <c r="K460" i="31" s="1"/>
  <c r="E457" i="31"/>
  <c r="E458" i="31"/>
  <c r="E459" i="31"/>
  <c r="E460" i="31"/>
  <c r="E461" i="31"/>
  <c r="G461" i="31"/>
  <c r="B461" i="31" s="1"/>
  <c r="H461" i="31"/>
  <c r="F461" i="31" s="1"/>
  <c r="E462" i="31"/>
  <c r="I462" i="31"/>
  <c r="I463" i="31" s="1"/>
  <c r="I464" i="31" s="1"/>
  <c r="I465" i="31" s="1"/>
  <c r="K462" i="31"/>
  <c r="K463" i="31" s="1"/>
  <c r="K464" i="31" s="1"/>
  <c r="K465" i="31" s="1"/>
  <c r="K466" i="31" s="1"/>
  <c r="E463" i="31"/>
  <c r="E464" i="31"/>
  <c r="E465" i="31"/>
  <c r="E466" i="31"/>
  <c r="E467" i="31"/>
  <c r="G467" i="31"/>
  <c r="B467" i="31" s="1"/>
  <c r="E468" i="31"/>
  <c r="I468" i="31"/>
  <c r="G468" i="31" s="1"/>
  <c r="K468" i="31"/>
  <c r="K469" i="31" s="1"/>
  <c r="K470" i="31" s="1"/>
  <c r="K471" i="31" s="1"/>
  <c r="K472" i="31" s="1"/>
  <c r="E469" i="31"/>
  <c r="E470" i="31"/>
  <c r="E471" i="31"/>
  <c r="E472" i="31"/>
  <c r="E473" i="31"/>
  <c r="G473" i="31"/>
  <c r="B473" i="31" s="1"/>
  <c r="E474" i="31"/>
  <c r="H474" i="31"/>
  <c r="H475" i="31" s="1"/>
  <c r="H476" i="31" s="1"/>
  <c r="H477" i="31" s="1"/>
  <c r="I474" i="31"/>
  <c r="G474" i="31" s="1"/>
  <c r="K474" i="31"/>
  <c r="K475" i="31" s="1"/>
  <c r="K476" i="31" s="1"/>
  <c r="K477" i="31" s="1"/>
  <c r="K478" i="31" s="1"/>
  <c r="E475" i="31"/>
  <c r="E476" i="31"/>
  <c r="E477" i="31"/>
  <c r="E478" i="31"/>
  <c r="E479" i="31"/>
  <c r="G479" i="31"/>
  <c r="B479" i="31" s="1"/>
  <c r="H479" i="31"/>
  <c r="H485" i="31" s="1"/>
  <c r="H486" i="31" s="1"/>
  <c r="L479" i="31"/>
  <c r="L485" i="31" s="1"/>
  <c r="L491" i="31" s="1"/>
  <c r="L497" i="31" s="1"/>
  <c r="L503" i="31" s="1"/>
  <c r="L509" i="31" s="1"/>
  <c r="L515" i="31" s="1"/>
  <c r="L521" i="31" s="1"/>
  <c r="L527" i="31" s="1"/>
  <c r="L533" i="31" s="1"/>
  <c r="L539" i="31" s="1"/>
  <c r="L545" i="31" s="1"/>
  <c r="E480" i="31"/>
  <c r="I480" i="31"/>
  <c r="I481" i="31" s="1"/>
  <c r="G481" i="31" s="1"/>
  <c r="K480" i="31"/>
  <c r="K481" i="31" s="1"/>
  <c r="K482" i="31" s="1"/>
  <c r="K483" i="31" s="1"/>
  <c r="K484" i="31" s="1"/>
  <c r="E481" i="31"/>
  <c r="E482" i="31"/>
  <c r="E483" i="31"/>
  <c r="E484" i="31"/>
  <c r="E485" i="31"/>
  <c r="G485" i="31"/>
  <c r="B485" i="31" s="1"/>
  <c r="E486" i="31"/>
  <c r="I486" i="31"/>
  <c r="I487" i="31" s="1"/>
  <c r="I488" i="31" s="1"/>
  <c r="I489" i="31" s="1"/>
  <c r="G489" i="31" s="1"/>
  <c r="K486" i="31"/>
  <c r="K487" i="31" s="1"/>
  <c r="K488" i="31" s="1"/>
  <c r="K489" i="31" s="1"/>
  <c r="K490" i="31" s="1"/>
  <c r="E487" i="31"/>
  <c r="E488" i="31"/>
  <c r="E489" i="31"/>
  <c r="E490" i="31"/>
  <c r="E491" i="31"/>
  <c r="G491" i="31"/>
  <c r="B491" i="31" s="1"/>
  <c r="E492" i="31"/>
  <c r="I492" i="31"/>
  <c r="G492" i="31" s="1"/>
  <c r="K492" i="31"/>
  <c r="K493" i="31" s="1"/>
  <c r="K494" i="31" s="1"/>
  <c r="K495" i="31" s="1"/>
  <c r="K496" i="31" s="1"/>
  <c r="E493" i="31"/>
  <c r="E494" i="31"/>
  <c r="E495" i="31"/>
  <c r="E496" i="31"/>
  <c r="E497" i="31"/>
  <c r="G497" i="31"/>
  <c r="E498" i="31"/>
  <c r="I498" i="31"/>
  <c r="I499" i="31" s="1"/>
  <c r="K498" i="31"/>
  <c r="K499" i="31" s="1"/>
  <c r="K500" i="31" s="1"/>
  <c r="K501" i="31" s="1"/>
  <c r="K502" i="31" s="1"/>
  <c r="E499" i="31"/>
  <c r="E500" i="31"/>
  <c r="E501" i="31"/>
  <c r="E502" i="31"/>
  <c r="E503" i="31"/>
  <c r="G503" i="31"/>
  <c r="B503" i="31" s="1"/>
  <c r="E504" i="31"/>
  <c r="I504" i="31"/>
  <c r="I505" i="31" s="1"/>
  <c r="I506" i="31" s="1"/>
  <c r="K504" i="31"/>
  <c r="K505" i="31" s="1"/>
  <c r="K506" i="31" s="1"/>
  <c r="K507" i="31" s="1"/>
  <c r="K508" i="31" s="1"/>
  <c r="E505" i="31"/>
  <c r="E506" i="31"/>
  <c r="E507" i="31"/>
  <c r="E508" i="31"/>
  <c r="E509" i="31"/>
  <c r="G509" i="31"/>
  <c r="E510" i="31"/>
  <c r="I510" i="31"/>
  <c r="G510" i="31" s="1"/>
  <c r="K510" i="31"/>
  <c r="K511" i="31" s="1"/>
  <c r="K512" i="31" s="1"/>
  <c r="K513" i="31" s="1"/>
  <c r="K514" i="31" s="1"/>
  <c r="E511" i="31"/>
  <c r="E512" i="31"/>
  <c r="E513" i="31"/>
  <c r="E514" i="31"/>
  <c r="E515" i="31"/>
  <c r="G515" i="31"/>
  <c r="E516" i="31"/>
  <c r="I516" i="31"/>
  <c r="I517" i="31" s="1"/>
  <c r="K516" i="31"/>
  <c r="K517" i="31" s="1"/>
  <c r="K518" i="31" s="1"/>
  <c r="K519" i="31" s="1"/>
  <c r="K520" i="31" s="1"/>
  <c r="E517" i="31"/>
  <c r="E518" i="31"/>
  <c r="E519" i="31"/>
  <c r="E520" i="31"/>
  <c r="E521" i="31"/>
  <c r="G521" i="31"/>
  <c r="C521" i="31" s="1"/>
  <c r="E522" i="31"/>
  <c r="I522" i="31"/>
  <c r="G522" i="31" s="1"/>
  <c r="K522" i="31"/>
  <c r="K523" i="31" s="1"/>
  <c r="K524" i="31" s="1"/>
  <c r="K525" i="31" s="1"/>
  <c r="K526" i="31" s="1"/>
  <c r="E523" i="31"/>
  <c r="E524" i="31"/>
  <c r="E525" i="31"/>
  <c r="E526" i="31"/>
  <c r="E527" i="31"/>
  <c r="G527" i="31"/>
  <c r="E528" i="31"/>
  <c r="I528" i="31"/>
  <c r="G528" i="31" s="1"/>
  <c r="K528" i="31"/>
  <c r="K529" i="31" s="1"/>
  <c r="K530" i="31" s="1"/>
  <c r="K531" i="31" s="1"/>
  <c r="K532" i="31" s="1"/>
  <c r="E529" i="31"/>
  <c r="E530" i="31"/>
  <c r="E531" i="31"/>
  <c r="E532" i="31"/>
  <c r="E533" i="31"/>
  <c r="G533" i="31"/>
  <c r="E534" i="31"/>
  <c r="I534" i="31"/>
  <c r="G534" i="31" s="1"/>
  <c r="K534" i="31"/>
  <c r="K535" i="31" s="1"/>
  <c r="K536" i="31" s="1"/>
  <c r="K537" i="31" s="1"/>
  <c r="K538" i="31" s="1"/>
  <c r="E535" i="31"/>
  <c r="E536" i="31"/>
  <c r="E537" i="31"/>
  <c r="E538" i="31"/>
  <c r="E539" i="31"/>
  <c r="G539" i="31"/>
  <c r="C539" i="31" s="1"/>
  <c r="E540" i="31"/>
  <c r="I540" i="31"/>
  <c r="G540" i="31" s="1"/>
  <c r="K540" i="31"/>
  <c r="K541" i="31" s="1"/>
  <c r="K542" i="31" s="1"/>
  <c r="K543" i="31" s="1"/>
  <c r="K544" i="31" s="1"/>
  <c r="E541" i="31"/>
  <c r="E542" i="31"/>
  <c r="E543" i="31"/>
  <c r="E544" i="31"/>
  <c r="E545" i="31"/>
  <c r="G545" i="31"/>
  <c r="B545" i="31" s="1"/>
  <c r="E546" i="31"/>
  <c r="I546" i="31"/>
  <c r="G546" i="31" s="1"/>
  <c r="K546" i="31"/>
  <c r="K547" i="31" s="1"/>
  <c r="K548" i="31" s="1"/>
  <c r="K549" i="31" s="1"/>
  <c r="K550" i="31" s="1"/>
  <c r="E547" i="31"/>
  <c r="E548" i="31"/>
  <c r="E549" i="31"/>
  <c r="E550" i="31"/>
  <c r="E551" i="31"/>
  <c r="G551" i="31"/>
  <c r="E552" i="31"/>
  <c r="H552" i="31"/>
  <c r="H553" i="31" s="1"/>
  <c r="H554" i="31" s="1"/>
  <c r="H555" i="31" s="1"/>
  <c r="H556" i="31" s="1"/>
  <c r="I552" i="31"/>
  <c r="K552" i="31"/>
  <c r="K553" i="31" s="1"/>
  <c r="K554" i="31" s="1"/>
  <c r="K555" i="31" s="1"/>
  <c r="K556" i="31" s="1"/>
  <c r="E553" i="31"/>
  <c r="E554" i="31"/>
  <c r="E555" i="31"/>
  <c r="E556" i="31"/>
  <c r="E557" i="31"/>
  <c r="G557" i="31"/>
  <c r="B557" i="31" s="1"/>
  <c r="H557" i="31"/>
  <c r="H558" i="31" s="1"/>
  <c r="H559" i="31" s="1"/>
  <c r="H560" i="31" s="1"/>
  <c r="L557" i="31"/>
  <c r="L563" i="31" s="1"/>
  <c r="L569" i="31" s="1"/>
  <c r="L575" i="31" s="1"/>
  <c r="L581" i="31" s="1"/>
  <c r="L587" i="31" s="1"/>
  <c r="L593" i="31" s="1"/>
  <c r="L599" i="31" s="1"/>
  <c r="L605" i="31" s="1"/>
  <c r="L611" i="31" s="1"/>
  <c r="L617" i="31" s="1"/>
  <c r="L623" i="31" s="1"/>
  <c r="L629" i="31" s="1"/>
  <c r="L635" i="31" s="1"/>
  <c r="L641" i="31" s="1"/>
  <c r="L647" i="31" s="1"/>
  <c r="L653" i="31" s="1"/>
  <c r="E558" i="31"/>
  <c r="I558" i="31"/>
  <c r="K558" i="31"/>
  <c r="K559" i="31" s="1"/>
  <c r="K560" i="31" s="1"/>
  <c r="K561" i="31" s="1"/>
  <c r="K562" i="31" s="1"/>
  <c r="E559" i="31"/>
  <c r="E560" i="31"/>
  <c r="E561" i="31"/>
  <c r="E562" i="31"/>
  <c r="E563" i="31"/>
  <c r="G563" i="31"/>
  <c r="E564" i="31"/>
  <c r="I564" i="31"/>
  <c r="K564" i="31"/>
  <c r="K565" i="31" s="1"/>
  <c r="K566" i="31" s="1"/>
  <c r="K567" i="31" s="1"/>
  <c r="K568" i="31" s="1"/>
  <c r="E565" i="31"/>
  <c r="E566" i="31"/>
  <c r="E567" i="31"/>
  <c r="E568" i="31"/>
  <c r="E569" i="31"/>
  <c r="G569" i="31"/>
  <c r="B569" i="31" s="1"/>
  <c r="E570" i="31"/>
  <c r="I570" i="31"/>
  <c r="K570" i="31"/>
  <c r="K571" i="31" s="1"/>
  <c r="K572" i="31" s="1"/>
  <c r="K573" i="31" s="1"/>
  <c r="K574" i="31" s="1"/>
  <c r="E571" i="31"/>
  <c r="E572" i="31"/>
  <c r="E573" i="31"/>
  <c r="E574" i="31"/>
  <c r="E575" i="31"/>
  <c r="G575" i="31"/>
  <c r="E576" i="31"/>
  <c r="I576" i="31"/>
  <c r="K576" i="31"/>
  <c r="K577" i="31" s="1"/>
  <c r="K578" i="31" s="1"/>
  <c r="K579" i="31" s="1"/>
  <c r="K580" i="31" s="1"/>
  <c r="E577" i="31"/>
  <c r="E578" i="31"/>
  <c r="E579" i="31"/>
  <c r="E580" i="31"/>
  <c r="E581" i="31"/>
  <c r="G581" i="31"/>
  <c r="E582" i="31"/>
  <c r="I582" i="31"/>
  <c r="K582" i="31"/>
  <c r="K583" i="31" s="1"/>
  <c r="K584" i="31" s="1"/>
  <c r="K585" i="31" s="1"/>
  <c r="K586" i="31" s="1"/>
  <c r="E583" i="31"/>
  <c r="E584" i="31"/>
  <c r="E585" i="31"/>
  <c r="E586" i="31"/>
  <c r="E587" i="31"/>
  <c r="G587" i="31"/>
  <c r="B587" i="31" s="1"/>
  <c r="E588" i="31"/>
  <c r="I588" i="31"/>
  <c r="K588" i="31"/>
  <c r="K589" i="31" s="1"/>
  <c r="K590" i="31" s="1"/>
  <c r="K591" i="31" s="1"/>
  <c r="K592" i="31" s="1"/>
  <c r="E589" i="31"/>
  <c r="E590" i="31"/>
  <c r="E591" i="31"/>
  <c r="E592" i="31"/>
  <c r="E593" i="31"/>
  <c r="G593" i="31"/>
  <c r="B593" i="31" s="1"/>
  <c r="E594" i="31"/>
  <c r="I594" i="31"/>
  <c r="K594" i="31"/>
  <c r="K595" i="31" s="1"/>
  <c r="K596" i="31" s="1"/>
  <c r="K597" i="31" s="1"/>
  <c r="K598" i="31" s="1"/>
  <c r="E595" i="31"/>
  <c r="E596" i="31"/>
  <c r="E597" i="31"/>
  <c r="E598" i="31"/>
  <c r="E599" i="31"/>
  <c r="G599" i="31"/>
  <c r="E600" i="31"/>
  <c r="I600" i="31"/>
  <c r="G600" i="31" s="1"/>
  <c r="K600" i="31"/>
  <c r="K601" i="31" s="1"/>
  <c r="K602" i="31" s="1"/>
  <c r="K603" i="31" s="1"/>
  <c r="K604" i="31" s="1"/>
  <c r="E601" i="31"/>
  <c r="E602" i="31"/>
  <c r="E603" i="31"/>
  <c r="E604" i="31"/>
  <c r="E605" i="31"/>
  <c r="G605" i="31"/>
  <c r="C605" i="31" s="1"/>
  <c r="E606" i="31"/>
  <c r="I606" i="31"/>
  <c r="I607" i="31" s="1"/>
  <c r="K606" i="31"/>
  <c r="K607" i="31" s="1"/>
  <c r="K608" i="31" s="1"/>
  <c r="K609" i="31" s="1"/>
  <c r="K610" i="31" s="1"/>
  <c r="E607" i="31"/>
  <c r="E608" i="31"/>
  <c r="E609" i="31"/>
  <c r="E610" i="31"/>
  <c r="E611" i="31"/>
  <c r="G611" i="31"/>
  <c r="B611" i="31" s="1"/>
  <c r="E612" i="31"/>
  <c r="I612" i="31"/>
  <c r="K612" i="31"/>
  <c r="K613" i="31" s="1"/>
  <c r="K614" i="31" s="1"/>
  <c r="K615" i="31" s="1"/>
  <c r="K616" i="31" s="1"/>
  <c r="E613" i="31"/>
  <c r="E614" i="31"/>
  <c r="E615" i="31"/>
  <c r="E616" i="31"/>
  <c r="E617" i="31"/>
  <c r="G617" i="31"/>
  <c r="C617" i="31" s="1"/>
  <c r="E618" i="31"/>
  <c r="I618" i="31"/>
  <c r="K618" i="31"/>
  <c r="K619" i="31" s="1"/>
  <c r="K620" i="31" s="1"/>
  <c r="K621" i="31" s="1"/>
  <c r="K622" i="31" s="1"/>
  <c r="E619" i="31"/>
  <c r="E620" i="31"/>
  <c r="E621" i="31"/>
  <c r="E622" i="31"/>
  <c r="E623" i="31"/>
  <c r="G623" i="31"/>
  <c r="B623" i="31" s="1"/>
  <c r="E624" i="31"/>
  <c r="I624" i="31"/>
  <c r="K624" i="31"/>
  <c r="K625" i="31" s="1"/>
  <c r="K626" i="31" s="1"/>
  <c r="K627" i="31" s="1"/>
  <c r="K628" i="31" s="1"/>
  <c r="E625" i="31"/>
  <c r="E626" i="31"/>
  <c r="E627" i="31"/>
  <c r="E628" i="31"/>
  <c r="E629" i="31"/>
  <c r="G629" i="31"/>
  <c r="C629" i="31" s="1"/>
  <c r="E630" i="31"/>
  <c r="I630" i="31"/>
  <c r="K630" i="31"/>
  <c r="K631" i="31" s="1"/>
  <c r="K632" i="31" s="1"/>
  <c r="K633" i="31" s="1"/>
  <c r="K634" i="31" s="1"/>
  <c r="E631" i="31"/>
  <c r="E632" i="31"/>
  <c r="E633" i="31"/>
  <c r="E634" i="31"/>
  <c r="E635" i="31"/>
  <c r="G635" i="31"/>
  <c r="B635" i="31" s="1"/>
  <c r="E636" i="31"/>
  <c r="I636" i="31"/>
  <c r="K636" i="31"/>
  <c r="K637" i="31" s="1"/>
  <c r="K638" i="31" s="1"/>
  <c r="K639" i="31" s="1"/>
  <c r="K640" i="31" s="1"/>
  <c r="E637" i="31"/>
  <c r="E638" i="31"/>
  <c r="E639" i="31"/>
  <c r="E640" i="31"/>
  <c r="E641" i="31"/>
  <c r="G641" i="31"/>
  <c r="E642" i="31"/>
  <c r="I642" i="31"/>
  <c r="K642" i="31"/>
  <c r="K643" i="31" s="1"/>
  <c r="K644" i="31" s="1"/>
  <c r="K645" i="31" s="1"/>
  <c r="K646" i="31" s="1"/>
  <c r="E643" i="31"/>
  <c r="E644" i="31"/>
  <c r="E645" i="31"/>
  <c r="E646" i="31"/>
  <c r="E647" i="31"/>
  <c r="G647" i="31"/>
  <c r="E648" i="31"/>
  <c r="I648" i="31"/>
  <c r="I649" i="31" s="1"/>
  <c r="G649" i="31" s="1"/>
  <c r="K648" i="31"/>
  <c r="K649" i="31" s="1"/>
  <c r="K650" i="31" s="1"/>
  <c r="K651" i="31" s="1"/>
  <c r="K652" i="31" s="1"/>
  <c r="E649" i="31"/>
  <c r="E650" i="31"/>
  <c r="E651" i="31"/>
  <c r="E652" i="31"/>
  <c r="E653" i="31"/>
  <c r="G653" i="31"/>
  <c r="E654" i="31"/>
  <c r="I654" i="31"/>
  <c r="K654" i="31"/>
  <c r="K655" i="31" s="1"/>
  <c r="K656" i="31" s="1"/>
  <c r="K657" i="31" s="1"/>
  <c r="K658" i="31" s="1"/>
  <c r="E655" i="31"/>
  <c r="E656" i="31"/>
  <c r="E657" i="31"/>
  <c r="E658" i="31"/>
  <c r="E659" i="31"/>
  <c r="G659" i="31"/>
  <c r="E660" i="31"/>
  <c r="H660" i="31"/>
  <c r="I660" i="31"/>
  <c r="I661" i="31" s="1"/>
  <c r="K660" i="31"/>
  <c r="K661" i="31" s="1"/>
  <c r="K662" i="31" s="1"/>
  <c r="K663" i="31" s="1"/>
  <c r="K664" i="31" s="1"/>
  <c r="K665" i="31" s="1"/>
  <c r="K666" i="31" s="1"/>
  <c r="K667" i="31" s="1"/>
  <c r="K668" i="31" s="1"/>
  <c r="K669" i="31" s="1"/>
  <c r="K670" i="31" s="1"/>
  <c r="E661" i="31"/>
  <c r="E662" i="31"/>
  <c r="E663" i="31"/>
  <c r="E664" i="31"/>
  <c r="E665" i="31"/>
  <c r="E666" i="31"/>
  <c r="E667" i="31"/>
  <c r="E668" i="31"/>
  <c r="E669" i="31"/>
  <c r="E670" i="31"/>
  <c r="E671" i="31"/>
  <c r="G671" i="31"/>
  <c r="H671" i="31"/>
  <c r="L671" i="31"/>
  <c r="L683" i="31" s="1"/>
  <c r="L695" i="31" s="1"/>
  <c r="L707" i="31" s="1"/>
  <c r="L719" i="31" s="1"/>
  <c r="L731" i="31" s="1"/>
  <c r="L743" i="31" s="1"/>
  <c r="L755" i="31" s="1"/>
  <c r="L767" i="31" s="1"/>
  <c r="L779" i="31" s="1"/>
  <c r="L791" i="31" s="1"/>
  <c r="L803" i="31" s="1"/>
  <c r="E672" i="31"/>
  <c r="I672" i="31"/>
  <c r="K672" i="31"/>
  <c r="K673" i="31" s="1"/>
  <c r="K674" i="31" s="1"/>
  <c r="K675" i="31" s="1"/>
  <c r="K676" i="31" s="1"/>
  <c r="K677" i="31" s="1"/>
  <c r="K678" i="31" s="1"/>
  <c r="K679" i="31" s="1"/>
  <c r="K680" i="31" s="1"/>
  <c r="K681" i="31" s="1"/>
  <c r="K682" i="31" s="1"/>
  <c r="E673" i="31"/>
  <c r="E674" i="31"/>
  <c r="E675" i="31"/>
  <c r="E676" i="31"/>
  <c r="E677" i="31"/>
  <c r="E678" i="31"/>
  <c r="E679" i="31"/>
  <c r="E680" i="31"/>
  <c r="E681" i="31"/>
  <c r="E682" i="31"/>
  <c r="E683" i="31"/>
  <c r="G683" i="31"/>
  <c r="E684" i="31"/>
  <c r="I684" i="31"/>
  <c r="K684" i="31"/>
  <c r="K685" i="31" s="1"/>
  <c r="K686" i="31" s="1"/>
  <c r="K687" i="31" s="1"/>
  <c r="K688" i="31" s="1"/>
  <c r="K689" i="31" s="1"/>
  <c r="K690" i="31" s="1"/>
  <c r="K691" i="31" s="1"/>
  <c r="K692" i="31" s="1"/>
  <c r="K693" i="31" s="1"/>
  <c r="K694" i="31" s="1"/>
  <c r="E685" i="31"/>
  <c r="E686" i="31"/>
  <c r="E687" i="31"/>
  <c r="E688" i="31"/>
  <c r="E689" i="31"/>
  <c r="E690" i="31"/>
  <c r="E691" i="31"/>
  <c r="E692" i="31"/>
  <c r="E693" i="31"/>
  <c r="E694" i="31"/>
  <c r="E695" i="31"/>
  <c r="G695" i="31"/>
  <c r="E696" i="31"/>
  <c r="I696" i="31"/>
  <c r="G696" i="31" s="1"/>
  <c r="C696" i="31" s="1"/>
  <c r="K696" i="31"/>
  <c r="K697" i="31" s="1"/>
  <c r="K698" i="31" s="1"/>
  <c r="K699" i="31" s="1"/>
  <c r="K700" i="31" s="1"/>
  <c r="K701" i="31" s="1"/>
  <c r="K702" i="31" s="1"/>
  <c r="K703" i="31" s="1"/>
  <c r="K704" i="31" s="1"/>
  <c r="K705" i="31" s="1"/>
  <c r="K706" i="31" s="1"/>
  <c r="E697" i="31"/>
  <c r="E698" i="31"/>
  <c r="E699" i="31"/>
  <c r="E700" i="31"/>
  <c r="E701" i="31"/>
  <c r="E702" i="31"/>
  <c r="E703" i="31"/>
  <c r="E704" i="31"/>
  <c r="E705" i="31"/>
  <c r="E706" i="31"/>
  <c r="E707" i="31"/>
  <c r="G707" i="31"/>
  <c r="E708" i="31"/>
  <c r="I708" i="31"/>
  <c r="G708" i="31" s="1"/>
  <c r="C708" i="31" s="1"/>
  <c r="K708" i="31"/>
  <c r="K709" i="31" s="1"/>
  <c r="K710" i="31" s="1"/>
  <c r="K711" i="31" s="1"/>
  <c r="K712" i="31" s="1"/>
  <c r="K713" i="31" s="1"/>
  <c r="K714" i="31" s="1"/>
  <c r="K715" i="31" s="1"/>
  <c r="K716" i="31" s="1"/>
  <c r="K717" i="31" s="1"/>
  <c r="K718" i="31" s="1"/>
  <c r="E709" i="31"/>
  <c r="E710" i="31"/>
  <c r="E711" i="31"/>
  <c r="E712" i="31"/>
  <c r="E713" i="31"/>
  <c r="E714" i="31"/>
  <c r="E715" i="31"/>
  <c r="E716" i="31"/>
  <c r="E717" i="31"/>
  <c r="E718" i="31"/>
  <c r="E719" i="31"/>
  <c r="G719" i="31"/>
  <c r="E720" i="31"/>
  <c r="I720" i="31"/>
  <c r="G720" i="31" s="1"/>
  <c r="C720" i="31" s="1"/>
  <c r="K720" i="31"/>
  <c r="K721" i="31" s="1"/>
  <c r="K722" i="31" s="1"/>
  <c r="K723" i="31" s="1"/>
  <c r="K724" i="31" s="1"/>
  <c r="K725" i="31" s="1"/>
  <c r="K726" i="31" s="1"/>
  <c r="K727" i="31" s="1"/>
  <c r="K728" i="31" s="1"/>
  <c r="K729" i="31" s="1"/>
  <c r="K730" i="31" s="1"/>
  <c r="E721" i="31"/>
  <c r="E722" i="31"/>
  <c r="E723" i="31"/>
  <c r="E724" i="31"/>
  <c r="E725" i="31"/>
  <c r="E726" i="31"/>
  <c r="E727" i="31"/>
  <c r="E728" i="31"/>
  <c r="E729" i="31"/>
  <c r="E730" i="31"/>
  <c r="E731" i="31"/>
  <c r="G731" i="31"/>
  <c r="E732" i="31"/>
  <c r="I732" i="31"/>
  <c r="K732" i="31"/>
  <c r="K733" i="31" s="1"/>
  <c r="K734" i="31" s="1"/>
  <c r="K735" i="31" s="1"/>
  <c r="K736" i="31" s="1"/>
  <c r="K737" i="31" s="1"/>
  <c r="K738" i="31" s="1"/>
  <c r="K739" i="31" s="1"/>
  <c r="K740" i="31" s="1"/>
  <c r="K741" i="31" s="1"/>
  <c r="K742" i="31" s="1"/>
  <c r="E733" i="31"/>
  <c r="E734" i="31"/>
  <c r="E735" i="31"/>
  <c r="E736" i="31"/>
  <c r="E737" i="31"/>
  <c r="E738" i="31"/>
  <c r="E739" i="31"/>
  <c r="E740" i="31"/>
  <c r="E741" i="31"/>
  <c r="E742" i="31"/>
  <c r="E743" i="31"/>
  <c r="G743" i="31"/>
  <c r="E744" i="31"/>
  <c r="I744" i="31"/>
  <c r="I745" i="31" s="1"/>
  <c r="K744" i="31"/>
  <c r="K745" i="31" s="1"/>
  <c r="K746" i="31" s="1"/>
  <c r="K747" i="31" s="1"/>
  <c r="K748" i="31" s="1"/>
  <c r="K749" i="31" s="1"/>
  <c r="K750" i="31" s="1"/>
  <c r="K751" i="31" s="1"/>
  <c r="K752" i="31" s="1"/>
  <c r="K753" i="31" s="1"/>
  <c r="K754" i="31" s="1"/>
  <c r="E745" i="31"/>
  <c r="E746" i="31"/>
  <c r="E747" i="31"/>
  <c r="E748" i="31"/>
  <c r="E749" i="31"/>
  <c r="E750" i="31"/>
  <c r="E751" i="31"/>
  <c r="E752" i="31"/>
  <c r="E753" i="31"/>
  <c r="E754" i="31"/>
  <c r="E755" i="31"/>
  <c r="G755" i="31"/>
  <c r="E756" i="31"/>
  <c r="I756" i="31"/>
  <c r="I757" i="31" s="1"/>
  <c r="K756" i="31"/>
  <c r="K757" i="31" s="1"/>
  <c r="K758" i="31" s="1"/>
  <c r="K759" i="31" s="1"/>
  <c r="K760" i="31" s="1"/>
  <c r="K761" i="31" s="1"/>
  <c r="K762" i="31" s="1"/>
  <c r="K763" i="31" s="1"/>
  <c r="K764" i="31" s="1"/>
  <c r="K765" i="31" s="1"/>
  <c r="K766" i="31" s="1"/>
  <c r="E757" i="31"/>
  <c r="E758" i="31"/>
  <c r="E759" i="31"/>
  <c r="E760" i="31"/>
  <c r="E761" i="31"/>
  <c r="E762" i="31"/>
  <c r="E763" i="31"/>
  <c r="E764" i="31"/>
  <c r="E765" i="31"/>
  <c r="E766" i="31"/>
  <c r="E767" i="31"/>
  <c r="G767" i="31"/>
  <c r="E768" i="31"/>
  <c r="I768" i="31"/>
  <c r="I769" i="31" s="1"/>
  <c r="K768" i="31"/>
  <c r="K769" i="31" s="1"/>
  <c r="K770" i="31" s="1"/>
  <c r="K771" i="31" s="1"/>
  <c r="K772" i="31" s="1"/>
  <c r="K773" i="31" s="1"/>
  <c r="K774" i="31" s="1"/>
  <c r="K775" i="31" s="1"/>
  <c r="K776" i="31" s="1"/>
  <c r="K777" i="31" s="1"/>
  <c r="K778" i="31" s="1"/>
  <c r="E769" i="31"/>
  <c r="E770" i="31"/>
  <c r="E771" i="31"/>
  <c r="E772" i="31"/>
  <c r="E773" i="31"/>
  <c r="E774" i="31"/>
  <c r="E775" i="31"/>
  <c r="E776" i="31"/>
  <c r="E777" i="31"/>
  <c r="E778" i="31"/>
  <c r="E779" i="31"/>
  <c r="G779" i="31"/>
  <c r="E780" i="31"/>
  <c r="I780" i="31"/>
  <c r="G780" i="31" s="1"/>
  <c r="C780" i="31" s="1"/>
  <c r="K780" i="31"/>
  <c r="K781" i="31" s="1"/>
  <c r="K782" i="31" s="1"/>
  <c r="K783" i="31" s="1"/>
  <c r="K784" i="31" s="1"/>
  <c r="K785" i="31" s="1"/>
  <c r="K786" i="31" s="1"/>
  <c r="K787" i="31" s="1"/>
  <c r="K788" i="31" s="1"/>
  <c r="K789" i="31" s="1"/>
  <c r="K790" i="31" s="1"/>
  <c r="E781" i="31"/>
  <c r="E782" i="31"/>
  <c r="E783" i="31"/>
  <c r="E784" i="31"/>
  <c r="E785" i="31"/>
  <c r="E786" i="31"/>
  <c r="E787" i="31"/>
  <c r="E788" i="31"/>
  <c r="E789" i="31"/>
  <c r="E790" i="31"/>
  <c r="E791" i="31"/>
  <c r="G791" i="31"/>
  <c r="E792" i="31"/>
  <c r="I792" i="31"/>
  <c r="I793" i="31" s="1"/>
  <c r="G793" i="31" s="1"/>
  <c r="C793" i="31" s="1"/>
  <c r="K792" i="31"/>
  <c r="K793" i="31" s="1"/>
  <c r="K794" i="31" s="1"/>
  <c r="K795" i="31" s="1"/>
  <c r="K796" i="31" s="1"/>
  <c r="K797" i="31" s="1"/>
  <c r="K798" i="31" s="1"/>
  <c r="K799" i="31" s="1"/>
  <c r="K800" i="31" s="1"/>
  <c r="K801" i="31" s="1"/>
  <c r="K802" i="31" s="1"/>
  <c r="E793" i="31"/>
  <c r="E794" i="31"/>
  <c r="E795" i="31"/>
  <c r="E796" i="31"/>
  <c r="E797" i="31"/>
  <c r="E798" i="31"/>
  <c r="E799" i="31"/>
  <c r="E800" i="31"/>
  <c r="E801" i="31"/>
  <c r="E802" i="31"/>
  <c r="E803" i="31"/>
  <c r="G803" i="31"/>
  <c r="E804" i="31"/>
  <c r="I804" i="31"/>
  <c r="K804" i="31"/>
  <c r="K805" i="31" s="1"/>
  <c r="K806" i="31" s="1"/>
  <c r="K807" i="31" s="1"/>
  <c r="K808" i="31" s="1"/>
  <c r="K809" i="31" s="1"/>
  <c r="K810" i="31" s="1"/>
  <c r="K811" i="31" s="1"/>
  <c r="K812" i="31" s="1"/>
  <c r="K813" i="31" s="1"/>
  <c r="K814" i="31" s="1"/>
  <c r="E805" i="31"/>
  <c r="E806" i="31"/>
  <c r="E807" i="31"/>
  <c r="E808" i="31"/>
  <c r="E809" i="31"/>
  <c r="E810" i="31"/>
  <c r="E811" i="31"/>
  <c r="E812" i="31"/>
  <c r="E813" i="31"/>
  <c r="E814" i="31"/>
  <c r="E815" i="31"/>
  <c r="G815" i="31"/>
  <c r="E816" i="31"/>
  <c r="H816" i="31"/>
  <c r="H817" i="31" s="1"/>
  <c r="H818" i="31" s="1"/>
  <c r="H819" i="31" s="1"/>
  <c r="I816" i="31"/>
  <c r="K816" i="31"/>
  <c r="K817" i="31" s="1"/>
  <c r="K818" i="31" s="1"/>
  <c r="K819" i="31" s="1"/>
  <c r="K820" i="31" s="1"/>
  <c r="K821" i="31" s="1"/>
  <c r="K822" i="31" s="1"/>
  <c r="K823" i="31" s="1"/>
  <c r="K824" i="31" s="1"/>
  <c r="K825" i="31" s="1"/>
  <c r="K826" i="31" s="1"/>
  <c r="E817" i="31"/>
  <c r="E818" i="31"/>
  <c r="E819" i="31"/>
  <c r="E820" i="31"/>
  <c r="E821" i="31"/>
  <c r="E822" i="31"/>
  <c r="E823" i="31"/>
  <c r="E824" i="31"/>
  <c r="E825" i="31"/>
  <c r="E826" i="31"/>
  <c r="E827" i="31"/>
  <c r="G827" i="31"/>
  <c r="H827" i="31"/>
  <c r="H828" i="31" s="1"/>
  <c r="L827" i="31"/>
  <c r="L839" i="31" s="1"/>
  <c r="L851" i="31" s="1"/>
  <c r="L863" i="31" s="1"/>
  <c r="L875" i="31" s="1"/>
  <c r="L887" i="31" s="1"/>
  <c r="L899" i="31" s="1"/>
  <c r="L911" i="31" s="1"/>
  <c r="L923" i="31" s="1"/>
  <c r="L935" i="31" s="1"/>
  <c r="L947" i="31" s="1"/>
  <c r="L959" i="31" s="1"/>
  <c r="L971" i="31" s="1"/>
  <c r="L983" i="31" s="1"/>
  <c r="L995" i="31" s="1"/>
  <c r="L1007" i="31" s="1"/>
  <c r="L1019" i="31" s="1"/>
  <c r="E828" i="31"/>
  <c r="I828" i="31"/>
  <c r="I829" i="31" s="1"/>
  <c r="G829" i="31" s="1"/>
  <c r="C829" i="31" s="1"/>
  <c r="K828" i="31"/>
  <c r="K829" i="31" s="1"/>
  <c r="K830" i="31" s="1"/>
  <c r="K831" i="31" s="1"/>
  <c r="K832" i="31" s="1"/>
  <c r="K833" i="31" s="1"/>
  <c r="K834" i="31" s="1"/>
  <c r="K835" i="31" s="1"/>
  <c r="K836" i="31" s="1"/>
  <c r="K837" i="31" s="1"/>
  <c r="K838" i="31" s="1"/>
  <c r="E829" i="31"/>
  <c r="E830" i="31"/>
  <c r="E831" i="31"/>
  <c r="E832" i="31"/>
  <c r="E833" i="31"/>
  <c r="E834" i="31"/>
  <c r="E835" i="31"/>
  <c r="E836" i="31"/>
  <c r="E837" i="31"/>
  <c r="E838" i="31"/>
  <c r="E839" i="31"/>
  <c r="G839" i="31"/>
  <c r="E840" i="31"/>
  <c r="I840" i="31"/>
  <c r="I841" i="31" s="1"/>
  <c r="I842" i="31" s="1"/>
  <c r="I843" i="31" s="1"/>
  <c r="K840" i="31"/>
  <c r="K841" i="31" s="1"/>
  <c r="K842" i="31" s="1"/>
  <c r="K843" i="31" s="1"/>
  <c r="K844" i="31" s="1"/>
  <c r="K845" i="31" s="1"/>
  <c r="K846" i="31" s="1"/>
  <c r="K847" i="31" s="1"/>
  <c r="K848" i="31" s="1"/>
  <c r="K849" i="31" s="1"/>
  <c r="K850" i="31" s="1"/>
  <c r="E841" i="31"/>
  <c r="E842" i="31"/>
  <c r="E843" i="31"/>
  <c r="E844" i="31"/>
  <c r="E845" i="31"/>
  <c r="E846" i="31"/>
  <c r="E847" i="31"/>
  <c r="E848" i="31"/>
  <c r="E849" i="31"/>
  <c r="E850" i="31"/>
  <c r="E851" i="31"/>
  <c r="G851" i="31"/>
  <c r="E852" i="31"/>
  <c r="I852" i="31"/>
  <c r="G852" i="31" s="1"/>
  <c r="C852" i="31" s="1"/>
  <c r="K852" i="31"/>
  <c r="K853" i="31" s="1"/>
  <c r="K854" i="31" s="1"/>
  <c r="K855" i="31" s="1"/>
  <c r="K856" i="31" s="1"/>
  <c r="K857" i="31" s="1"/>
  <c r="K858" i="31" s="1"/>
  <c r="K859" i="31" s="1"/>
  <c r="K860" i="31" s="1"/>
  <c r="K861" i="31" s="1"/>
  <c r="K862" i="31" s="1"/>
  <c r="E853" i="31"/>
  <c r="E854" i="31"/>
  <c r="E855" i="31"/>
  <c r="E856" i="31"/>
  <c r="E857" i="31"/>
  <c r="E858" i="31"/>
  <c r="E859" i="31"/>
  <c r="E860" i="31"/>
  <c r="E861" i="31"/>
  <c r="E862" i="31"/>
  <c r="E863" i="31"/>
  <c r="G863" i="31"/>
  <c r="E864" i="31"/>
  <c r="I864" i="31"/>
  <c r="G864" i="31" s="1"/>
  <c r="C864" i="31" s="1"/>
  <c r="K864" i="31"/>
  <c r="K865" i="31" s="1"/>
  <c r="K866" i="31" s="1"/>
  <c r="K867" i="31" s="1"/>
  <c r="K868" i="31" s="1"/>
  <c r="K869" i="31" s="1"/>
  <c r="K870" i="31" s="1"/>
  <c r="K871" i="31" s="1"/>
  <c r="K872" i="31" s="1"/>
  <c r="K873" i="31" s="1"/>
  <c r="K874" i="31" s="1"/>
  <c r="E865" i="31"/>
  <c r="E866" i="31"/>
  <c r="E867" i="31"/>
  <c r="E868" i="31"/>
  <c r="E869" i="31"/>
  <c r="E870" i="31"/>
  <c r="E871" i="31"/>
  <c r="E872" i="31"/>
  <c r="E873" i="31"/>
  <c r="E874" i="31"/>
  <c r="E875" i="31"/>
  <c r="G875" i="31"/>
  <c r="E876" i="31"/>
  <c r="I876" i="31"/>
  <c r="G876" i="31" s="1"/>
  <c r="C876" i="31" s="1"/>
  <c r="K876" i="31"/>
  <c r="K877" i="31" s="1"/>
  <c r="K878" i="31" s="1"/>
  <c r="K879" i="31" s="1"/>
  <c r="K880" i="31" s="1"/>
  <c r="K881" i="31" s="1"/>
  <c r="K882" i="31" s="1"/>
  <c r="K883" i="31" s="1"/>
  <c r="K884" i="31" s="1"/>
  <c r="K885" i="31" s="1"/>
  <c r="K886" i="31" s="1"/>
  <c r="E877" i="31"/>
  <c r="E878" i="31"/>
  <c r="E879" i="31"/>
  <c r="E880" i="31"/>
  <c r="E881" i="31"/>
  <c r="E882" i="31"/>
  <c r="E883" i="31"/>
  <c r="E884" i="31"/>
  <c r="E885" i="31"/>
  <c r="E886" i="31"/>
  <c r="E887" i="31"/>
  <c r="G887" i="31"/>
  <c r="E888" i="31"/>
  <c r="I888" i="31"/>
  <c r="G888" i="31" s="1"/>
  <c r="C888" i="31" s="1"/>
  <c r="K888" i="31"/>
  <c r="K889" i="31" s="1"/>
  <c r="K890" i="31" s="1"/>
  <c r="K891" i="31" s="1"/>
  <c r="K892" i="31" s="1"/>
  <c r="K893" i="31" s="1"/>
  <c r="K894" i="31" s="1"/>
  <c r="K895" i="31" s="1"/>
  <c r="K896" i="31" s="1"/>
  <c r="K897" i="31" s="1"/>
  <c r="K898" i="31" s="1"/>
  <c r="E889" i="31"/>
  <c r="E890" i="31"/>
  <c r="E891" i="31"/>
  <c r="E892" i="31"/>
  <c r="E893" i="31"/>
  <c r="E894" i="31"/>
  <c r="E895" i="31"/>
  <c r="E896" i="31"/>
  <c r="E897" i="31"/>
  <c r="E898" i="31"/>
  <c r="E899" i="31"/>
  <c r="G899" i="31"/>
  <c r="E900" i="31"/>
  <c r="I900" i="31"/>
  <c r="K900" i="31"/>
  <c r="K901" i="31" s="1"/>
  <c r="K902" i="31" s="1"/>
  <c r="K903" i="31" s="1"/>
  <c r="K904" i="31" s="1"/>
  <c r="K905" i="31" s="1"/>
  <c r="K906" i="31" s="1"/>
  <c r="K907" i="31" s="1"/>
  <c r="K908" i="31" s="1"/>
  <c r="K909" i="31" s="1"/>
  <c r="K910" i="31" s="1"/>
  <c r="E901" i="31"/>
  <c r="E902" i="31"/>
  <c r="E903" i="31"/>
  <c r="E904" i="31"/>
  <c r="E905" i="31"/>
  <c r="E906" i="31"/>
  <c r="E907" i="31"/>
  <c r="E908" i="31"/>
  <c r="E909" i="31"/>
  <c r="E910" i="31"/>
  <c r="E911" i="31"/>
  <c r="G911" i="31"/>
  <c r="E912" i="31"/>
  <c r="I912" i="31"/>
  <c r="G912" i="31" s="1"/>
  <c r="C912" i="31" s="1"/>
  <c r="K912" i="31"/>
  <c r="K913" i="31" s="1"/>
  <c r="K914" i="31" s="1"/>
  <c r="K915" i="31" s="1"/>
  <c r="K916" i="31" s="1"/>
  <c r="K917" i="31" s="1"/>
  <c r="K918" i="31" s="1"/>
  <c r="K919" i="31" s="1"/>
  <c r="K920" i="31" s="1"/>
  <c r="K921" i="31" s="1"/>
  <c r="K922" i="31" s="1"/>
  <c r="E913" i="31"/>
  <c r="E914" i="31"/>
  <c r="E915" i="31"/>
  <c r="E916" i="31"/>
  <c r="E917" i="31"/>
  <c r="E918" i="31"/>
  <c r="E919" i="31"/>
  <c r="E920" i="31"/>
  <c r="E921" i="31"/>
  <c r="E922" i="31"/>
  <c r="E923" i="31"/>
  <c r="G923" i="31"/>
  <c r="E924" i="31"/>
  <c r="I924" i="31"/>
  <c r="K924" i="31"/>
  <c r="K925" i="31" s="1"/>
  <c r="K926" i="31" s="1"/>
  <c r="K927" i="31" s="1"/>
  <c r="K928" i="31" s="1"/>
  <c r="K929" i="31" s="1"/>
  <c r="K930" i="31" s="1"/>
  <c r="K931" i="31" s="1"/>
  <c r="K932" i="31" s="1"/>
  <c r="K933" i="31" s="1"/>
  <c r="K934" i="31" s="1"/>
  <c r="E925" i="31"/>
  <c r="E926" i="31"/>
  <c r="E927" i="31"/>
  <c r="E928" i="31"/>
  <c r="E929" i="31"/>
  <c r="E930" i="31"/>
  <c r="E931" i="31"/>
  <c r="E932" i="31"/>
  <c r="E933" i="31"/>
  <c r="E934" i="31"/>
  <c r="E935" i="31"/>
  <c r="G935" i="31"/>
  <c r="E936" i="31"/>
  <c r="I936" i="31"/>
  <c r="I937" i="31" s="1"/>
  <c r="G937" i="31" s="1"/>
  <c r="C937" i="31" s="1"/>
  <c r="K936" i="31"/>
  <c r="K937" i="31" s="1"/>
  <c r="K938" i="31" s="1"/>
  <c r="K939" i="31" s="1"/>
  <c r="K940" i="31" s="1"/>
  <c r="K941" i="31" s="1"/>
  <c r="K942" i="31" s="1"/>
  <c r="K943" i="31" s="1"/>
  <c r="K944" i="31" s="1"/>
  <c r="K945" i="31" s="1"/>
  <c r="K946" i="31" s="1"/>
  <c r="E937" i="31"/>
  <c r="E938" i="31"/>
  <c r="E939" i="31"/>
  <c r="E940" i="31"/>
  <c r="E941" i="31"/>
  <c r="E942" i="31"/>
  <c r="E943" i="31"/>
  <c r="E944" i="31"/>
  <c r="E945" i="31"/>
  <c r="E946" i="31"/>
  <c r="E947" i="31"/>
  <c r="G947" i="31"/>
  <c r="E948" i="31"/>
  <c r="I948" i="31"/>
  <c r="G948" i="31" s="1"/>
  <c r="C948" i="31" s="1"/>
  <c r="K948" i="31"/>
  <c r="K949" i="31" s="1"/>
  <c r="K950" i="31" s="1"/>
  <c r="K951" i="31" s="1"/>
  <c r="K952" i="31" s="1"/>
  <c r="K953" i="31" s="1"/>
  <c r="K954" i="31" s="1"/>
  <c r="K955" i="31" s="1"/>
  <c r="K956" i="31" s="1"/>
  <c r="K957" i="31" s="1"/>
  <c r="K958" i="31" s="1"/>
  <c r="E949" i="31"/>
  <c r="E950" i="31"/>
  <c r="E951" i="31"/>
  <c r="E952" i="31"/>
  <c r="E953" i="31"/>
  <c r="E954" i="31"/>
  <c r="E955" i="31"/>
  <c r="E956" i="31"/>
  <c r="E957" i="31"/>
  <c r="E958" i="31"/>
  <c r="E959" i="31"/>
  <c r="G959" i="31"/>
  <c r="E960" i="31"/>
  <c r="I960" i="31"/>
  <c r="G960" i="31" s="1"/>
  <c r="C960" i="31" s="1"/>
  <c r="K960" i="31"/>
  <c r="K961" i="31" s="1"/>
  <c r="K962" i="31" s="1"/>
  <c r="K963" i="31" s="1"/>
  <c r="K964" i="31" s="1"/>
  <c r="K965" i="31" s="1"/>
  <c r="K966" i="31" s="1"/>
  <c r="K967" i="31" s="1"/>
  <c r="K968" i="31" s="1"/>
  <c r="K969" i="31" s="1"/>
  <c r="K970" i="31" s="1"/>
  <c r="E961" i="31"/>
  <c r="E962" i="31"/>
  <c r="E963" i="31"/>
  <c r="E964" i="31"/>
  <c r="E965" i="31"/>
  <c r="E966" i="31"/>
  <c r="E967" i="31"/>
  <c r="E968" i="31"/>
  <c r="E969" i="31"/>
  <c r="E970" i="31"/>
  <c r="E971" i="31"/>
  <c r="G971" i="31"/>
  <c r="E972" i="31"/>
  <c r="I972" i="31"/>
  <c r="G972" i="31" s="1"/>
  <c r="C972" i="31" s="1"/>
  <c r="K972" i="31"/>
  <c r="K973" i="31" s="1"/>
  <c r="K974" i="31" s="1"/>
  <c r="K975" i="31" s="1"/>
  <c r="K976" i="31" s="1"/>
  <c r="K977" i="31" s="1"/>
  <c r="K978" i="31" s="1"/>
  <c r="K979" i="31" s="1"/>
  <c r="K980" i="31" s="1"/>
  <c r="K981" i="31" s="1"/>
  <c r="K982" i="31" s="1"/>
  <c r="E973" i="31"/>
  <c r="E974" i="31"/>
  <c r="E975" i="31"/>
  <c r="E976" i="31"/>
  <c r="E977" i="31"/>
  <c r="E978" i="31"/>
  <c r="E979" i="31"/>
  <c r="E980" i="31"/>
  <c r="E981" i="31"/>
  <c r="E982" i="31"/>
  <c r="E983" i="31"/>
  <c r="G983" i="31"/>
  <c r="E984" i="31"/>
  <c r="I984" i="31"/>
  <c r="I985" i="31" s="1"/>
  <c r="I986" i="31" s="1"/>
  <c r="I987" i="31" s="1"/>
  <c r="I988" i="31" s="1"/>
  <c r="G988" i="31" s="1"/>
  <c r="C988" i="31" s="1"/>
  <c r="K984" i="31"/>
  <c r="K985" i="31" s="1"/>
  <c r="K986" i="31" s="1"/>
  <c r="K987" i="31" s="1"/>
  <c r="K988" i="31" s="1"/>
  <c r="K989" i="31" s="1"/>
  <c r="K990" i="31" s="1"/>
  <c r="K991" i="31" s="1"/>
  <c r="K992" i="31" s="1"/>
  <c r="K993" i="31" s="1"/>
  <c r="K994" i="31" s="1"/>
  <c r="E985" i="31"/>
  <c r="E986" i="31"/>
  <c r="E987" i="31"/>
  <c r="E988" i="31"/>
  <c r="E989" i="31"/>
  <c r="E990" i="31"/>
  <c r="E991" i="31"/>
  <c r="E992" i="31"/>
  <c r="E993" i="31"/>
  <c r="E994" i="31"/>
  <c r="E995" i="31"/>
  <c r="G995" i="31"/>
  <c r="E996" i="31"/>
  <c r="I996" i="31"/>
  <c r="G996" i="31" s="1"/>
  <c r="C996" i="31" s="1"/>
  <c r="K996" i="31"/>
  <c r="K997" i="31" s="1"/>
  <c r="K998" i="31" s="1"/>
  <c r="K999" i="31" s="1"/>
  <c r="K1000" i="31" s="1"/>
  <c r="K1001" i="31" s="1"/>
  <c r="K1002" i="31" s="1"/>
  <c r="K1003" i="31" s="1"/>
  <c r="K1004" i="31" s="1"/>
  <c r="K1005" i="31" s="1"/>
  <c r="K1006" i="31" s="1"/>
  <c r="E997" i="31"/>
  <c r="E998" i="31"/>
  <c r="E999" i="31"/>
  <c r="E1000" i="31"/>
  <c r="E1001" i="31"/>
  <c r="E1002" i="31"/>
  <c r="E1003" i="31"/>
  <c r="E1004" i="31"/>
  <c r="E1005" i="31"/>
  <c r="E1006" i="31"/>
  <c r="E1007" i="31"/>
  <c r="G1007" i="31"/>
  <c r="E1008" i="31"/>
  <c r="I1008" i="31"/>
  <c r="K1008" i="31"/>
  <c r="K1009" i="31" s="1"/>
  <c r="K1010" i="31" s="1"/>
  <c r="K1011" i="31" s="1"/>
  <c r="K1012" i="31" s="1"/>
  <c r="K1013" i="31" s="1"/>
  <c r="K1014" i="31" s="1"/>
  <c r="K1015" i="31" s="1"/>
  <c r="K1016" i="31" s="1"/>
  <c r="K1017" i="31" s="1"/>
  <c r="K1018" i="31" s="1"/>
  <c r="E1009" i="31"/>
  <c r="E1010" i="31"/>
  <c r="E1011" i="31"/>
  <c r="E1012" i="31"/>
  <c r="E1013" i="31"/>
  <c r="E1014" i="31"/>
  <c r="E1015" i="31"/>
  <c r="E1016" i="31"/>
  <c r="E1017" i="31"/>
  <c r="E1018" i="31"/>
  <c r="E1019" i="31"/>
  <c r="G1019" i="31"/>
  <c r="E1020" i="31"/>
  <c r="I1020" i="31"/>
  <c r="K1020" i="31"/>
  <c r="K1021" i="31" s="1"/>
  <c r="K1022" i="31" s="1"/>
  <c r="K1023" i="31" s="1"/>
  <c r="K1024" i="31" s="1"/>
  <c r="K1025" i="31" s="1"/>
  <c r="K1026" i="31" s="1"/>
  <c r="K1027" i="31" s="1"/>
  <c r="K1028" i="31" s="1"/>
  <c r="K1029" i="31" s="1"/>
  <c r="K1030" i="31" s="1"/>
  <c r="E1021" i="31"/>
  <c r="E1022" i="31"/>
  <c r="E1023" i="31"/>
  <c r="E1024" i="31"/>
  <c r="E1025" i="31"/>
  <c r="E1026" i="31"/>
  <c r="E1027" i="31"/>
  <c r="E1028" i="31"/>
  <c r="E1029" i="31"/>
  <c r="E1030" i="31"/>
  <c r="E1031" i="31"/>
  <c r="G1031" i="31"/>
  <c r="E1032" i="31"/>
  <c r="H1032" i="31"/>
  <c r="H1033" i="31" s="1"/>
  <c r="I1032" i="31"/>
  <c r="G1032" i="31" s="1"/>
  <c r="C1032" i="31" s="1"/>
  <c r="K1032" i="31"/>
  <c r="K1033" i="31" s="1"/>
  <c r="K1034" i="31" s="1"/>
  <c r="K1035" i="31" s="1"/>
  <c r="K1036" i="31" s="1"/>
  <c r="K1037" i="31" s="1"/>
  <c r="K1038" i="31" s="1"/>
  <c r="K1039" i="31" s="1"/>
  <c r="K1040" i="31" s="1"/>
  <c r="K1041" i="31" s="1"/>
  <c r="K1042" i="31" s="1"/>
  <c r="E1033" i="31"/>
  <c r="E1034" i="31"/>
  <c r="E1035" i="31"/>
  <c r="E1036" i="31"/>
  <c r="E1037" i="31"/>
  <c r="E1038" i="31"/>
  <c r="E1039" i="31"/>
  <c r="E1040" i="31"/>
  <c r="E1041" i="31"/>
  <c r="E1042" i="31"/>
  <c r="E1043" i="31"/>
  <c r="G1043" i="31"/>
  <c r="H1043" i="31"/>
  <c r="H1044" i="31" s="1"/>
  <c r="L1043" i="31"/>
  <c r="L1055" i="31" s="1"/>
  <c r="L1067" i="31" s="1"/>
  <c r="L1079" i="31" s="1"/>
  <c r="L1091" i="31" s="1"/>
  <c r="L1103" i="31" s="1"/>
  <c r="L1115" i="31" s="1"/>
  <c r="L1127" i="31" s="1"/>
  <c r="L1139" i="31" s="1"/>
  <c r="L1151" i="31" s="1"/>
  <c r="L1163" i="31" s="1"/>
  <c r="L1175" i="31" s="1"/>
  <c r="E1044" i="31"/>
  <c r="I1044" i="31"/>
  <c r="I1045" i="31" s="1"/>
  <c r="K1044" i="31"/>
  <c r="K1045" i="31" s="1"/>
  <c r="K1046" i="31" s="1"/>
  <c r="K1047" i="31" s="1"/>
  <c r="K1048" i="31" s="1"/>
  <c r="K1049" i="31" s="1"/>
  <c r="K1050" i="31" s="1"/>
  <c r="K1051" i="31" s="1"/>
  <c r="K1052" i="31" s="1"/>
  <c r="K1053" i="31" s="1"/>
  <c r="K1054" i="31" s="1"/>
  <c r="E1045" i="31"/>
  <c r="E1046" i="31"/>
  <c r="E1047" i="31"/>
  <c r="E1048" i="31"/>
  <c r="E1049" i="31"/>
  <c r="E1050" i="31"/>
  <c r="E1051" i="31"/>
  <c r="E1052" i="31"/>
  <c r="E1053" i="31"/>
  <c r="E1054" i="31"/>
  <c r="E1055" i="31"/>
  <c r="G1055" i="31"/>
  <c r="E1056" i="31"/>
  <c r="I1056" i="31"/>
  <c r="G1056" i="31" s="1"/>
  <c r="C1056" i="31" s="1"/>
  <c r="K1056" i="31"/>
  <c r="K1057" i="31" s="1"/>
  <c r="K1058" i="31" s="1"/>
  <c r="K1059" i="31" s="1"/>
  <c r="K1060" i="31" s="1"/>
  <c r="K1061" i="31" s="1"/>
  <c r="K1062" i="31" s="1"/>
  <c r="K1063" i="31" s="1"/>
  <c r="K1064" i="31" s="1"/>
  <c r="K1065" i="31" s="1"/>
  <c r="K1066" i="31" s="1"/>
  <c r="E1057" i="31"/>
  <c r="E1058" i="31"/>
  <c r="E1059" i="31"/>
  <c r="E1060" i="31"/>
  <c r="E1061" i="31"/>
  <c r="E1062" i="31"/>
  <c r="E1063" i="31"/>
  <c r="E1064" i="31"/>
  <c r="E1065" i="31"/>
  <c r="E1066" i="31"/>
  <c r="E1067" i="31"/>
  <c r="G1067" i="31"/>
  <c r="E1068" i="31"/>
  <c r="I1068" i="31"/>
  <c r="K1068" i="31"/>
  <c r="K1069" i="31" s="1"/>
  <c r="K1070" i="31" s="1"/>
  <c r="K1071" i="31" s="1"/>
  <c r="K1072" i="31" s="1"/>
  <c r="K1073" i="31" s="1"/>
  <c r="K1074" i="31" s="1"/>
  <c r="K1075" i="31" s="1"/>
  <c r="K1076" i="31" s="1"/>
  <c r="K1077" i="31" s="1"/>
  <c r="K1078" i="31" s="1"/>
  <c r="E1069" i="31"/>
  <c r="E1070" i="31"/>
  <c r="E1071" i="31"/>
  <c r="E1072" i="31"/>
  <c r="E1073" i="31"/>
  <c r="E1074" i="31"/>
  <c r="E1075" i="31"/>
  <c r="E1076" i="31"/>
  <c r="E1077" i="31"/>
  <c r="E1078" i="31"/>
  <c r="E1079" i="31"/>
  <c r="G1079" i="31"/>
  <c r="E1080" i="31"/>
  <c r="I1080" i="31"/>
  <c r="K1080" i="31"/>
  <c r="K1081" i="31" s="1"/>
  <c r="K1082" i="31" s="1"/>
  <c r="K1083" i="31" s="1"/>
  <c r="K1084" i="31" s="1"/>
  <c r="K1085" i="31" s="1"/>
  <c r="K1086" i="31" s="1"/>
  <c r="K1087" i="31" s="1"/>
  <c r="K1088" i="31" s="1"/>
  <c r="K1089" i="31" s="1"/>
  <c r="K1090" i="31" s="1"/>
  <c r="E1081" i="31"/>
  <c r="E1082" i="31"/>
  <c r="E1083" i="31"/>
  <c r="E1084" i="31"/>
  <c r="E1085" i="31"/>
  <c r="E1086" i="31"/>
  <c r="E1087" i="31"/>
  <c r="E1088" i="31"/>
  <c r="E1089" i="31"/>
  <c r="E1090" i="31"/>
  <c r="E1091" i="31"/>
  <c r="G1091" i="31"/>
  <c r="E1092" i="31"/>
  <c r="I1092" i="31"/>
  <c r="I1093" i="31" s="1"/>
  <c r="K1092" i="31"/>
  <c r="K1093" i="31" s="1"/>
  <c r="K1094" i="31" s="1"/>
  <c r="K1095" i="31" s="1"/>
  <c r="K1096" i="31" s="1"/>
  <c r="K1097" i="31" s="1"/>
  <c r="K1098" i="31" s="1"/>
  <c r="K1099" i="31" s="1"/>
  <c r="K1100" i="31" s="1"/>
  <c r="K1101" i="31" s="1"/>
  <c r="K1102" i="31" s="1"/>
  <c r="E1093" i="31"/>
  <c r="E1094" i="31"/>
  <c r="E1095" i="31"/>
  <c r="E1096" i="31"/>
  <c r="E1097" i="31"/>
  <c r="E1098" i="31"/>
  <c r="E1099" i="31"/>
  <c r="E1100" i="31"/>
  <c r="E1101" i="31"/>
  <c r="E1102" i="31"/>
  <c r="E1103" i="31"/>
  <c r="G1103" i="31"/>
  <c r="E1104" i="31"/>
  <c r="I1104" i="31"/>
  <c r="G1104" i="31" s="1"/>
  <c r="C1104" i="31" s="1"/>
  <c r="K1104" i="31"/>
  <c r="K1105" i="31" s="1"/>
  <c r="K1106" i="31" s="1"/>
  <c r="K1107" i="31" s="1"/>
  <c r="K1108" i="31" s="1"/>
  <c r="K1109" i="31" s="1"/>
  <c r="K1110" i="31" s="1"/>
  <c r="K1111" i="31" s="1"/>
  <c r="K1112" i="31" s="1"/>
  <c r="K1113" i="31" s="1"/>
  <c r="K1114" i="31" s="1"/>
  <c r="E1105" i="31"/>
  <c r="E1106" i="31"/>
  <c r="E1107" i="31"/>
  <c r="E1108" i="31"/>
  <c r="E1109" i="31"/>
  <c r="E1110" i="31"/>
  <c r="E1111" i="31"/>
  <c r="E1112" i="31"/>
  <c r="E1113" i="31"/>
  <c r="E1114" i="31"/>
  <c r="E1115" i="31"/>
  <c r="G1115" i="31"/>
  <c r="E1116" i="31"/>
  <c r="I1116" i="31"/>
  <c r="G1116" i="31" s="1"/>
  <c r="C1116" i="31" s="1"/>
  <c r="K1116" i="31"/>
  <c r="K1117" i="31" s="1"/>
  <c r="K1118" i="31" s="1"/>
  <c r="K1119" i="31" s="1"/>
  <c r="K1120" i="31" s="1"/>
  <c r="K1121" i="31" s="1"/>
  <c r="K1122" i="31" s="1"/>
  <c r="K1123" i="31" s="1"/>
  <c r="K1124" i="31" s="1"/>
  <c r="K1125" i="31" s="1"/>
  <c r="K1126" i="31" s="1"/>
  <c r="E1117" i="31"/>
  <c r="E1118" i="31"/>
  <c r="E1119" i="31"/>
  <c r="E1120" i="31"/>
  <c r="E1121" i="31"/>
  <c r="E1122" i="31"/>
  <c r="E1123" i="31"/>
  <c r="E1124" i="31"/>
  <c r="E1125" i="31"/>
  <c r="E1126" i="31"/>
  <c r="E1127" i="31"/>
  <c r="G1127" i="31"/>
  <c r="E1128" i="31"/>
  <c r="I1128" i="31"/>
  <c r="G1128" i="31" s="1"/>
  <c r="C1128" i="31" s="1"/>
  <c r="K1128" i="31"/>
  <c r="K1129" i="31" s="1"/>
  <c r="K1130" i="31" s="1"/>
  <c r="K1131" i="31" s="1"/>
  <c r="K1132" i="31" s="1"/>
  <c r="K1133" i="31" s="1"/>
  <c r="K1134" i="31" s="1"/>
  <c r="K1135" i="31" s="1"/>
  <c r="K1136" i="31" s="1"/>
  <c r="K1137" i="31" s="1"/>
  <c r="K1138" i="31" s="1"/>
  <c r="E1129" i="31"/>
  <c r="E1130" i="31"/>
  <c r="E1131" i="31"/>
  <c r="E1132" i="31"/>
  <c r="E1133" i="31"/>
  <c r="E1134" i="31"/>
  <c r="E1135" i="31"/>
  <c r="E1136" i="31"/>
  <c r="E1137" i="31"/>
  <c r="E1138" i="31"/>
  <c r="E1139" i="31"/>
  <c r="G1139" i="31"/>
  <c r="E1140" i="31"/>
  <c r="I1140" i="31"/>
  <c r="I1141" i="31" s="1"/>
  <c r="K1140" i="31"/>
  <c r="K1141" i="31" s="1"/>
  <c r="K1142" i="31" s="1"/>
  <c r="K1143" i="31" s="1"/>
  <c r="K1144" i="31" s="1"/>
  <c r="K1145" i="31" s="1"/>
  <c r="K1146" i="31" s="1"/>
  <c r="K1147" i="31" s="1"/>
  <c r="K1148" i="31" s="1"/>
  <c r="K1149" i="31" s="1"/>
  <c r="K1150" i="31" s="1"/>
  <c r="E1141" i="31"/>
  <c r="E1142" i="31"/>
  <c r="E1143" i="31"/>
  <c r="E1144" i="31"/>
  <c r="E1145" i="31"/>
  <c r="E1146" i="31"/>
  <c r="E1147" i="31"/>
  <c r="E1148" i="31"/>
  <c r="E1149" i="31"/>
  <c r="E1150" i="31"/>
  <c r="E1151" i="31"/>
  <c r="G1151" i="31"/>
  <c r="E1152" i="31"/>
  <c r="I1152" i="31"/>
  <c r="G1152" i="31" s="1"/>
  <c r="C1152" i="31" s="1"/>
  <c r="K1152" i="31"/>
  <c r="K1153" i="31" s="1"/>
  <c r="K1154" i="31" s="1"/>
  <c r="K1155" i="31" s="1"/>
  <c r="K1156" i="31" s="1"/>
  <c r="K1157" i="31" s="1"/>
  <c r="K1158" i="31" s="1"/>
  <c r="K1159" i="31" s="1"/>
  <c r="K1160" i="31" s="1"/>
  <c r="K1161" i="31" s="1"/>
  <c r="K1162" i="31" s="1"/>
  <c r="E1153" i="31"/>
  <c r="E1154" i="31"/>
  <c r="E1155" i="31"/>
  <c r="E1156" i="31"/>
  <c r="E1157" i="31"/>
  <c r="E1158" i="31"/>
  <c r="E1159" i="31"/>
  <c r="E1160" i="31"/>
  <c r="E1161" i="31"/>
  <c r="E1162" i="31"/>
  <c r="E1163" i="31"/>
  <c r="G1163" i="31"/>
  <c r="E1164" i="31"/>
  <c r="I1164" i="31"/>
  <c r="K1164" i="31"/>
  <c r="K1165" i="31" s="1"/>
  <c r="K1166" i="31" s="1"/>
  <c r="K1167" i="31" s="1"/>
  <c r="K1168" i="31" s="1"/>
  <c r="K1169" i="31" s="1"/>
  <c r="K1170" i="31" s="1"/>
  <c r="K1171" i="31" s="1"/>
  <c r="K1172" i="31" s="1"/>
  <c r="K1173" i="31" s="1"/>
  <c r="K1174" i="31" s="1"/>
  <c r="E1165" i="31"/>
  <c r="E1166" i="31"/>
  <c r="E1167" i="31"/>
  <c r="E1168" i="31"/>
  <c r="E1169" i="31"/>
  <c r="E1170" i="31"/>
  <c r="E1171" i="31"/>
  <c r="E1172" i="31"/>
  <c r="E1173" i="31"/>
  <c r="E1174" i="31"/>
  <c r="E1175" i="31"/>
  <c r="G1175" i="31"/>
  <c r="E1176" i="31"/>
  <c r="I1176" i="31"/>
  <c r="K1176" i="31"/>
  <c r="K1177" i="31" s="1"/>
  <c r="K1178" i="31" s="1"/>
  <c r="K1179" i="31" s="1"/>
  <c r="K1180" i="31" s="1"/>
  <c r="K1181" i="31" s="1"/>
  <c r="K1182" i="31" s="1"/>
  <c r="K1183" i="31" s="1"/>
  <c r="K1184" i="31" s="1"/>
  <c r="K1185" i="31" s="1"/>
  <c r="K1186" i="31" s="1"/>
  <c r="E1177" i="31"/>
  <c r="E1178" i="31"/>
  <c r="E1179" i="31"/>
  <c r="E1180" i="31"/>
  <c r="E1181" i="31"/>
  <c r="E1182" i="31"/>
  <c r="E1183" i="31"/>
  <c r="E1184" i="31"/>
  <c r="E1185" i="31"/>
  <c r="E1186" i="31"/>
  <c r="E1187" i="31"/>
  <c r="G1187" i="31"/>
  <c r="E1188" i="31"/>
  <c r="H1188" i="31"/>
  <c r="H1189" i="31" s="1"/>
  <c r="H1190" i="31" s="1"/>
  <c r="H1191" i="31" s="1"/>
  <c r="H1192" i="31" s="1"/>
  <c r="I1188" i="31"/>
  <c r="K1188" i="31"/>
  <c r="K1189" i="31" s="1"/>
  <c r="K1190" i="31" s="1"/>
  <c r="K1191" i="31" s="1"/>
  <c r="K1192" i="31" s="1"/>
  <c r="K1193" i="31" s="1"/>
  <c r="K1194" i="31" s="1"/>
  <c r="K1195" i="31" s="1"/>
  <c r="K1196" i="31" s="1"/>
  <c r="K1197" i="31" s="1"/>
  <c r="K1198" i="31" s="1"/>
  <c r="E1189" i="31"/>
  <c r="E1190" i="31"/>
  <c r="E1191" i="31"/>
  <c r="E1192" i="31"/>
  <c r="E1193" i="31"/>
  <c r="E1194" i="31"/>
  <c r="E1195" i="31"/>
  <c r="E1196" i="31"/>
  <c r="E1197" i="31"/>
  <c r="E1198" i="31"/>
  <c r="E1199" i="31"/>
  <c r="G1199" i="31"/>
  <c r="H1199" i="31"/>
  <c r="H1200" i="31" s="1"/>
  <c r="H1201" i="31" s="1"/>
  <c r="L1199" i="31"/>
  <c r="L1211" i="31" s="1"/>
  <c r="L1223" i="31" s="1"/>
  <c r="L1235" i="31" s="1"/>
  <c r="L1247" i="31" s="1"/>
  <c r="L1259" i="31" s="1"/>
  <c r="L1271" i="31" s="1"/>
  <c r="L1283" i="31" s="1"/>
  <c r="L1295" i="31" s="1"/>
  <c r="L1307" i="31" s="1"/>
  <c r="L1319" i="31" s="1"/>
  <c r="L1331" i="31" s="1"/>
  <c r="L1343" i="31" s="1"/>
  <c r="L1355" i="31" s="1"/>
  <c r="L1367" i="31" s="1"/>
  <c r="L1379" i="31" s="1"/>
  <c r="L1391" i="31" s="1"/>
  <c r="E1200" i="31"/>
  <c r="I1200" i="31"/>
  <c r="I1201" i="31" s="1"/>
  <c r="G1201" i="31" s="1"/>
  <c r="C1201" i="31" s="1"/>
  <c r="K1200" i="31"/>
  <c r="K1201" i="31" s="1"/>
  <c r="K1202" i="31" s="1"/>
  <c r="K1203" i="31" s="1"/>
  <c r="K1204" i="31" s="1"/>
  <c r="K1205" i="31" s="1"/>
  <c r="K1206" i="31" s="1"/>
  <c r="K1207" i="31" s="1"/>
  <c r="K1208" i="31" s="1"/>
  <c r="K1209" i="31" s="1"/>
  <c r="K1210" i="31" s="1"/>
  <c r="E1201" i="31"/>
  <c r="E1202" i="31"/>
  <c r="E1203" i="31"/>
  <c r="E1204" i="31"/>
  <c r="E1205" i="31"/>
  <c r="E1206" i="31"/>
  <c r="E1207" i="31"/>
  <c r="E1208" i="31"/>
  <c r="E1209" i="31"/>
  <c r="E1210" i="31"/>
  <c r="E1211" i="31"/>
  <c r="G1211" i="31"/>
  <c r="E1212" i="31"/>
  <c r="I1212" i="31"/>
  <c r="I1213" i="31" s="1"/>
  <c r="G1213" i="31" s="1"/>
  <c r="C1213" i="31" s="1"/>
  <c r="K1212" i="31"/>
  <c r="K1213" i="31" s="1"/>
  <c r="K1214" i="31" s="1"/>
  <c r="K1215" i="31" s="1"/>
  <c r="K1216" i="31" s="1"/>
  <c r="K1217" i="31" s="1"/>
  <c r="K1218" i="31" s="1"/>
  <c r="K1219" i="31" s="1"/>
  <c r="K1220" i="31" s="1"/>
  <c r="K1221" i="31" s="1"/>
  <c r="K1222" i="31" s="1"/>
  <c r="E1213" i="31"/>
  <c r="E1214" i="31"/>
  <c r="E1215" i="31"/>
  <c r="E1216" i="31"/>
  <c r="E1217" i="31"/>
  <c r="E1218" i="31"/>
  <c r="E1219" i="31"/>
  <c r="E1220" i="31"/>
  <c r="E1221" i="31"/>
  <c r="E1222" i="31"/>
  <c r="E1223" i="31"/>
  <c r="G1223" i="31"/>
  <c r="E1224" i="31"/>
  <c r="I1224" i="31"/>
  <c r="K1224" i="31"/>
  <c r="K1225" i="31" s="1"/>
  <c r="K1226" i="31" s="1"/>
  <c r="K1227" i="31" s="1"/>
  <c r="K1228" i="31" s="1"/>
  <c r="K1229" i="31" s="1"/>
  <c r="K1230" i="31" s="1"/>
  <c r="K1231" i="31" s="1"/>
  <c r="K1232" i="31" s="1"/>
  <c r="K1233" i="31" s="1"/>
  <c r="K1234" i="31" s="1"/>
  <c r="E1225" i="31"/>
  <c r="E1226" i="31"/>
  <c r="E1227" i="31"/>
  <c r="E1228" i="31"/>
  <c r="E1229" i="31"/>
  <c r="E1230" i="31"/>
  <c r="E1231" i="31"/>
  <c r="E1232" i="31"/>
  <c r="E1233" i="31"/>
  <c r="E1234" i="31"/>
  <c r="E1235" i="31"/>
  <c r="G1235" i="31"/>
  <c r="E1236" i="31"/>
  <c r="I1236" i="31"/>
  <c r="G1236" i="31" s="1"/>
  <c r="C1236" i="31" s="1"/>
  <c r="K1236" i="31"/>
  <c r="K1237" i="31" s="1"/>
  <c r="K1238" i="31" s="1"/>
  <c r="K1239" i="31" s="1"/>
  <c r="K1240" i="31" s="1"/>
  <c r="K1241" i="31" s="1"/>
  <c r="K1242" i="31" s="1"/>
  <c r="K1243" i="31" s="1"/>
  <c r="K1244" i="31" s="1"/>
  <c r="K1245" i="31" s="1"/>
  <c r="K1246" i="31" s="1"/>
  <c r="E1237" i="31"/>
  <c r="E1238" i="31"/>
  <c r="E1239" i="31"/>
  <c r="E1240" i="31"/>
  <c r="E1241" i="31"/>
  <c r="E1242" i="31"/>
  <c r="E1243" i="31"/>
  <c r="E1244" i="31"/>
  <c r="E1245" i="31"/>
  <c r="E1246" i="31"/>
  <c r="E1247" i="31"/>
  <c r="G1247" i="31"/>
  <c r="E1248" i="31"/>
  <c r="I1248" i="31"/>
  <c r="G1248" i="31" s="1"/>
  <c r="C1248" i="31" s="1"/>
  <c r="K1248" i="31"/>
  <c r="K1249" i="31" s="1"/>
  <c r="K1250" i="31" s="1"/>
  <c r="K1251" i="31" s="1"/>
  <c r="K1252" i="31" s="1"/>
  <c r="K1253" i="31" s="1"/>
  <c r="K1254" i="31" s="1"/>
  <c r="K1255" i="31" s="1"/>
  <c r="K1256" i="31" s="1"/>
  <c r="K1257" i="31" s="1"/>
  <c r="K1258" i="31" s="1"/>
  <c r="E1249" i="31"/>
  <c r="E1250" i="31"/>
  <c r="E1251" i="31"/>
  <c r="E1252" i="31"/>
  <c r="E1253" i="31"/>
  <c r="E1254" i="31"/>
  <c r="E1255" i="31"/>
  <c r="E1256" i="31"/>
  <c r="E1257" i="31"/>
  <c r="E1258" i="31"/>
  <c r="E1259" i="31"/>
  <c r="G1259" i="31"/>
  <c r="E1260" i="31"/>
  <c r="I1260" i="31"/>
  <c r="K1260" i="31"/>
  <c r="K1261" i="31" s="1"/>
  <c r="K1262" i="31" s="1"/>
  <c r="K1263" i="31" s="1"/>
  <c r="K1264" i="31" s="1"/>
  <c r="K1265" i="31" s="1"/>
  <c r="K1266" i="31" s="1"/>
  <c r="K1267" i="31" s="1"/>
  <c r="K1268" i="31" s="1"/>
  <c r="K1269" i="31" s="1"/>
  <c r="K1270" i="31" s="1"/>
  <c r="E1261" i="31"/>
  <c r="E1262" i="31"/>
  <c r="E1263" i="31"/>
  <c r="E1264" i="31"/>
  <c r="E1265" i="31"/>
  <c r="E1266" i="31"/>
  <c r="E1267" i="31"/>
  <c r="E1268" i="31"/>
  <c r="E1269" i="31"/>
  <c r="E1270" i="31"/>
  <c r="E1271" i="31"/>
  <c r="G1271" i="31"/>
  <c r="E1272" i="31"/>
  <c r="I1272" i="31"/>
  <c r="G1272" i="31" s="1"/>
  <c r="C1272" i="31" s="1"/>
  <c r="K1272" i="31"/>
  <c r="K1273" i="31" s="1"/>
  <c r="K1274" i="31" s="1"/>
  <c r="K1275" i="31" s="1"/>
  <c r="K1276" i="31" s="1"/>
  <c r="K1277" i="31" s="1"/>
  <c r="K1278" i="31" s="1"/>
  <c r="K1279" i="31" s="1"/>
  <c r="K1280" i="31" s="1"/>
  <c r="K1281" i="31" s="1"/>
  <c r="K1282" i="31" s="1"/>
  <c r="E1273" i="31"/>
  <c r="E1274" i="31"/>
  <c r="E1275" i="31"/>
  <c r="E1276" i="31"/>
  <c r="E1277" i="31"/>
  <c r="E1278" i="31"/>
  <c r="E1279" i="31"/>
  <c r="E1280" i="31"/>
  <c r="E1281" i="31"/>
  <c r="E1282" i="31"/>
  <c r="E1283" i="31"/>
  <c r="G1283" i="31"/>
  <c r="E1284" i="31"/>
  <c r="I1284" i="31"/>
  <c r="I1285" i="31" s="1"/>
  <c r="K1284" i="31"/>
  <c r="K1285" i="31" s="1"/>
  <c r="K1286" i="31" s="1"/>
  <c r="K1287" i="31" s="1"/>
  <c r="K1288" i="31" s="1"/>
  <c r="K1289" i="31" s="1"/>
  <c r="K1290" i="31" s="1"/>
  <c r="K1291" i="31" s="1"/>
  <c r="K1292" i="31" s="1"/>
  <c r="K1293" i="31" s="1"/>
  <c r="K1294" i="31" s="1"/>
  <c r="E1285" i="31"/>
  <c r="E1286" i="31"/>
  <c r="E1287" i="31"/>
  <c r="E1288" i="31"/>
  <c r="E1289" i="31"/>
  <c r="E1290" i="31"/>
  <c r="E1291" i="31"/>
  <c r="E1292" i="31"/>
  <c r="E1293" i="31"/>
  <c r="E1294" i="31"/>
  <c r="E1295" i="31"/>
  <c r="G1295" i="31"/>
  <c r="E1296" i="31"/>
  <c r="I1296" i="31"/>
  <c r="I1297" i="31" s="1"/>
  <c r="I1298" i="31" s="1"/>
  <c r="G1298" i="31" s="1"/>
  <c r="C1298" i="31" s="1"/>
  <c r="K1296" i="31"/>
  <c r="K1297" i="31" s="1"/>
  <c r="K1298" i="31" s="1"/>
  <c r="K1299" i="31" s="1"/>
  <c r="K1300" i="31" s="1"/>
  <c r="K1301" i="31" s="1"/>
  <c r="K1302" i="31" s="1"/>
  <c r="K1303" i="31" s="1"/>
  <c r="K1304" i="31" s="1"/>
  <c r="K1305" i="31" s="1"/>
  <c r="K1306" i="31" s="1"/>
  <c r="E1297" i="31"/>
  <c r="E1298" i="31"/>
  <c r="E1299" i="31"/>
  <c r="E1300" i="31"/>
  <c r="E1301" i="31"/>
  <c r="E1302" i="31"/>
  <c r="E1303" i="31"/>
  <c r="E1304" i="31"/>
  <c r="E1305" i="31"/>
  <c r="E1306" i="31"/>
  <c r="E1307" i="31"/>
  <c r="G1307" i="31"/>
  <c r="E1308" i="31"/>
  <c r="I1308" i="31"/>
  <c r="I1309" i="31" s="1"/>
  <c r="K1308" i="31"/>
  <c r="K1309" i="31" s="1"/>
  <c r="K1310" i="31" s="1"/>
  <c r="K1311" i="31" s="1"/>
  <c r="K1312" i="31" s="1"/>
  <c r="K1313" i="31" s="1"/>
  <c r="K1314" i="31" s="1"/>
  <c r="K1315" i="31" s="1"/>
  <c r="K1316" i="31" s="1"/>
  <c r="K1317" i="31" s="1"/>
  <c r="K1318" i="31" s="1"/>
  <c r="E1309" i="31"/>
  <c r="E1310" i="31"/>
  <c r="E1311" i="31"/>
  <c r="E1312" i="31"/>
  <c r="E1313" i="31"/>
  <c r="E1314" i="31"/>
  <c r="E1315" i="31"/>
  <c r="E1316" i="31"/>
  <c r="E1317" i="31"/>
  <c r="E1318" i="31"/>
  <c r="E1319" i="31"/>
  <c r="G1319" i="31"/>
  <c r="E1320" i="31"/>
  <c r="I1320" i="31"/>
  <c r="G1320" i="31" s="1"/>
  <c r="C1320" i="31" s="1"/>
  <c r="K1320" i="31"/>
  <c r="K1321" i="31" s="1"/>
  <c r="K1322" i="31" s="1"/>
  <c r="K1323" i="31" s="1"/>
  <c r="K1324" i="31" s="1"/>
  <c r="K1325" i="31" s="1"/>
  <c r="K1326" i="31" s="1"/>
  <c r="K1327" i="31" s="1"/>
  <c r="K1328" i="31" s="1"/>
  <c r="K1329" i="31" s="1"/>
  <c r="K1330" i="31" s="1"/>
  <c r="E1321" i="31"/>
  <c r="E1322" i="31"/>
  <c r="E1323" i="31"/>
  <c r="E1324" i="31"/>
  <c r="E1325" i="31"/>
  <c r="E1326" i="31"/>
  <c r="E1327" i="31"/>
  <c r="E1328" i="31"/>
  <c r="E1329" i="31"/>
  <c r="E1330" i="31"/>
  <c r="E1331" i="31"/>
  <c r="G1331" i="31"/>
  <c r="E1332" i="31"/>
  <c r="I1332" i="31"/>
  <c r="K1332" i="31"/>
  <c r="K1333" i="31" s="1"/>
  <c r="K1334" i="31" s="1"/>
  <c r="K1335" i="31" s="1"/>
  <c r="K1336" i="31" s="1"/>
  <c r="K1337" i="31" s="1"/>
  <c r="K1338" i="31" s="1"/>
  <c r="K1339" i="31" s="1"/>
  <c r="K1340" i="31" s="1"/>
  <c r="K1341" i="31" s="1"/>
  <c r="K1342" i="31" s="1"/>
  <c r="E1333" i="31"/>
  <c r="E1334" i="31"/>
  <c r="E1335" i="31"/>
  <c r="E1336" i="31"/>
  <c r="E1337" i="31"/>
  <c r="E1338" i="31"/>
  <c r="E1339" i="31"/>
  <c r="E1340" i="31"/>
  <c r="E1341" i="31"/>
  <c r="E1342" i="31"/>
  <c r="E1343" i="31"/>
  <c r="G1343" i="31"/>
  <c r="E1344" i="31"/>
  <c r="I1344" i="31"/>
  <c r="G1344" i="31" s="1"/>
  <c r="C1344" i="31" s="1"/>
  <c r="K1344" i="31"/>
  <c r="K1345" i="31" s="1"/>
  <c r="K1346" i="31" s="1"/>
  <c r="K1347" i="31" s="1"/>
  <c r="K1348" i="31" s="1"/>
  <c r="K1349" i="31" s="1"/>
  <c r="K1350" i="31" s="1"/>
  <c r="K1351" i="31" s="1"/>
  <c r="K1352" i="31" s="1"/>
  <c r="K1353" i="31" s="1"/>
  <c r="K1354" i="31" s="1"/>
  <c r="E1345" i="31"/>
  <c r="E1346" i="31"/>
  <c r="E1347" i="31"/>
  <c r="E1348" i="31"/>
  <c r="E1349" i="31"/>
  <c r="E1350" i="31"/>
  <c r="E1351" i="31"/>
  <c r="E1352" i="31"/>
  <c r="E1353" i="31"/>
  <c r="E1354" i="31"/>
  <c r="E1355" i="31"/>
  <c r="G1355" i="31"/>
  <c r="E1356" i="31"/>
  <c r="I1356" i="31"/>
  <c r="I1357" i="31" s="1"/>
  <c r="I1358" i="31" s="1"/>
  <c r="K1356" i="31"/>
  <c r="K1357" i="31" s="1"/>
  <c r="K1358" i="31" s="1"/>
  <c r="K1359" i="31" s="1"/>
  <c r="K1360" i="31" s="1"/>
  <c r="K1361" i="31" s="1"/>
  <c r="K1362" i="31" s="1"/>
  <c r="K1363" i="31" s="1"/>
  <c r="K1364" i="31" s="1"/>
  <c r="K1365" i="31" s="1"/>
  <c r="K1366" i="31" s="1"/>
  <c r="E1357" i="31"/>
  <c r="E1358" i="31"/>
  <c r="E1359" i="31"/>
  <c r="E1360" i="31"/>
  <c r="E1361" i="31"/>
  <c r="E1362" i="31"/>
  <c r="E1363" i="31"/>
  <c r="E1364" i="31"/>
  <c r="E1365" i="31"/>
  <c r="E1366" i="31"/>
  <c r="E1367" i="31"/>
  <c r="G1367" i="31"/>
  <c r="E1368" i="31"/>
  <c r="I1368" i="31"/>
  <c r="G1368" i="31" s="1"/>
  <c r="C1368" i="31" s="1"/>
  <c r="K1368" i="31"/>
  <c r="K1369" i="31" s="1"/>
  <c r="K1370" i="31" s="1"/>
  <c r="K1371" i="31" s="1"/>
  <c r="K1372" i="31" s="1"/>
  <c r="K1373" i="31" s="1"/>
  <c r="K1374" i="31" s="1"/>
  <c r="K1375" i="31" s="1"/>
  <c r="K1376" i="31" s="1"/>
  <c r="K1377" i="31" s="1"/>
  <c r="K1378" i="31" s="1"/>
  <c r="E1369" i="31"/>
  <c r="E1370" i="31"/>
  <c r="E1371" i="31"/>
  <c r="E1372" i="31"/>
  <c r="E1373" i="31"/>
  <c r="E1374" i="31"/>
  <c r="E1375" i="31"/>
  <c r="E1376" i="31"/>
  <c r="E1377" i="31"/>
  <c r="E1378" i="31"/>
  <c r="E1379" i="31"/>
  <c r="G1379" i="31"/>
  <c r="E1380" i="31"/>
  <c r="I1380" i="31"/>
  <c r="K1380" i="31"/>
  <c r="K1381" i="31" s="1"/>
  <c r="K1382" i="31" s="1"/>
  <c r="K1383" i="31" s="1"/>
  <c r="K1384" i="31" s="1"/>
  <c r="K1385" i="31" s="1"/>
  <c r="K1386" i="31" s="1"/>
  <c r="K1387" i="31" s="1"/>
  <c r="K1388" i="31" s="1"/>
  <c r="K1389" i="31" s="1"/>
  <c r="K1390" i="31" s="1"/>
  <c r="E1381" i="31"/>
  <c r="E1382" i="31"/>
  <c r="E1383" i="31"/>
  <c r="E1384" i="31"/>
  <c r="E1385" i="31"/>
  <c r="E1386" i="31"/>
  <c r="E1387" i="31"/>
  <c r="E1388" i="31"/>
  <c r="E1389" i="31"/>
  <c r="E1390" i="31"/>
  <c r="E1391" i="31"/>
  <c r="G1391" i="31"/>
  <c r="E1392" i="31"/>
  <c r="I1392" i="31"/>
  <c r="I1393" i="31" s="1"/>
  <c r="G1393" i="31" s="1"/>
  <c r="C1393" i="31" s="1"/>
  <c r="K1392" i="31"/>
  <c r="K1393" i="31" s="1"/>
  <c r="K1394" i="31" s="1"/>
  <c r="K1395" i="31" s="1"/>
  <c r="K1396" i="31" s="1"/>
  <c r="K1397" i="31" s="1"/>
  <c r="K1398" i="31" s="1"/>
  <c r="K1399" i="31" s="1"/>
  <c r="K1400" i="31" s="1"/>
  <c r="K1401" i="31" s="1"/>
  <c r="K1402" i="31" s="1"/>
  <c r="E1393" i="31"/>
  <c r="E1394" i="31"/>
  <c r="E1395" i="31"/>
  <c r="E1396" i="31"/>
  <c r="E1397" i="31"/>
  <c r="E1398" i="31"/>
  <c r="E1399" i="31"/>
  <c r="E1400" i="31"/>
  <c r="E1401" i="31"/>
  <c r="E1402" i="31"/>
  <c r="E1403" i="31"/>
  <c r="G1403" i="31"/>
  <c r="E1404" i="31"/>
  <c r="H1404" i="31"/>
  <c r="I1404" i="31"/>
  <c r="I1405" i="31" s="1"/>
  <c r="G1405" i="31" s="1"/>
  <c r="C1405" i="31" s="1"/>
  <c r="E1405" i="31"/>
  <c r="E1406" i="31"/>
  <c r="E1407" i="31"/>
  <c r="E1408" i="31"/>
  <c r="E1409" i="31"/>
  <c r="G1409" i="31"/>
  <c r="H1409" i="31"/>
  <c r="H1415" i="31" s="1"/>
  <c r="H1416" i="31" s="1"/>
  <c r="H1417" i="31" s="1"/>
  <c r="H1418" i="31" s="1"/>
  <c r="H1419" i="31" s="1"/>
  <c r="H1420" i="31" s="1"/>
  <c r="L1409" i="31"/>
  <c r="L1415" i="31" s="1"/>
  <c r="L1421" i="31" s="1"/>
  <c r="L1427" i="31" s="1"/>
  <c r="L1433" i="31" s="1"/>
  <c r="L1439" i="31" s="1"/>
  <c r="L1445" i="31" s="1"/>
  <c r="L1451" i="31" s="1"/>
  <c r="L1457" i="31" s="1"/>
  <c r="L1463" i="31" s="1"/>
  <c r="E1410" i="31"/>
  <c r="I1410" i="31"/>
  <c r="I1411" i="31" s="1"/>
  <c r="E1411" i="31"/>
  <c r="E1412" i="31"/>
  <c r="E1413" i="31"/>
  <c r="E1414" i="31"/>
  <c r="E1415" i="31"/>
  <c r="G1415" i="31"/>
  <c r="E1416" i="31"/>
  <c r="I1416" i="31"/>
  <c r="I1417" i="31" s="1"/>
  <c r="E1417" i="31"/>
  <c r="E1418" i="31"/>
  <c r="E1419" i="31"/>
  <c r="E1420" i="31"/>
  <c r="E1421" i="31"/>
  <c r="G1421" i="31"/>
  <c r="E1422" i="31"/>
  <c r="I1422" i="31"/>
  <c r="I1423" i="31" s="1"/>
  <c r="E1423" i="31"/>
  <c r="E1424" i="31"/>
  <c r="E1425" i="31"/>
  <c r="E1426" i="31"/>
  <c r="E1427" i="31"/>
  <c r="G1427" i="31"/>
  <c r="E1428" i="31"/>
  <c r="I1428" i="31"/>
  <c r="E1429" i="31"/>
  <c r="E1430" i="31"/>
  <c r="E1431" i="31"/>
  <c r="E1432" i="31"/>
  <c r="E1433" i="31"/>
  <c r="G1433" i="31"/>
  <c r="E1434" i="31"/>
  <c r="I1434" i="31"/>
  <c r="I1435" i="31" s="1"/>
  <c r="E1435" i="31"/>
  <c r="E1436" i="31"/>
  <c r="E1437" i="31"/>
  <c r="E1438" i="31"/>
  <c r="E1439" i="31"/>
  <c r="G1439" i="31"/>
  <c r="E1440" i="31"/>
  <c r="I1440" i="31"/>
  <c r="I1441" i="31" s="1"/>
  <c r="E1441" i="31"/>
  <c r="E1442" i="31"/>
  <c r="E1443" i="31"/>
  <c r="E1444" i="31"/>
  <c r="E1445" i="31"/>
  <c r="G1445" i="31"/>
  <c r="E1446" i="31"/>
  <c r="I1446" i="31"/>
  <c r="E1447" i="31"/>
  <c r="E1448" i="31"/>
  <c r="E1449" i="31"/>
  <c r="E1450" i="31"/>
  <c r="E1451" i="31"/>
  <c r="G1451" i="31"/>
  <c r="E1452" i="31"/>
  <c r="I1452" i="31"/>
  <c r="G1452" i="31" s="1"/>
  <c r="C1452" i="31" s="1"/>
  <c r="E1453" i="31"/>
  <c r="E1454" i="31"/>
  <c r="E1455" i="31"/>
  <c r="E1456" i="31"/>
  <c r="E1457" i="31"/>
  <c r="G1457" i="31"/>
  <c r="E1458" i="31"/>
  <c r="I1458" i="31"/>
  <c r="G1458" i="31" s="1"/>
  <c r="C1458" i="31" s="1"/>
  <c r="E1459" i="31"/>
  <c r="E1460" i="31"/>
  <c r="E1461" i="31"/>
  <c r="E1462" i="31"/>
  <c r="E1463" i="31"/>
  <c r="G1463" i="31"/>
  <c r="E1464" i="31"/>
  <c r="I1464" i="31"/>
  <c r="E1465" i="31"/>
  <c r="E1466" i="31"/>
  <c r="E1467" i="31"/>
  <c r="E1468" i="31"/>
  <c r="E1469" i="31"/>
  <c r="G1469" i="31"/>
  <c r="K1483" i="31"/>
  <c r="K1484" i="31" s="1"/>
  <c r="K1485" i="31" s="1"/>
  <c r="K1486" i="31" s="1"/>
  <c r="K1487" i="31" s="1"/>
  <c r="K1494" i="31" s="1"/>
  <c r="K1495" i="31" s="1"/>
  <c r="K1496" i="31" s="1"/>
  <c r="K1497" i="31" s="1"/>
  <c r="K1498" i="31" s="1"/>
  <c r="K1499" i="31" s="1"/>
  <c r="E1470" i="31"/>
  <c r="G1470" i="31"/>
  <c r="H1470" i="31"/>
  <c r="H1471" i="31" s="1"/>
  <c r="F1471" i="31" s="1"/>
  <c r="L1470" i="31"/>
  <c r="L1471" i="31" s="1"/>
  <c r="L1472" i="31" s="1"/>
  <c r="L1473" i="31" s="1"/>
  <c r="L1474" i="31" s="1"/>
  <c r="L1475" i="31" s="1"/>
  <c r="L1476" i="31" s="1"/>
  <c r="L1477" i="31" s="1"/>
  <c r="L1478" i="31" s="1"/>
  <c r="L1479" i="31" s="1"/>
  <c r="L1480" i="31" s="1"/>
  <c r="L1481" i="31" s="1"/>
  <c r="E1471" i="31"/>
  <c r="G1471" i="31"/>
  <c r="E1472" i="31"/>
  <c r="G1472" i="31"/>
  <c r="E1473" i="31"/>
  <c r="G1473" i="31"/>
  <c r="E1474" i="31"/>
  <c r="G1474" i="31"/>
  <c r="E1475" i="31"/>
  <c r="G1475" i="31"/>
  <c r="E1476" i="31"/>
  <c r="G1476" i="31"/>
  <c r="E1477" i="31"/>
  <c r="G1477" i="31"/>
  <c r="E1478" i="31"/>
  <c r="G1478" i="31"/>
  <c r="E1479" i="31"/>
  <c r="G1479" i="31"/>
  <c r="E1480" i="31"/>
  <c r="G1480" i="31"/>
  <c r="E1481" i="31"/>
  <c r="G1481" i="31"/>
  <c r="E1482" i="31"/>
  <c r="G1482" i="31"/>
  <c r="E1483" i="31"/>
  <c r="H1483" i="31"/>
  <c r="H1484" i="31" s="1"/>
  <c r="I1483" i="31"/>
  <c r="G1483" i="31" s="1"/>
  <c r="E1484" i="31"/>
  <c r="E1485" i="31"/>
  <c r="E1486" i="31"/>
  <c r="E1487" i="31"/>
  <c r="E1488" i="31"/>
  <c r="G1488" i="31"/>
  <c r="H1488" i="31"/>
  <c r="H1489" i="31" s="1"/>
  <c r="H1490" i="31" s="1"/>
  <c r="H1491" i="31" s="1"/>
  <c r="H1492" i="31" s="1"/>
  <c r="H1493" i="31" s="1"/>
  <c r="E1489" i="31"/>
  <c r="I1489" i="31"/>
  <c r="E1490" i="31"/>
  <c r="E1491" i="31"/>
  <c r="E1492" i="31"/>
  <c r="E1493" i="31"/>
  <c r="E1494" i="31"/>
  <c r="F1494" i="31"/>
  <c r="G1494" i="31"/>
  <c r="E1495" i="31"/>
  <c r="H1495" i="31"/>
  <c r="H1496" i="31" s="1"/>
  <c r="H1497" i="31" s="1"/>
  <c r="H1498" i="31" s="1"/>
  <c r="H1499" i="31" s="1"/>
  <c r="I1495" i="31"/>
  <c r="G1495" i="31" s="1"/>
  <c r="E1496" i="31"/>
  <c r="E1497" i="31"/>
  <c r="E1498" i="31"/>
  <c r="E1499" i="31"/>
  <c r="E1500" i="31"/>
  <c r="G1500" i="31"/>
  <c r="L1500" i="31"/>
  <c r="E1501" i="31"/>
  <c r="H1501" i="31"/>
  <c r="H1502" i="31" s="1"/>
  <c r="H1503" i="31" s="1"/>
  <c r="H1504" i="31" s="1"/>
  <c r="H1505" i="31" s="1"/>
  <c r="I1501" i="31"/>
  <c r="I1502" i="31" s="1"/>
  <c r="G1502" i="31" s="1"/>
  <c r="E1502" i="31"/>
  <c r="E1503" i="31"/>
  <c r="E1504" i="31"/>
  <c r="E1505" i="31"/>
  <c r="E1506" i="31"/>
  <c r="F1506" i="31"/>
  <c r="G1506" i="31"/>
  <c r="E1507" i="31"/>
  <c r="H1507" i="31"/>
  <c r="H1508" i="31" s="1"/>
  <c r="H1509" i="31" s="1"/>
  <c r="H1510" i="31" s="1"/>
  <c r="I1507" i="31"/>
  <c r="I1508" i="31" s="1"/>
  <c r="G1508" i="31" s="1"/>
  <c r="E1508" i="31"/>
  <c r="E1509" i="31"/>
  <c r="E1510" i="31"/>
  <c r="E1511" i="31"/>
  <c r="E1512" i="31"/>
  <c r="F1512" i="31"/>
  <c r="G1512" i="31"/>
  <c r="L1512" i="31"/>
  <c r="E1513" i="31"/>
  <c r="H1513" i="31"/>
  <c r="H1514" i="31" s="1"/>
  <c r="H1515" i="31" s="1"/>
  <c r="I1513" i="31"/>
  <c r="E1514" i="31"/>
  <c r="E1515" i="31"/>
  <c r="E1516" i="31"/>
  <c r="E1517" i="31"/>
  <c r="E1518" i="31"/>
  <c r="G1518" i="31"/>
  <c r="E1519" i="31"/>
  <c r="H1519" i="31"/>
  <c r="H1520" i="31" s="1"/>
  <c r="H1521" i="31" s="1"/>
  <c r="H1522" i="31" s="1"/>
  <c r="H1523" i="31" s="1"/>
  <c r="I1519" i="31"/>
  <c r="I1520" i="31" s="1"/>
  <c r="K1519" i="31"/>
  <c r="K1520" i="31" s="1"/>
  <c r="K1521" i="31" s="1"/>
  <c r="K1522" i="31" s="1"/>
  <c r="K1523" i="31" s="1"/>
  <c r="E1520" i="31"/>
  <c r="E1521" i="31"/>
  <c r="E1522" i="31"/>
  <c r="E1523" i="31"/>
  <c r="E1524" i="31"/>
  <c r="F1524" i="31"/>
  <c r="G1524" i="31"/>
  <c r="E1525" i="31"/>
  <c r="H1525" i="31"/>
  <c r="I1525" i="31"/>
  <c r="I1526" i="31" s="1"/>
  <c r="G1526" i="31" s="1"/>
  <c r="K1525" i="31"/>
  <c r="K1526" i="31" s="1"/>
  <c r="K1527" i="31" s="1"/>
  <c r="K1528" i="31" s="1"/>
  <c r="K1529" i="31" s="1"/>
  <c r="E1526" i="31"/>
  <c r="E1527" i="31"/>
  <c r="E1528" i="31"/>
  <c r="E1529" i="31"/>
  <c r="E1530" i="31"/>
  <c r="F1530" i="31"/>
  <c r="G1530" i="31"/>
  <c r="E1531" i="31"/>
  <c r="H1531" i="31"/>
  <c r="H1532" i="31" s="1"/>
  <c r="I1531" i="31"/>
  <c r="G1531" i="31" s="1"/>
  <c r="K1531" i="31"/>
  <c r="K1532" i="31" s="1"/>
  <c r="K1533" i="31" s="1"/>
  <c r="K1534" i="31" s="1"/>
  <c r="K1535" i="31" s="1"/>
  <c r="E1532" i="31"/>
  <c r="E1533" i="31"/>
  <c r="E1534" i="31"/>
  <c r="E1535" i="31"/>
  <c r="E1536" i="31"/>
  <c r="G1536" i="31"/>
  <c r="E1537" i="31"/>
  <c r="H1537" i="31"/>
  <c r="H1538" i="31" s="1"/>
  <c r="I1537" i="31"/>
  <c r="K1537" i="31"/>
  <c r="K1538" i="31" s="1"/>
  <c r="K1539" i="31" s="1"/>
  <c r="K1540" i="31" s="1"/>
  <c r="K1541" i="31" s="1"/>
  <c r="E1538" i="31"/>
  <c r="E1539" i="31"/>
  <c r="E1540" i="31"/>
  <c r="E1541" i="31"/>
  <c r="E1542" i="31"/>
  <c r="F1542" i="31"/>
  <c r="G1542" i="31"/>
  <c r="E1543" i="31"/>
  <c r="H1543" i="31"/>
  <c r="H1544" i="31" s="1"/>
  <c r="H1545" i="31" s="1"/>
  <c r="H1546" i="31" s="1"/>
  <c r="H1547" i="31" s="1"/>
  <c r="I1543" i="31"/>
  <c r="I1544" i="31" s="1"/>
  <c r="G1544" i="31" s="1"/>
  <c r="K1543" i="31"/>
  <c r="K1544" i="31" s="1"/>
  <c r="K1545" i="31" s="1"/>
  <c r="K1546" i="31" s="1"/>
  <c r="K1547" i="31" s="1"/>
  <c r="E1544" i="31"/>
  <c r="E1545" i="31"/>
  <c r="E1546" i="31"/>
  <c r="E1547" i="31"/>
  <c r="E1548" i="31"/>
  <c r="F1548" i="31"/>
  <c r="G1548" i="31"/>
  <c r="E1549" i="31"/>
  <c r="H1549" i="31"/>
  <c r="H1550" i="31" s="1"/>
  <c r="I1549" i="31"/>
  <c r="K1549" i="31"/>
  <c r="K1550" i="31" s="1"/>
  <c r="K1551" i="31" s="1"/>
  <c r="K1552" i="31" s="1"/>
  <c r="K1553" i="31" s="1"/>
  <c r="E1550" i="31"/>
  <c r="E1551" i="31"/>
  <c r="E1552" i="31"/>
  <c r="E1553" i="31"/>
  <c r="E1554" i="31"/>
  <c r="G1554" i="31"/>
  <c r="E1555" i="31"/>
  <c r="H1555" i="31"/>
  <c r="H1556" i="31" s="1"/>
  <c r="H1557" i="31" s="1"/>
  <c r="H1558" i="31" s="1"/>
  <c r="H1559" i="31" s="1"/>
  <c r="I1555" i="31"/>
  <c r="I1556" i="31" s="1"/>
  <c r="K1555" i="31"/>
  <c r="K1556" i="31" s="1"/>
  <c r="K1557" i="31" s="1"/>
  <c r="K1558" i="31" s="1"/>
  <c r="K1559" i="31" s="1"/>
  <c r="E1556" i="31"/>
  <c r="E1557" i="31"/>
  <c r="E1558" i="31"/>
  <c r="E1559" i="31"/>
  <c r="E1560" i="31"/>
  <c r="F1560" i="31"/>
  <c r="G1560" i="31"/>
  <c r="E1561" i="31"/>
  <c r="H1561" i="31"/>
  <c r="H1562" i="31" s="1"/>
  <c r="I1561" i="31"/>
  <c r="K1561" i="31"/>
  <c r="K1562" i="31" s="1"/>
  <c r="K1563" i="31" s="1"/>
  <c r="K1564" i="31" s="1"/>
  <c r="K1565" i="31" s="1"/>
  <c r="E1562" i="31"/>
  <c r="E1563" i="31"/>
  <c r="E1564" i="31"/>
  <c r="E1565" i="31"/>
  <c r="E1566" i="31"/>
  <c r="F1566" i="31"/>
  <c r="G1566" i="31"/>
  <c r="E1567" i="31"/>
  <c r="H1567" i="31"/>
  <c r="I1567" i="31"/>
  <c r="G1567" i="31" s="1"/>
  <c r="K1567" i="31"/>
  <c r="K1568" i="31" s="1"/>
  <c r="K1569" i="31" s="1"/>
  <c r="K1570" i="31" s="1"/>
  <c r="K1571" i="31" s="1"/>
  <c r="E1568" i="31"/>
  <c r="E1569" i="31"/>
  <c r="E1570" i="31"/>
  <c r="E1571" i="31"/>
  <c r="E1572" i="31"/>
  <c r="G1572" i="31"/>
  <c r="E1573" i="31"/>
  <c r="H1573" i="31"/>
  <c r="H1574" i="31" s="1"/>
  <c r="H1575" i="31" s="1"/>
  <c r="H1576" i="31" s="1"/>
  <c r="H1577" i="31" s="1"/>
  <c r="I1573" i="31"/>
  <c r="K1573" i="31"/>
  <c r="K1574" i="31" s="1"/>
  <c r="K1575" i="31" s="1"/>
  <c r="K1576" i="31" s="1"/>
  <c r="K1577" i="31" s="1"/>
  <c r="E1574" i="31"/>
  <c r="E1575" i="31"/>
  <c r="E1576" i="31"/>
  <c r="E1577" i="31"/>
  <c r="E1578" i="31"/>
  <c r="F1578" i="31"/>
  <c r="G1578" i="31"/>
  <c r="E1579" i="31"/>
  <c r="H1579" i="31"/>
  <c r="I1579" i="31"/>
  <c r="I1580" i="31" s="1"/>
  <c r="K1579" i="31"/>
  <c r="K1580" i="31" s="1"/>
  <c r="K1581" i="31" s="1"/>
  <c r="K1582" i="31" s="1"/>
  <c r="K1583" i="31" s="1"/>
  <c r="E1580" i="31"/>
  <c r="E1581" i="31"/>
  <c r="E1582" i="31"/>
  <c r="E1583" i="31"/>
  <c r="E1584" i="31"/>
  <c r="F1584" i="31"/>
  <c r="G1584" i="31"/>
  <c r="E1585" i="31"/>
  <c r="H1585" i="31"/>
  <c r="I1585" i="31"/>
  <c r="K1585" i="31"/>
  <c r="K1586" i="31" s="1"/>
  <c r="K1587" i="31" s="1"/>
  <c r="K1588" i="31" s="1"/>
  <c r="K1589" i="31" s="1"/>
  <c r="E1586" i="31"/>
  <c r="E1587" i="31"/>
  <c r="E1588" i="31"/>
  <c r="E1589" i="31"/>
  <c r="E1590" i="31"/>
  <c r="G1590" i="31"/>
  <c r="E1591" i="31"/>
  <c r="G1591" i="31"/>
  <c r="H1591" i="31"/>
  <c r="H1592" i="31" s="1"/>
  <c r="K1591" i="31"/>
  <c r="K1592" i="31" s="1"/>
  <c r="K1593" i="31" s="1"/>
  <c r="K1594" i="31" s="1"/>
  <c r="K1595" i="31" s="1"/>
  <c r="K1596" i="31" s="1"/>
  <c r="K1597" i="31" s="1"/>
  <c r="K1598" i="31" s="1"/>
  <c r="K1599" i="31" s="1"/>
  <c r="K1600" i="31" s="1"/>
  <c r="K1601" i="31" s="1"/>
  <c r="K1602" i="31" s="1"/>
  <c r="K1603" i="31" s="1"/>
  <c r="E1592" i="31"/>
  <c r="G1592" i="31"/>
  <c r="E1593" i="31"/>
  <c r="G1593" i="31"/>
  <c r="E1594" i="31"/>
  <c r="G1594" i="31"/>
  <c r="E1595" i="31"/>
  <c r="G1595" i="31"/>
  <c r="E1596" i="31"/>
  <c r="G1596" i="31"/>
  <c r="E1597" i="31"/>
  <c r="G1597" i="31"/>
  <c r="E1598" i="31"/>
  <c r="G1598" i="31"/>
  <c r="E1599" i="31"/>
  <c r="G1599" i="31"/>
  <c r="E1600" i="31"/>
  <c r="G1600" i="31"/>
  <c r="E1601" i="31"/>
  <c r="G1601" i="31"/>
  <c r="E1602" i="31"/>
  <c r="G1602" i="31"/>
  <c r="E1603" i="31"/>
  <c r="G1603" i="31"/>
  <c r="E1604" i="31"/>
  <c r="G1604" i="31"/>
  <c r="E1605" i="31"/>
  <c r="G1605" i="31"/>
  <c r="H1605" i="31"/>
  <c r="H1606" i="31" s="1"/>
  <c r="F1606" i="31" s="1"/>
  <c r="K1605" i="31"/>
  <c r="K1606" i="31" s="1"/>
  <c r="K1607" i="31" s="1"/>
  <c r="K1608" i="31" s="1"/>
  <c r="K1609" i="31" s="1"/>
  <c r="K1610" i="31" s="1"/>
  <c r="K1611" i="31" s="1"/>
  <c r="K1612" i="31" s="1"/>
  <c r="K1613" i="31" s="1"/>
  <c r="K1614" i="31" s="1"/>
  <c r="K1615" i="31" s="1"/>
  <c r="K1616" i="31" s="1"/>
  <c r="K1617" i="31" s="1"/>
  <c r="E1606" i="31"/>
  <c r="G1606" i="31"/>
  <c r="E1607" i="31"/>
  <c r="G1607" i="31"/>
  <c r="E1608" i="31"/>
  <c r="G1608" i="31"/>
  <c r="E1609" i="31"/>
  <c r="G1609" i="31"/>
  <c r="E1610" i="31"/>
  <c r="G1610" i="31"/>
  <c r="E1611" i="31"/>
  <c r="G1611" i="31"/>
  <c r="E1612" i="31"/>
  <c r="G1612" i="31"/>
  <c r="E1613" i="31"/>
  <c r="G1613" i="31"/>
  <c r="E1614" i="31"/>
  <c r="G1614" i="31"/>
  <c r="E1615" i="31"/>
  <c r="G1615" i="31"/>
  <c r="E1616" i="31"/>
  <c r="G1616" i="31"/>
  <c r="E1617" i="31"/>
  <c r="G1617" i="31"/>
  <c r="E1618" i="31"/>
  <c r="F1618" i="31"/>
  <c r="G1618" i="31"/>
  <c r="E1619" i="31"/>
  <c r="H1619" i="31"/>
  <c r="I1619" i="31"/>
  <c r="G1619" i="31" s="1"/>
  <c r="K1619" i="31"/>
  <c r="K1620" i="31" s="1"/>
  <c r="K1621" i="31" s="1"/>
  <c r="K1622" i="31" s="1"/>
  <c r="K1623" i="31" s="1"/>
  <c r="K1624" i="31" s="1"/>
  <c r="K1625" i="31" s="1"/>
  <c r="K1626" i="31" s="1"/>
  <c r="K1627" i="31" s="1"/>
  <c r="K1628" i="31" s="1"/>
  <c r="K1629" i="31" s="1"/>
  <c r="K1630" i="31" s="1"/>
  <c r="K1631" i="31" s="1"/>
  <c r="K1632" i="31" s="1"/>
  <c r="K1633" i="31" s="1"/>
  <c r="K1634" i="31" s="1"/>
  <c r="K1635" i="31" s="1"/>
  <c r="K1636" i="31" s="1"/>
  <c r="K1637" i="31" s="1"/>
  <c r="K1638" i="31" s="1"/>
  <c r="K1639" i="31" s="1"/>
  <c r="K1640" i="31" s="1"/>
  <c r="K1641" i="31" s="1"/>
  <c r="K1642" i="31" s="1"/>
  <c r="K1643" i="31" s="1"/>
  <c r="K1644" i="31" s="1"/>
  <c r="K1645" i="31" s="1"/>
  <c r="K1646" i="31" s="1"/>
  <c r="K1647" i="31" s="1"/>
  <c r="K1648" i="31" s="1"/>
  <c r="K1649" i="31" s="1"/>
  <c r="K1650" i="31" s="1"/>
  <c r="K1651" i="31" s="1"/>
  <c r="K1652" i="31" s="1"/>
  <c r="K1653" i="31" s="1"/>
  <c r="K1654" i="31" s="1"/>
  <c r="K1655" i="31" s="1"/>
  <c r="K1656" i="31" s="1"/>
  <c r="K1657" i="31" s="1"/>
  <c r="K1658" i="31" s="1"/>
  <c r="K1659" i="31" s="1"/>
  <c r="K1660" i="31" s="1"/>
  <c r="K1661" i="31" s="1"/>
  <c r="K1662" i="31" s="1"/>
  <c r="K1663" i="31" s="1"/>
  <c r="K1664" i="31" s="1"/>
  <c r="K1665" i="31" s="1"/>
  <c r="K1666" i="31" s="1"/>
  <c r="K1667" i="31" s="1"/>
  <c r="K1668" i="31" s="1"/>
  <c r="K1669" i="31" s="1"/>
  <c r="K1670" i="31" s="1"/>
  <c r="K1671" i="31" s="1"/>
  <c r="K1672" i="31" s="1"/>
  <c r="K1673" i="31" s="1"/>
  <c r="K1674" i="31" s="1"/>
  <c r="K1675" i="31" s="1"/>
  <c r="K1676" i="31" s="1"/>
  <c r="K1677" i="31" s="1"/>
  <c r="K1678" i="31" s="1"/>
  <c r="K1679" i="31" s="1"/>
  <c r="K1680" i="31" s="1"/>
  <c r="K1681" i="31" s="1"/>
  <c r="K1682" i="31" s="1"/>
  <c r="K1683" i="31" s="1"/>
  <c r="K1684" i="31" s="1"/>
  <c r="K1685" i="31" s="1"/>
  <c r="K1686" i="31" s="1"/>
  <c r="K1687" i="31" s="1"/>
  <c r="K1688" i="31" s="1"/>
  <c r="K1689" i="31" s="1"/>
  <c r="E1620" i="31"/>
  <c r="E1621" i="31"/>
  <c r="E1622" i="31"/>
  <c r="G1622" i="31"/>
  <c r="H1622" i="31"/>
  <c r="H1623" i="31" s="1"/>
  <c r="H1624" i="31" s="1"/>
  <c r="H1625" i="31" s="1"/>
  <c r="L1622" i="31"/>
  <c r="L1626" i="31" s="1"/>
  <c r="L1630" i="31" s="1"/>
  <c r="E1623" i="31"/>
  <c r="I1623" i="31"/>
  <c r="G1623" i="31" s="1"/>
  <c r="E1624" i="31"/>
  <c r="E1625" i="31"/>
  <c r="E1626" i="31"/>
  <c r="G1626" i="31"/>
  <c r="E1627" i="31"/>
  <c r="I1627" i="31"/>
  <c r="E1628" i="31"/>
  <c r="E1629" i="31"/>
  <c r="E1630" i="31"/>
  <c r="G1630" i="31"/>
  <c r="E1631" i="31"/>
  <c r="I1631" i="31"/>
  <c r="E1632" i="31"/>
  <c r="E1633" i="31"/>
  <c r="E1634" i="31"/>
  <c r="G1634" i="31"/>
  <c r="B1634" i="31" s="1"/>
  <c r="E1635" i="31"/>
  <c r="H1635" i="31"/>
  <c r="H1636" i="31" s="1"/>
  <c r="H1637" i="31" s="1"/>
  <c r="H1638" i="31" s="1"/>
  <c r="H1639" i="31" s="1"/>
  <c r="H1640" i="31" s="1"/>
  <c r="H1641" i="31" s="1"/>
  <c r="I1635" i="31"/>
  <c r="E1636" i="31"/>
  <c r="E1637" i="31"/>
  <c r="E1638" i="31"/>
  <c r="E1639" i="31"/>
  <c r="E1640" i="31"/>
  <c r="E1641" i="31"/>
  <c r="E1642" i="31"/>
  <c r="G1642" i="31"/>
  <c r="B1642" i="31" s="1"/>
  <c r="H1642" i="31"/>
  <c r="H1650" i="31" s="1"/>
  <c r="F1650" i="31" s="1"/>
  <c r="L1642" i="31"/>
  <c r="L1650" i="31" s="1"/>
  <c r="L1658" i="31" s="1"/>
  <c r="L1666" i="31" s="1"/>
  <c r="L1674" i="31" s="1"/>
  <c r="L1682" i="31" s="1"/>
  <c r="E1643" i="31"/>
  <c r="I1643" i="31"/>
  <c r="E1644" i="31"/>
  <c r="E1645" i="31"/>
  <c r="E1646" i="31"/>
  <c r="E1647" i="31"/>
  <c r="E1648" i="31"/>
  <c r="E1649" i="31"/>
  <c r="E1650" i="31"/>
  <c r="G1650" i="31"/>
  <c r="C1650" i="31" s="1"/>
  <c r="E1651" i="31"/>
  <c r="I1651" i="31"/>
  <c r="G1651" i="31" s="1"/>
  <c r="E1652" i="31"/>
  <c r="E1653" i="31"/>
  <c r="E1654" i="31"/>
  <c r="E1655" i="31"/>
  <c r="E1656" i="31"/>
  <c r="E1657" i="31"/>
  <c r="E1658" i="31"/>
  <c r="G1658" i="31"/>
  <c r="E1659" i="31"/>
  <c r="I1659" i="31"/>
  <c r="G1659" i="31" s="1"/>
  <c r="E1660" i="31"/>
  <c r="E1661" i="31"/>
  <c r="E1662" i="31"/>
  <c r="E1663" i="31"/>
  <c r="E1664" i="31"/>
  <c r="E1665" i="31"/>
  <c r="E1666" i="31"/>
  <c r="G1666" i="31"/>
  <c r="E1667" i="31"/>
  <c r="I1667" i="31"/>
  <c r="I1668" i="31" s="1"/>
  <c r="G1668" i="31" s="1"/>
  <c r="E1668" i="31"/>
  <c r="E1669" i="31"/>
  <c r="E1670" i="31"/>
  <c r="E1671" i="31"/>
  <c r="E1672" i="31"/>
  <c r="E1673" i="31"/>
  <c r="E1674" i="31"/>
  <c r="G1674" i="31"/>
  <c r="B1674" i="31" s="1"/>
  <c r="E1675" i="31"/>
  <c r="I1675" i="31"/>
  <c r="E1676" i="31"/>
  <c r="E1677" i="31"/>
  <c r="E1678" i="31"/>
  <c r="E1679" i="31"/>
  <c r="E1680" i="31"/>
  <c r="E1681" i="31"/>
  <c r="E1682" i="31"/>
  <c r="G1682" i="31"/>
  <c r="B1682" i="31" s="1"/>
  <c r="E1683" i="31"/>
  <c r="I1683" i="31"/>
  <c r="G1683" i="31" s="1"/>
  <c r="E1684" i="31"/>
  <c r="E1685" i="31"/>
  <c r="E1686" i="31"/>
  <c r="E1687" i="31"/>
  <c r="E1688" i="31"/>
  <c r="E1689" i="31"/>
  <c r="E1690" i="31"/>
  <c r="G1690" i="31"/>
  <c r="E1691" i="31"/>
  <c r="H1691" i="31"/>
  <c r="H1692" i="31" s="1"/>
  <c r="H1693" i="31" s="1"/>
  <c r="H1694" i="31" s="1"/>
  <c r="I1691" i="31"/>
  <c r="K1691" i="31"/>
  <c r="K1692" i="31" s="1"/>
  <c r="K1693" i="31" s="1"/>
  <c r="K1694" i="31" s="1"/>
  <c r="K1695" i="31" s="1"/>
  <c r="K1696" i="31" s="1"/>
  <c r="K1697" i="31" s="1"/>
  <c r="K1698" i="31" s="1"/>
  <c r="K1699" i="31" s="1"/>
  <c r="K1700" i="31" s="1"/>
  <c r="K1704" i="31" s="1"/>
  <c r="K1706" i="31" s="1"/>
  <c r="K1708" i="31" s="1"/>
  <c r="E1692" i="31"/>
  <c r="E1693" i="31"/>
  <c r="E1694" i="31"/>
  <c r="E1695" i="31"/>
  <c r="E1696" i="31"/>
  <c r="E1697" i="31"/>
  <c r="E1698" i="31"/>
  <c r="E1699" i="31"/>
  <c r="E1700" i="31"/>
  <c r="G1700" i="31"/>
  <c r="B1700" i="31" s="1"/>
  <c r="L1700" i="31"/>
  <c r="L1705" i="31" s="1"/>
  <c r="L1710" i="31" s="1"/>
  <c r="L1715" i="31" s="1"/>
  <c r="L1720" i="31" s="1"/>
  <c r="L1725" i="31" s="1"/>
  <c r="L1730" i="31" s="1"/>
  <c r="E1701" i="31"/>
  <c r="G1701" i="31"/>
  <c r="E1702" i="31"/>
  <c r="G1702" i="31"/>
  <c r="E1703" i="31"/>
  <c r="G1703" i="31"/>
  <c r="E1704" i="31"/>
  <c r="G1704" i="31"/>
  <c r="E1705" i="31"/>
  <c r="F1705" i="31"/>
  <c r="G1705" i="31"/>
  <c r="E1706" i="31"/>
  <c r="G1706" i="31"/>
  <c r="B1706" i="31" s="1"/>
  <c r="E1707" i="31"/>
  <c r="F1707" i="31"/>
  <c r="G1707" i="31"/>
  <c r="E1708" i="31"/>
  <c r="G1708" i="31"/>
  <c r="E1709" i="31"/>
  <c r="F1709" i="31"/>
  <c r="G1709" i="31"/>
  <c r="E1710" i="31"/>
  <c r="F1710" i="31"/>
  <c r="G1710" i="31"/>
  <c r="E1712" i="31"/>
  <c r="F1712" i="31"/>
  <c r="G1712" i="31"/>
  <c r="E1714" i="31"/>
  <c r="F1714" i="31"/>
  <c r="G1714" i="31"/>
  <c r="E1715" i="31"/>
  <c r="F1715" i="31"/>
  <c r="G1715" i="31"/>
  <c r="B1715" i="31" s="1"/>
  <c r="E1716" i="31"/>
  <c r="G1716" i="31"/>
  <c r="E1717" i="31"/>
  <c r="F1717" i="31"/>
  <c r="G1717" i="31"/>
  <c r="E1718" i="31"/>
  <c r="G1718" i="31"/>
  <c r="E1719" i="31"/>
  <c r="F1719" i="31"/>
  <c r="G1719" i="31"/>
  <c r="E1720" i="31"/>
  <c r="F1720" i="31"/>
  <c r="G1720" i="31"/>
  <c r="E1721" i="31"/>
  <c r="G1721" i="31"/>
  <c r="E1722" i="31"/>
  <c r="F1722" i="31"/>
  <c r="G1722" i="31"/>
  <c r="C1722" i="31" s="1"/>
  <c r="E1723" i="31"/>
  <c r="G1723" i="31"/>
  <c r="E1724" i="31"/>
  <c r="F1724" i="31"/>
  <c r="G1724" i="31"/>
  <c r="C1724" i="31" s="1"/>
  <c r="E1725" i="31"/>
  <c r="F1725" i="31"/>
  <c r="G1725" i="31"/>
  <c r="C1725" i="31" s="1"/>
  <c r="E1726" i="31"/>
  <c r="G1726" i="31"/>
  <c r="C1726" i="31" s="1"/>
  <c r="E1727" i="31"/>
  <c r="F1727" i="31"/>
  <c r="G1727" i="31"/>
  <c r="C1727" i="31" s="1"/>
  <c r="E1728" i="31"/>
  <c r="G1728" i="31"/>
  <c r="E1729" i="31"/>
  <c r="F1729" i="31"/>
  <c r="G1729" i="31"/>
  <c r="E1730" i="31"/>
  <c r="F1730" i="31"/>
  <c r="G1730" i="31"/>
  <c r="E1731" i="31"/>
  <c r="G1731" i="31"/>
  <c r="B1731" i="31" s="1"/>
  <c r="E1732" i="31"/>
  <c r="F1732" i="31"/>
  <c r="G1732" i="31"/>
  <c r="E1733" i="31"/>
  <c r="G1733" i="31"/>
  <c r="E1734" i="31"/>
  <c r="F1734" i="31"/>
  <c r="G1734" i="31"/>
  <c r="E1735" i="31"/>
  <c r="G1735" i="31"/>
  <c r="E1737" i="31"/>
  <c r="G1737" i="31"/>
  <c r="H1737" i="31"/>
  <c r="H1738" i="31" s="1"/>
  <c r="L1737" i="31"/>
  <c r="L1739" i="31" s="1"/>
  <c r="L1741" i="31" s="1"/>
  <c r="L1743" i="31" s="1"/>
  <c r="L1745" i="31" s="1"/>
  <c r="L1747" i="31" s="1"/>
  <c r="L1749" i="31" s="1"/>
  <c r="L1751" i="31" s="1"/>
  <c r="E1738" i="31"/>
  <c r="I1738" i="31"/>
  <c r="G1738" i="31" s="1"/>
  <c r="E1739" i="31"/>
  <c r="G1739" i="31"/>
  <c r="E1740" i="31"/>
  <c r="I1740" i="31"/>
  <c r="G1740" i="31" s="1"/>
  <c r="E1741" i="31"/>
  <c r="G1741" i="31"/>
  <c r="E1742" i="31"/>
  <c r="I1742" i="31"/>
  <c r="G1742" i="31" s="1"/>
  <c r="E1743" i="31"/>
  <c r="G1743" i="31"/>
  <c r="C1743" i="31" s="1"/>
  <c r="E1744" i="31"/>
  <c r="I1744" i="31"/>
  <c r="G1744" i="31" s="1"/>
  <c r="E1745" i="31"/>
  <c r="G1745" i="31"/>
  <c r="E1746" i="31"/>
  <c r="I1746" i="31"/>
  <c r="G1746" i="31" s="1"/>
  <c r="E1747" i="31"/>
  <c r="G1747" i="31"/>
  <c r="E1748" i="31"/>
  <c r="I1748" i="31"/>
  <c r="G1748" i="31" s="1"/>
  <c r="E1749" i="31"/>
  <c r="G1749" i="31"/>
  <c r="E1750" i="31"/>
  <c r="I1750" i="31"/>
  <c r="G1750" i="31" s="1"/>
  <c r="E1751" i="31"/>
  <c r="G1751" i="31"/>
  <c r="E1752" i="31"/>
  <c r="I1752" i="31"/>
  <c r="G1752" i="31" s="1"/>
  <c r="E1753" i="31"/>
  <c r="G1753" i="31"/>
  <c r="E1754" i="31"/>
  <c r="G1754" i="31"/>
  <c r="H1754" i="31"/>
  <c r="H1755" i="31" s="1"/>
  <c r="L1754" i="31"/>
  <c r="L1755" i="31" s="1"/>
  <c r="L1756" i="31" s="1"/>
  <c r="L1757" i="31" s="1"/>
  <c r="L1758" i="31" s="1"/>
  <c r="L1759" i="31" s="1"/>
  <c r="L1760" i="31" s="1"/>
  <c r="E1755" i="31"/>
  <c r="G1755" i="31"/>
  <c r="E1756" i="31"/>
  <c r="G1756" i="31"/>
  <c r="E1757" i="31"/>
  <c r="G1757" i="31"/>
  <c r="E1758" i="31"/>
  <c r="G1758" i="31"/>
  <c r="H1758" i="31"/>
  <c r="H1759" i="31" s="1"/>
  <c r="F1759" i="31" s="1"/>
  <c r="E1759" i="31"/>
  <c r="G1759" i="31"/>
  <c r="E1760" i="31"/>
  <c r="G1760" i="31"/>
  <c r="B2" i="44"/>
  <c r="E2" i="44"/>
  <c r="F2" i="44"/>
  <c r="G2" i="44"/>
  <c r="H2" i="44"/>
  <c r="B3" i="44"/>
  <c r="E3" i="44"/>
  <c r="F3" i="44"/>
  <c r="G3" i="44"/>
  <c r="H3" i="44"/>
  <c r="J3" i="44"/>
  <c r="J4" i="44" s="1"/>
  <c r="J5" i="44" s="1"/>
  <c r="J6" i="44" s="1"/>
  <c r="J7" i="44" s="1"/>
  <c r="J8" i="44" s="1"/>
  <c r="J9" i="44" s="1"/>
  <c r="J10" i="44" s="1"/>
  <c r="J11" i="44" s="1"/>
  <c r="J12" i="44" s="1"/>
  <c r="J13" i="44" s="1"/>
  <c r="J14" i="44" s="1"/>
  <c r="J15" i="44" s="1"/>
  <c r="J16" i="44" s="1"/>
  <c r="J17" i="44" s="1"/>
  <c r="J18" i="44" s="1"/>
  <c r="J19" i="44" s="1"/>
  <c r="J20" i="44" s="1"/>
  <c r="J21" i="44" s="1"/>
  <c r="B4" i="44"/>
  <c r="E4" i="44"/>
  <c r="F4" i="44"/>
  <c r="G4" i="44"/>
  <c r="H4" i="44"/>
  <c r="B5" i="44"/>
  <c r="E5" i="44"/>
  <c r="F5" i="44"/>
  <c r="G5" i="44"/>
  <c r="H5" i="44"/>
  <c r="B6" i="44"/>
  <c r="E6" i="44"/>
  <c r="F6" i="44"/>
  <c r="G6" i="44"/>
  <c r="H6" i="44"/>
  <c r="B7" i="44"/>
  <c r="E7" i="44"/>
  <c r="F7" i="44"/>
  <c r="G7" i="44"/>
  <c r="H7" i="44"/>
  <c r="B8" i="44"/>
  <c r="E8" i="44"/>
  <c r="F8" i="44"/>
  <c r="G8" i="44"/>
  <c r="H8" i="44"/>
  <c r="B9" i="44"/>
  <c r="E9" i="44"/>
  <c r="F9" i="44"/>
  <c r="G9" i="44"/>
  <c r="H9" i="44"/>
  <c r="B10" i="44"/>
  <c r="E10" i="44"/>
  <c r="F10" i="44"/>
  <c r="G10" i="44"/>
  <c r="H10" i="44"/>
  <c r="B11" i="44"/>
  <c r="E11" i="44"/>
  <c r="F11" i="44"/>
  <c r="G11" i="44"/>
  <c r="H11" i="44"/>
  <c r="B12" i="44"/>
  <c r="E12" i="44"/>
  <c r="F12" i="44"/>
  <c r="G12" i="44"/>
  <c r="H12" i="44"/>
  <c r="B13" i="44"/>
  <c r="E13" i="44"/>
  <c r="F13" i="44"/>
  <c r="G13" i="44"/>
  <c r="H13" i="44"/>
  <c r="B14" i="44"/>
  <c r="E14" i="44"/>
  <c r="F14" i="44"/>
  <c r="G14" i="44"/>
  <c r="H14" i="44"/>
  <c r="B15" i="44"/>
  <c r="E15" i="44"/>
  <c r="F15" i="44"/>
  <c r="G15" i="44"/>
  <c r="H15" i="44"/>
  <c r="B16" i="44"/>
  <c r="E16" i="44"/>
  <c r="F16" i="44"/>
  <c r="G16" i="44"/>
  <c r="H16" i="44"/>
  <c r="B17" i="44"/>
  <c r="E17" i="44"/>
  <c r="F17" i="44"/>
  <c r="G17" i="44"/>
  <c r="H17" i="44"/>
  <c r="B18" i="44"/>
  <c r="E18" i="44"/>
  <c r="F18" i="44"/>
  <c r="G18" i="44"/>
  <c r="H18" i="44"/>
  <c r="B19" i="44"/>
  <c r="E19" i="44"/>
  <c r="F19" i="44"/>
  <c r="G19" i="44"/>
  <c r="H19" i="44"/>
  <c r="B20" i="44"/>
  <c r="E20" i="44"/>
  <c r="F20" i="44"/>
  <c r="G20" i="44"/>
  <c r="H20" i="44"/>
  <c r="B21" i="44"/>
  <c r="E21" i="44"/>
  <c r="F21" i="44"/>
  <c r="G21" i="44"/>
  <c r="H21" i="44"/>
  <c r="B22" i="44"/>
  <c r="E22" i="44"/>
  <c r="F22" i="44"/>
  <c r="G22" i="44"/>
  <c r="H22" i="44"/>
  <c r="B23" i="44"/>
  <c r="E23" i="44"/>
  <c r="F23" i="44"/>
  <c r="G23" i="44"/>
  <c r="H23" i="44"/>
  <c r="J23" i="44"/>
  <c r="J24" i="44" s="1"/>
  <c r="J25" i="44" s="1"/>
  <c r="J26" i="44" s="1"/>
  <c r="J27" i="44" s="1"/>
  <c r="J28" i="44" s="1"/>
  <c r="J29" i="44" s="1"/>
  <c r="J30" i="44" s="1"/>
  <c r="J31" i="44" s="1"/>
  <c r="J32" i="44" s="1"/>
  <c r="J33" i="44" s="1"/>
  <c r="J34" i="44" s="1"/>
  <c r="J35" i="44" s="1"/>
  <c r="J36" i="44" s="1"/>
  <c r="J37" i="44" s="1"/>
  <c r="J38" i="44" s="1"/>
  <c r="J39" i="44" s="1"/>
  <c r="J40" i="44" s="1"/>
  <c r="J41" i="44" s="1"/>
  <c r="B24" i="44"/>
  <c r="E24" i="44"/>
  <c r="F24" i="44"/>
  <c r="G24" i="44"/>
  <c r="H24" i="44"/>
  <c r="B25" i="44"/>
  <c r="E25" i="44"/>
  <c r="F25" i="44"/>
  <c r="G25" i="44"/>
  <c r="H25" i="44"/>
  <c r="B26" i="44"/>
  <c r="E26" i="44"/>
  <c r="F26" i="44"/>
  <c r="G26" i="44"/>
  <c r="H26" i="44"/>
  <c r="B27" i="44"/>
  <c r="E27" i="44"/>
  <c r="F27" i="44"/>
  <c r="G27" i="44"/>
  <c r="H27" i="44"/>
  <c r="B28" i="44"/>
  <c r="E28" i="44"/>
  <c r="F28" i="44"/>
  <c r="G28" i="44"/>
  <c r="H28" i="44"/>
  <c r="B29" i="44"/>
  <c r="E29" i="44"/>
  <c r="F29" i="44"/>
  <c r="G29" i="44"/>
  <c r="H29" i="44"/>
  <c r="B30" i="44"/>
  <c r="E30" i="44"/>
  <c r="F30" i="44"/>
  <c r="G30" i="44"/>
  <c r="H30" i="44"/>
  <c r="B31" i="44"/>
  <c r="E31" i="44"/>
  <c r="F31" i="44"/>
  <c r="G31" i="44"/>
  <c r="H31" i="44"/>
  <c r="B32" i="44"/>
  <c r="E32" i="44"/>
  <c r="F32" i="44"/>
  <c r="G32" i="44"/>
  <c r="H32" i="44"/>
  <c r="B33" i="44"/>
  <c r="E33" i="44"/>
  <c r="F33" i="44"/>
  <c r="G33" i="44"/>
  <c r="H33" i="44"/>
  <c r="B34" i="44"/>
  <c r="E34" i="44"/>
  <c r="F34" i="44"/>
  <c r="G34" i="44"/>
  <c r="H34" i="44"/>
  <c r="B35" i="44"/>
  <c r="E35" i="44"/>
  <c r="F35" i="44"/>
  <c r="G35" i="44"/>
  <c r="H35" i="44"/>
  <c r="B36" i="44"/>
  <c r="E36" i="44"/>
  <c r="F36" i="44"/>
  <c r="G36" i="44"/>
  <c r="H36" i="44"/>
  <c r="B37" i="44"/>
  <c r="E37" i="44"/>
  <c r="F37" i="44"/>
  <c r="G37" i="44"/>
  <c r="H37" i="44"/>
  <c r="B38" i="44"/>
  <c r="E38" i="44"/>
  <c r="F38" i="44"/>
  <c r="G38" i="44"/>
  <c r="H38" i="44"/>
  <c r="B39" i="44"/>
  <c r="E39" i="44"/>
  <c r="F39" i="44"/>
  <c r="G39" i="44"/>
  <c r="H39" i="44"/>
  <c r="B40" i="44"/>
  <c r="E40" i="44"/>
  <c r="F40" i="44"/>
  <c r="G40" i="44"/>
  <c r="H40" i="44"/>
  <c r="B41" i="44"/>
  <c r="E41" i="44"/>
  <c r="F41" i="44"/>
  <c r="G41" i="44"/>
  <c r="H41" i="44"/>
  <c r="B42" i="44"/>
  <c r="E42" i="44"/>
  <c r="F42" i="44"/>
  <c r="G42" i="44"/>
  <c r="H42" i="44"/>
  <c r="B43" i="44"/>
  <c r="E43" i="44"/>
  <c r="F43" i="44"/>
  <c r="G43" i="44"/>
  <c r="H43" i="44"/>
  <c r="J43" i="44"/>
  <c r="J44" i="44" s="1"/>
  <c r="J45" i="44" s="1"/>
  <c r="J46" i="44" s="1"/>
  <c r="J47" i="44" s="1"/>
  <c r="J48" i="44" s="1"/>
  <c r="J49" i="44" s="1"/>
  <c r="J50" i="44" s="1"/>
  <c r="J51" i="44" s="1"/>
  <c r="J52" i="44" s="1"/>
  <c r="J53" i="44" s="1"/>
  <c r="J54" i="44" s="1"/>
  <c r="J55" i="44" s="1"/>
  <c r="J56" i="44" s="1"/>
  <c r="J57" i="44" s="1"/>
  <c r="J58" i="44" s="1"/>
  <c r="J59" i="44" s="1"/>
  <c r="J60" i="44" s="1"/>
  <c r="J61" i="44" s="1"/>
  <c r="B44" i="44"/>
  <c r="E44" i="44"/>
  <c r="F44" i="44"/>
  <c r="G44" i="44"/>
  <c r="H44" i="44"/>
  <c r="B45" i="44"/>
  <c r="E45" i="44"/>
  <c r="F45" i="44"/>
  <c r="G45" i="44"/>
  <c r="H45" i="44"/>
  <c r="B46" i="44"/>
  <c r="E46" i="44"/>
  <c r="F46" i="44"/>
  <c r="G46" i="44"/>
  <c r="H46" i="44"/>
  <c r="B47" i="44"/>
  <c r="E47" i="44"/>
  <c r="F47" i="44"/>
  <c r="G47" i="44"/>
  <c r="H47" i="44"/>
  <c r="B48" i="44"/>
  <c r="E48" i="44"/>
  <c r="F48" i="44"/>
  <c r="G48" i="44"/>
  <c r="H48" i="44"/>
  <c r="B49" i="44"/>
  <c r="E49" i="44"/>
  <c r="F49" i="44"/>
  <c r="G49" i="44"/>
  <c r="H49" i="44"/>
  <c r="B50" i="44"/>
  <c r="E50" i="44"/>
  <c r="F50" i="44"/>
  <c r="G50" i="44"/>
  <c r="H50" i="44"/>
  <c r="B51" i="44"/>
  <c r="E51" i="44"/>
  <c r="F51" i="44"/>
  <c r="G51" i="44"/>
  <c r="H51" i="44"/>
  <c r="B52" i="44"/>
  <c r="E52" i="44"/>
  <c r="F52" i="44"/>
  <c r="G52" i="44"/>
  <c r="H52" i="44"/>
  <c r="B53" i="44"/>
  <c r="E53" i="44"/>
  <c r="F53" i="44"/>
  <c r="G53" i="44"/>
  <c r="H53" i="44"/>
  <c r="B54" i="44"/>
  <c r="E54" i="44"/>
  <c r="F54" i="44"/>
  <c r="G54" i="44"/>
  <c r="H54" i="44"/>
  <c r="B55" i="44"/>
  <c r="E55" i="44"/>
  <c r="F55" i="44"/>
  <c r="G55" i="44"/>
  <c r="H55" i="44"/>
  <c r="B56" i="44"/>
  <c r="E56" i="44"/>
  <c r="F56" i="44"/>
  <c r="G56" i="44"/>
  <c r="H56" i="44"/>
  <c r="B57" i="44"/>
  <c r="E57" i="44"/>
  <c r="F57" i="44"/>
  <c r="G57" i="44"/>
  <c r="H57" i="44"/>
  <c r="B58" i="44"/>
  <c r="E58" i="44"/>
  <c r="F58" i="44"/>
  <c r="G58" i="44"/>
  <c r="H58" i="44"/>
  <c r="B59" i="44"/>
  <c r="E59" i="44"/>
  <c r="F59" i="44"/>
  <c r="G59" i="44"/>
  <c r="H59" i="44"/>
  <c r="B60" i="44"/>
  <c r="E60" i="44"/>
  <c r="F60" i="44"/>
  <c r="G60" i="44"/>
  <c r="H60" i="44"/>
  <c r="B61" i="44"/>
  <c r="E61" i="44"/>
  <c r="F61" i="44"/>
  <c r="G61" i="44"/>
  <c r="H61" i="44"/>
  <c r="B10" i="26"/>
  <c r="B11" i="26"/>
  <c r="G14" i="26"/>
  <c r="D146" i="41" s="1"/>
  <c r="G15" i="26"/>
  <c r="G16" i="26"/>
  <c r="G17" i="26"/>
  <c r="G18" i="26"/>
  <c r="G19" i="26"/>
  <c r="G20" i="26"/>
  <c r="G21" i="26"/>
  <c r="G22" i="26"/>
  <c r="G23" i="26"/>
  <c r="G24" i="26"/>
  <c r="G25" i="26"/>
  <c r="G26" i="26"/>
  <c r="G27" i="26"/>
  <c r="G28" i="26"/>
  <c r="G29" i="26"/>
  <c r="G30" i="26"/>
  <c r="G31" i="26"/>
  <c r="G32" i="26"/>
  <c r="G33" i="26"/>
  <c r="G34" i="26"/>
  <c r="G35" i="26"/>
  <c r="G36" i="26"/>
  <c r="G37" i="26"/>
  <c r="G38" i="26"/>
  <c r="H38" i="26"/>
  <c r="G39" i="26"/>
  <c r="G40" i="26"/>
  <c r="G41" i="26"/>
  <c r="G42" i="26"/>
  <c r="G43" i="26"/>
  <c r="G44" i="26"/>
  <c r="G45" i="26"/>
  <c r="G46" i="26"/>
  <c r="G47" i="26"/>
  <c r="G48" i="26"/>
  <c r="G49" i="26"/>
  <c r="G50" i="26"/>
  <c r="H50" i="26"/>
  <c r="G51" i="26"/>
  <c r="G52" i="26"/>
  <c r="G53" i="26"/>
  <c r="G54" i="26"/>
  <c r="G55" i="26"/>
  <c r="G56" i="26"/>
  <c r="G57" i="26"/>
  <c r="G58" i="26"/>
  <c r="G59" i="26"/>
  <c r="G60" i="26"/>
  <c r="G61" i="26"/>
  <c r="G63" i="26"/>
  <c r="B69" i="26"/>
  <c r="G72" i="26"/>
  <c r="D194" i="41" s="1"/>
  <c r="H72" i="26"/>
  <c r="G73" i="26"/>
  <c r="G74" i="26"/>
  <c r="G75" i="26"/>
  <c r="G76" i="26"/>
  <c r="G77" i="26"/>
  <c r="G78" i="26"/>
  <c r="G79" i="26"/>
  <c r="G80" i="26"/>
  <c r="G81" i="26"/>
  <c r="G82" i="26"/>
  <c r="G83" i="26"/>
  <c r="G84" i="26"/>
  <c r="H84" i="26"/>
  <c r="G85" i="26"/>
  <c r="G86" i="26"/>
  <c r="G87" i="26"/>
  <c r="G88" i="26"/>
  <c r="G89" i="26"/>
  <c r="G90" i="26"/>
  <c r="G91" i="26"/>
  <c r="G92" i="26"/>
  <c r="G93" i="26"/>
  <c r="G94" i="26"/>
  <c r="G95" i="26"/>
  <c r="G96" i="26"/>
  <c r="H96" i="26"/>
  <c r="G97" i="26"/>
  <c r="G98" i="26"/>
  <c r="G99" i="26"/>
  <c r="G100" i="26"/>
  <c r="G101" i="26"/>
  <c r="G102" i="26"/>
  <c r="G103" i="26"/>
  <c r="G104" i="26"/>
  <c r="G105" i="26"/>
  <c r="G106" i="26"/>
  <c r="G107" i="26"/>
  <c r="G108" i="26"/>
  <c r="H108" i="26"/>
  <c r="G109" i="26"/>
  <c r="G110" i="26"/>
  <c r="G111" i="26"/>
  <c r="G112" i="26"/>
  <c r="G113" i="26"/>
  <c r="G114" i="26"/>
  <c r="G115" i="26"/>
  <c r="G116" i="26"/>
  <c r="G117" i="26"/>
  <c r="G118" i="26"/>
  <c r="G119" i="26"/>
  <c r="G121" i="26"/>
  <c r="B10" i="25"/>
  <c r="B11" i="25"/>
  <c r="I11" i="25"/>
  <c r="G14" i="25"/>
  <c r="D2" i="41" s="1"/>
  <c r="H14" i="25"/>
  <c r="A15" i="25"/>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A115" i="25" s="1"/>
  <c r="A116" i="25" s="1"/>
  <c r="A117" i="25" s="1"/>
  <c r="A118" i="25" s="1"/>
  <c r="A119" i="25" s="1"/>
  <c r="G15" i="25"/>
  <c r="D3" i="41" s="1"/>
  <c r="G16" i="25"/>
  <c r="G17" i="25"/>
  <c r="G18" i="25"/>
  <c r="G19" i="25"/>
  <c r="G20" i="25"/>
  <c r="G21" i="25"/>
  <c r="G22" i="25"/>
  <c r="G23" i="25"/>
  <c r="G24" i="25"/>
  <c r="G25" i="25"/>
  <c r="G26" i="25"/>
  <c r="H26" i="25"/>
  <c r="G27" i="25"/>
  <c r="G28" i="25"/>
  <c r="G29" i="25"/>
  <c r="G30" i="25"/>
  <c r="G31" i="25"/>
  <c r="G32" i="25"/>
  <c r="G33" i="25"/>
  <c r="G34" i="25"/>
  <c r="G35" i="25"/>
  <c r="G36" i="25"/>
  <c r="G37" i="25"/>
  <c r="G38" i="25"/>
  <c r="H38" i="25"/>
  <c r="G39" i="25"/>
  <c r="G40" i="25"/>
  <c r="G41" i="25"/>
  <c r="G42" i="25"/>
  <c r="G43" i="25"/>
  <c r="G44" i="25"/>
  <c r="G45" i="25"/>
  <c r="G46" i="25"/>
  <c r="G47" i="25"/>
  <c r="G48" i="25"/>
  <c r="G49" i="25"/>
  <c r="G50" i="25"/>
  <c r="G51" i="25"/>
  <c r="G52" i="25"/>
  <c r="G53" i="25"/>
  <c r="G54" i="25"/>
  <c r="G55" i="25"/>
  <c r="G56" i="25"/>
  <c r="G57" i="25"/>
  <c r="G58" i="25"/>
  <c r="G59" i="25"/>
  <c r="G60" i="25"/>
  <c r="G61" i="25"/>
  <c r="G63" i="25"/>
  <c r="G64" i="25"/>
  <c r="B70" i="25"/>
  <c r="I70" i="25"/>
  <c r="G73" i="25"/>
  <c r="J73" i="25"/>
  <c r="G74" i="25"/>
  <c r="G75" i="25"/>
  <c r="G76" i="25"/>
  <c r="G77" i="25"/>
  <c r="G78" i="25"/>
  <c r="G79" i="25"/>
  <c r="G80" i="25"/>
  <c r="G81" i="25"/>
  <c r="G82" i="25"/>
  <c r="G83" i="25"/>
  <c r="G84" i="25"/>
  <c r="G85" i="25"/>
  <c r="J85" i="25"/>
  <c r="J96" i="25" s="1"/>
  <c r="G86" i="25"/>
  <c r="G87" i="25"/>
  <c r="G88" i="25"/>
  <c r="G89" i="25"/>
  <c r="G90" i="25"/>
  <c r="G91" i="25"/>
  <c r="G92" i="25"/>
  <c r="G93" i="25"/>
  <c r="G94" i="25"/>
  <c r="G95" i="25"/>
  <c r="G96" i="25"/>
  <c r="G97" i="25"/>
  <c r="J97" i="25"/>
  <c r="J108" i="25" s="1"/>
  <c r="G98" i="25"/>
  <c r="G99" i="25"/>
  <c r="G100" i="25"/>
  <c r="G101" i="25"/>
  <c r="G102" i="25"/>
  <c r="G103" i="25"/>
  <c r="G104" i="25"/>
  <c r="G105" i="25"/>
  <c r="G106" i="25"/>
  <c r="G107" i="25"/>
  <c r="G108" i="25"/>
  <c r="G109" i="25"/>
  <c r="J109" i="25"/>
  <c r="J120" i="25" s="1"/>
  <c r="G110" i="25"/>
  <c r="G111" i="25"/>
  <c r="G112" i="25"/>
  <c r="G113" i="25"/>
  <c r="G114" i="25"/>
  <c r="G115" i="25"/>
  <c r="G116" i="25"/>
  <c r="G117" i="25"/>
  <c r="G118" i="25"/>
  <c r="G119" i="25"/>
  <c r="G120" i="25"/>
  <c r="C6" i="22"/>
  <c r="C8" i="22"/>
  <c r="I9" i="22"/>
  <c r="J9" i="22" s="1"/>
  <c r="G10" i="22"/>
  <c r="H11" i="22"/>
  <c r="I11" i="22"/>
  <c r="J11" i="22"/>
  <c r="K11" i="22"/>
  <c r="D16" i="22"/>
  <c r="D17" i="22" s="1"/>
  <c r="C10" i="6"/>
  <c r="C11" i="6"/>
  <c r="G15" i="6"/>
  <c r="H16" i="6"/>
  <c r="H15" i="6" s="1"/>
  <c r="I16" i="6"/>
  <c r="I15" i="6" s="1"/>
  <c r="J16" i="6"/>
  <c r="J15" i="6" s="1"/>
  <c r="K16" i="6"/>
  <c r="K15" i="6" s="1"/>
  <c r="L16" i="6"/>
  <c r="L15" i="6" s="1"/>
  <c r="M16" i="6"/>
  <c r="M15" i="6" s="1"/>
  <c r="N16" i="6"/>
  <c r="N15" i="6" s="1"/>
  <c r="I14" i="25"/>
  <c r="I26" i="25"/>
  <c r="I38" i="25"/>
  <c r="I49" i="25" s="1"/>
  <c r="I50" i="25"/>
  <c r="I61" i="25" s="1"/>
  <c r="F25" i="6"/>
  <c r="D26" i="6"/>
  <c r="C44" i="6"/>
  <c r="H49" i="6"/>
  <c r="F1700" i="31" s="1"/>
  <c r="J49" i="6"/>
  <c r="Q49" i="6"/>
  <c r="F1704" i="31" s="1"/>
  <c r="F1706" i="31"/>
  <c r="I51" i="6"/>
  <c r="F1711" i="31" s="1"/>
  <c r="I52" i="6"/>
  <c r="F1716" i="31" s="1"/>
  <c r="I53" i="6"/>
  <c r="F1721" i="31" s="1"/>
  <c r="I54" i="6"/>
  <c r="F1726" i="31" s="1"/>
  <c r="F60" i="6"/>
  <c r="D61" i="6"/>
  <c r="F61" i="6" s="1"/>
  <c r="C8" i="14"/>
  <c r="C9" i="14"/>
  <c r="H13" i="14"/>
  <c r="F1482" i="31" s="1"/>
  <c r="I13" i="14"/>
  <c r="J13" i="14"/>
  <c r="K13" i="14"/>
  <c r="L13" i="14"/>
  <c r="M13" i="14"/>
  <c r="H16" i="14"/>
  <c r="F1500" i="31" s="1"/>
  <c r="I16" i="14"/>
  <c r="J16" i="14"/>
  <c r="K16" i="14"/>
  <c r="L16" i="14"/>
  <c r="M16" i="14"/>
  <c r="C23" i="14"/>
  <c r="G25" i="14"/>
  <c r="G26" i="14"/>
  <c r="H26" i="14"/>
  <c r="F1518" i="31" s="1"/>
  <c r="J26" i="14"/>
  <c r="L26" i="14"/>
  <c r="M26" i="14"/>
  <c r="G27" i="14"/>
  <c r="G28" i="14"/>
  <c r="G29" i="14"/>
  <c r="H29" i="14"/>
  <c r="F1536" i="31" s="1"/>
  <c r="J29" i="14"/>
  <c r="L29" i="14"/>
  <c r="M29" i="14"/>
  <c r="G30" i="14"/>
  <c r="G31" i="14"/>
  <c r="C36" i="14"/>
  <c r="G38" i="14"/>
  <c r="G39" i="14"/>
  <c r="H39" i="14"/>
  <c r="F1554" i="31" s="1"/>
  <c r="J39" i="14"/>
  <c r="L39" i="14"/>
  <c r="M39" i="14"/>
  <c r="G40" i="14"/>
  <c r="G41" i="14"/>
  <c r="G42" i="14"/>
  <c r="H42" i="14"/>
  <c r="F1572" i="31" s="1"/>
  <c r="J42" i="14"/>
  <c r="L42" i="14"/>
  <c r="M42" i="14"/>
  <c r="G43" i="14"/>
  <c r="G44" i="14"/>
  <c r="C51" i="14"/>
  <c r="G53" i="14"/>
  <c r="K54" i="14"/>
  <c r="K57" i="14"/>
  <c r="G60" i="14"/>
  <c r="K61" i="14"/>
  <c r="K64" i="14"/>
  <c r="C71" i="14"/>
  <c r="G73" i="14"/>
  <c r="K74" i="14"/>
  <c r="K77" i="14"/>
  <c r="G80" i="14"/>
  <c r="K81" i="14"/>
  <c r="K84" i="14"/>
  <c r="C8" i="13"/>
  <c r="F8" i="13"/>
  <c r="C9" i="13"/>
  <c r="H13" i="13"/>
  <c r="H16" i="13"/>
  <c r="H19" i="13"/>
  <c r="H22" i="13"/>
  <c r="C8" i="12"/>
  <c r="F8" i="12"/>
  <c r="C9" i="12"/>
  <c r="J1432" i="31" s="1"/>
  <c r="G11" i="12"/>
  <c r="I12" i="12"/>
  <c r="J12" i="12"/>
  <c r="K12" i="12"/>
  <c r="L12" i="12"/>
  <c r="I16" i="12"/>
  <c r="J16" i="12"/>
  <c r="K16" i="12"/>
  <c r="L16" i="12"/>
  <c r="I19" i="12"/>
  <c r="J19" i="12"/>
  <c r="K19" i="12"/>
  <c r="L19" i="12"/>
  <c r="F26" i="12"/>
  <c r="D28" i="12"/>
  <c r="G20" i="12" s="1"/>
  <c r="C8" i="8"/>
  <c r="F8" i="8"/>
  <c r="C9" i="8"/>
  <c r="J1069" i="31" s="1"/>
  <c r="I9" i="8"/>
  <c r="H12" i="8"/>
  <c r="F1031" i="31" s="1"/>
  <c r="J12" i="8"/>
  <c r="K12" i="8"/>
  <c r="L12" i="8"/>
  <c r="M12" i="8"/>
  <c r="N12" i="8"/>
  <c r="O12" i="8"/>
  <c r="P12" i="8"/>
  <c r="Q12" i="8"/>
  <c r="R12" i="8"/>
  <c r="I13" i="8"/>
  <c r="I14" i="8"/>
  <c r="S14" i="8" s="1"/>
  <c r="H15" i="8"/>
  <c r="J15" i="8"/>
  <c r="K15" i="8"/>
  <c r="L15" i="8"/>
  <c r="M15" i="8"/>
  <c r="N15" i="8"/>
  <c r="O15" i="8"/>
  <c r="P15" i="8"/>
  <c r="Q15" i="8"/>
  <c r="R15" i="8"/>
  <c r="I16" i="8"/>
  <c r="S16" i="8" s="1"/>
  <c r="I17" i="8"/>
  <c r="S17" i="8" s="1"/>
  <c r="H18" i="8"/>
  <c r="J18" i="8"/>
  <c r="K18" i="8"/>
  <c r="L18" i="8"/>
  <c r="M18" i="8"/>
  <c r="N18" i="8"/>
  <c r="O18" i="8"/>
  <c r="P18" i="8"/>
  <c r="Q18" i="8"/>
  <c r="R18" i="8"/>
  <c r="I19" i="8"/>
  <c r="S19" i="8" s="1"/>
  <c r="I20" i="8"/>
  <c r="S20" i="8" s="1"/>
  <c r="H21" i="8"/>
  <c r="J21" i="8"/>
  <c r="K21" i="8"/>
  <c r="L21" i="8"/>
  <c r="M21" i="8"/>
  <c r="N21" i="8"/>
  <c r="O21" i="8"/>
  <c r="P21" i="8"/>
  <c r="Q21" i="8"/>
  <c r="R21" i="8"/>
  <c r="I22" i="8"/>
  <c r="S22" i="8" s="1"/>
  <c r="I23" i="8"/>
  <c r="F27" i="8"/>
  <c r="F29" i="8"/>
  <c r="F33" i="8"/>
  <c r="C34" i="8"/>
  <c r="I34" i="8"/>
  <c r="H38" i="8"/>
  <c r="J38" i="8"/>
  <c r="K38" i="8"/>
  <c r="L38" i="8"/>
  <c r="M38" i="8"/>
  <c r="N38" i="8"/>
  <c r="O38" i="8"/>
  <c r="P38" i="8"/>
  <c r="Q38" i="8"/>
  <c r="R38" i="8"/>
  <c r="I39" i="8"/>
  <c r="S39" i="8" s="1"/>
  <c r="I40" i="8"/>
  <c r="S40" i="8" s="1"/>
  <c r="H41" i="8"/>
  <c r="J41" i="8"/>
  <c r="K41" i="8"/>
  <c r="L41" i="8"/>
  <c r="M41" i="8"/>
  <c r="N41" i="8"/>
  <c r="O41" i="8"/>
  <c r="P41" i="8"/>
  <c r="Q41" i="8"/>
  <c r="R41" i="8"/>
  <c r="I42" i="8"/>
  <c r="I43" i="8"/>
  <c r="S43" i="8" s="1"/>
  <c r="H44" i="8"/>
  <c r="J44" i="8"/>
  <c r="K44" i="8"/>
  <c r="L44" i="8"/>
  <c r="M44" i="8"/>
  <c r="N44" i="8"/>
  <c r="O44" i="8"/>
  <c r="P44" i="8"/>
  <c r="Q44" i="8"/>
  <c r="R44" i="8"/>
  <c r="I45" i="8"/>
  <c r="I46" i="8"/>
  <c r="S46" i="8" s="1"/>
  <c r="H47" i="8"/>
  <c r="J47" i="8"/>
  <c r="K47" i="8"/>
  <c r="L47" i="8"/>
  <c r="M47" i="8"/>
  <c r="N47" i="8"/>
  <c r="O47" i="8"/>
  <c r="P47" i="8"/>
  <c r="Q47" i="8"/>
  <c r="R47" i="8"/>
  <c r="I48" i="8"/>
  <c r="S48" i="8" s="1"/>
  <c r="I49" i="8"/>
  <c r="S49" i="8" s="1"/>
  <c r="H50" i="8"/>
  <c r="J50" i="8"/>
  <c r="K50" i="8"/>
  <c r="L50" i="8"/>
  <c r="M50" i="8"/>
  <c r="N50" i="8"/>
  <c r="O50" i="8"/>
  <c r="P50" i="8"/>
  <c r="Q50" i="8"/>
  <c r="R50" i="8"/>
  <c r="I51" i="8"/>
  <c r="S51" i="8" s="1"/>
  <c r="I52" i="8"/>
  <c r="S52" i="8" s="1"/>
  <c r="I53" i="8"/>
  <c r="S53" i="8" s="1"/>
  <c r="F57" i="8"/>
  <c r="F59" i="8"/>
  <c r="C8" i="7"/>
  <c r="F8" i="7"/>
  <c r="C9" i="7"/>
  <c r="J958" i="31" s="1"/>
  <c r="I9" i="7"/>
  <c r="J10" i="8"/>
  <c r="J35" i="8" s="1"/>
  <c r="J12" i="7"/>
  <c r="K12" i="7"/>
  <c r="L12" i="7"/>
  <c r="M12" i="7"/>
  <c r="N12" i="7"/>
  <c r="O12" i="7"/>
  <c r="P12" i="7"/>
  <c r="Q12" i="7"/>
  <c r="R12" i="7"/>
  <c r="I13" i="7"/>
  <c r="I14" i="7"/>
  <c r="J15" i="7"/>
  <c r="K15" i="7"/>
  <c r="L15" i="7"/>
  <c r="M15" i="7"/>
  <c r="N15" i="7"/>
  <c r="O15" i="7"/>
  <c r="P15" i="7"/>
  <c r="Q15" i="7"/>
  <c r="R15" i="7"/>
  <c r="I16" i="7"/>
  <c r="I17" i="7"/>
  <c r="J18" i="7"/>
  <c r="K18" i="7"/>
  <c r="L18" i="7"/>
  <c r="M18" i="7"/>
  <c r="N18" i="7"/>
  <c r="O18" i="7"/>
  <c r="P18" i="7"/>
  <c r="Q18" i="7"/>
  <c r="R18" i="7"/>
  <c r="I19" i="7"/>
  <c r="I20" i="7"/>
  <c r="J21" i="7"/>
  <c r="K21" i="7"/>
  <c r="L21" i="7"/>
  <c r="M21" i="7"/>
  <c r="N21" i="7"/>
  <c r="O21" i="7"/>
  <c r="P21" i="7"/>
  <c r="Q21" i="7"/>
  <c r="R21" i="7"/>
  <c r="I22" i="7"/>
  <c r="I23" i="7"/>
  <c r="F27" i="7"/>
  <c r="F29" i="7"/>
  <c r="F33" i="7"/>
  <c r="C34" i="7"/>
  <c r="I34" i="7"/>
  <c r="J38" i="7"/>
  <c r="K38" i="7"/>
  <c r="L38" i="7"/>
  <c r="M38" i="7"/>
  <c r="N38" i="7"/>
  <c r="O38" i="7"/>
  <c r="P38" i="7"/>
  <c r="Q38" i="7"/>
  <c r="R38" i="7"/>
  <c r="I39" i="7"/>
  <c r="I40" i="7"/>
  <c r="J41" i="7"/>
  <c r="K41" i="7"/>
  <c r="L41" i="7"/>
  <c r="M41" i="7"/>
  <c r="N41" i="7"/>
  <c r="O41" i="7"/>
  <c r="P41" i="7"/>
  <c r="Q41" i="7"/>
  <c r="R41" i="7"/>
  <c r="I42" i="7"/>
  <c r="I43" i="7"/>
  <c r="J44" i="7"/>
  <c r="K44" i="7"/>
  <c r="L44" i="7"/>
  <c r="M44" i="7"/>
  <c r="N44" i="7"/>
  <c r="O44" i="7"/>
  <c r="P44" i="7"/>
  <c r="Q44" i="7"/>
  <c r="R44" i="7"/>
  <c r="I45" i="7"/>
  <c r="I46" i="7"/>
  <c r="J47" i="7"/>
  <c r="K47" i="7"/>
  <c r="L47" i="7"/>
  <c r="M47" i="7"/>
  <c r="N47" i="7"/>
  <c r="O47" i="7"/>
  <c r="P47" i="7"/>
  <c r="Q47" i="7"/>
  <c r="R47" i="7"/>
  <c r="I48" i="7"/>
  <c r="I49" i="7"/>
  <c r="J50" i="7"/>
  <c r="K50" i="7"/>
  <c r="L50" i="7"/>
  <c r="M50" i="7"/>
  <c r="N50" i="7"/>
  <c r="O50" i="7"/>
  <c r="P50" i="7"/>
  <c r="Q50" i="7"/>
  <c r="R50" i="7"/>
  <c r="I51" i="7"/>
  <c r="I52" i="7"/>
  <c r="I53" i="7"/>
  <c r="F57" i="7"/>
  <c r="F59" i="7"/>
  <c r="F8" i="38"/>
  <c r="C9" i="38"/>
  <c r="D23" i="47" s="1"/>
  <c r="C10" i="38"/>
  <c r="H13" i="38"/>
  <c r="I13" i="38"/>
  <c r="J13" i="38"/>
  <c r="K13" i="38"/>
  <c r="M13" i="38"/>
  <c r="L14" i="38"/>
  <c r="L15" i="38"/>
  <c r="H16" i="38"/>
  <c r="I16" i="38"/>
  <c r="J16" i="38"/>
  <c r="K16" i="38"/>
  <c r="M16" i="38"/>
  <c r="L17" i="38"/>
  <c r="L18" i="38"/>
  <c r="H19" i="38"/>
  <c r="I19" i="38"/>
  <c r="J19" i="38"/>
  <c r="K19" i="38"/>
  <c r="M19" i="38"/>
  <c r="L20" i="38"/>
  <c r="L21" i="38"/>
  <c r="H22" i="38"/>
  <c r="I22" i="38"/>
  <c r="J22" i="38"/>
  <c r="K22" i="38"/>
  <c r="M22" i="38"/>
  <c r="L23" i="38"/>
  <c r="L24" i="38"/>
  <c r="F28" i="38"/>
  <c r="F33" i="38"/>
  <c r="C35" i="38"/>
  <c r="H39" i="38"/>
  <c r="I39" i="38"/>
  <c r="J39" i="38"/>
  <c r="K39" i="38"/>
  <c r="M39" i="38"/>
  <c r="L40" i="38"/>
  <c r="L41" i="38"/>
  <c r="H42" i="38"/>
  <c r="I42" i="38"/>
  <c r="J42" i="38"/>
  <c r="K42" i="38"/>
  <c r="M42" i="38"/>
  <c r="L43" i="38"/>
  <c r="L44" i="38"/>
  <c r="H45" i="38"/>
  <c r="I45" i="38"/>
  <c r="J45" i="38"/>
  <c r="K45" i="38"/>
  <c r="M45" i="38"/>
  <c r="L46" i="38"/>
  <c r="L47" i="38"/>
  <c r="H48" i="38"/>
  <c r="I48" i="38"/>
  <c r="J48" i="38"/>
  <c r="K48" i="38"/>
  <c r="M48" i="38"/>
  <c r="L49" i="38"/>
  <c r="L50" i="38"/>
  <c r="H51" i="38"/>
  <c r="I51" i="38"/>
  <c r="J51" i="38"/>
  <c r="K51" i="38"/>
  <c r="M51" i="38"/>
  <c r="L52" i="38"/>
  <c r="L53" i="38"/>
  <c r="F58" i="38"/>
  <c r="C9" i="10"/>
  <c r="C10" i="10"/>
  <c r="H13" i="10"/>
  <c r="F233" i="31" s="1"/>
  <c r="I13" i="10"/>
  <c r="J13" i="10"/>
  <c r="K13" i="10"/>
  <c r="M13" i="10"/>
  <c r="L14" i="10"/>
  <c r="H13" i="7" s="1"/>
  <c r="L15" i="10"/>
  <c r="H16" i="10"/>
  <c r="I16" i="10"/>
  <c r="J16" i="10"/>
  <c r="K16" i="10"/>
  <c r="M16" i="10"/>
  <c r="L17" i="10"/>
  <c r="H16" i="7" s="1"/>
  <c r="L18" i="10"/>
  <c r="H17" i="7" s="1"/>
  <c r="S17" i="7" s="1"/>
  <c r="H19" i="10"/>
  <c r="I19" i="10"/>
  <c r="J19" i="10"/>
  <c r="K19" i="10"/>
  <c r="M19" i="10"/>
  <c r="L20" i="10"/>
  <c r="H19" i="7" s="1"/>
  <c r="L21" i="10"/>
  <c r="H20" i="7" s="1"/>
  <c r="H22" i="10"/>
  <c r="I22" i="10"/>
  <c r="J22" i="10"/>
  <c r="K22" i="10"/>
  <c r="M22" i="10"/>
  <c r="L23" i="10"/>
  <c r="H22" i="7" s="1"/>
  <c r="L24" i="10"/>
  <c r="H23" i="7" s="1"/>
  <c r="F28" i="10"/>
  <c r="D29" i="10"/>
  <c r="D32" i="10" s="1"/>
  <c r="G23" i="10" s="1"/>
  <c r="C43" i="10"/>
  <c r="G47" i="10"/>
  <c r="H47" i="10"/>
  <c r="I47" i="10"/>
  <c r="J47" i="10"/>
  <c r="K47" i="10"/>
  <c r="M47" i="10"/>
  <c r="L48" i="10"/>
  <c r="L49" i="10"/>
  <c r="H40" i="7" s="1"/>
  <c r="H50" i="10"/>
  <c r="I50" i="10"/>
  <c r="J50" i="10"/>
  <c r="K50" i="10"/>
  <c r="M50" i="10"/>
  <c r="L51" i="10"/>
  <c r="H42" i="7" s="1"/>
  <c r="L52" i="10"/>
  <c r="H53" i="10"/>
  <c r="I53" i="10"/>
  <c r="J53" i="10"/>
  <c r="K53" i="10"/>
  <c r="M53" i="10"/>
  <c r="L54" i="10"/>
  <c r="H45" i="7" s="1"/>
  <c r="L55" i="10"/>
  <c r="H46" i="7" s="1"/>
  <c r="H56" i="10"/>
  <c r="I56" i="10"/>
  <c r="J56" i="10"/>
  <c r="K56" i="10"/>
  <c r="M56" i="10"/>
  <c r="L57" i="10"/>
  <c r="H48" i="7" s="1"/>
  <c r="L58" i="10"/>
  <c r="H49" i="7" s="1"/>
  <c r="H59" i="10"/>
  <c r="I59" i="10"/>
  <c r="J59" i="10"/>
  <c r="K59" i="10"/>
  <c r="M59" i="10"/>
  <c r="L60" i="10"/>
  <c r="H51" i="7" s="1"/>
  <c r="L61" i="10"/>
  <c r="H52" i="7" s="1"/>
  <c r="L62" i="10"/>
  <c r="H53" i="7" s="1"/>
  <c r="H67" i="10"/>
  <c r="F419" i="31" s="1"/>
  <c r="I67" i="10"/>
  <c r="J67" i="10"/>
  <c r="K67" i="10"/>
  <c r="M67" i="10"/>
  <c r="H70" i="10"/>
  <c r="I70" i="10"/>
  <c r="J70" i="10"/>
  <c r="K70" i="10"/>
  <c r="M70" i="10"/>
  <c r="L72" i="10"/>
  <c r="H75" i="10"/>
  <c r="F455" i="31" s="1"/>
  <c r="I75" i="10"/>
  <c r="J75" i="10"/>
  <c r="K75" i="10"/>
  <c r="M75" i="10"/>
  <c r="L77" i="10"/>
  <c r="F80" i="10"/>
  <c r="D82" i="10"/>
  <c r="G48" i="10" s="1"/>
  <c r="F8" i="9"/>
  <c r="C9" i="9"/>
  <c r="C10" i="9"/>
  <c r="D13" i="9"/>
  <c r="F13" i="9" s="1"/>
  <c r="H13" i="9"/>
  <c r="F2" i="31" s="1"/>
  <c r="I13" i="9"/>
  <c r="J13" i="9"/>
  <c r="K13" i="9"/>
  <c r="M13" i="9"/>
  <c r="N13" i="9"/>
  <c r="A14" i="9"/>
  <c r="D14" i="9" s="1"/>
  <c r="F14" i="9" s="1"/>
  <c r="L14" i="9"/>
  <c r="L15" i="9"/>
  <c r="H16" i="9"/>
  <c r="I16" i="9"/>
  <c r="J16" i="9"/>
  <c r="K16" i="9"/>
  <c r="M16" i="9"/>
  <c r="N16" i="9"/>
  <c r="L17" i="9"/>
  <c r="L18" i="9"/>
  <c r="H19" i="9"/>
  <c r="I19" i="9"/>
  <c r="J19" i="9"/>
  <c r="K19" i="9"/>
  <c r="M19" i="9"/>
  <c r="N19" i="9"/>
  <c r="L20" i="9"/>
  <c r="L21" i="9"/>
  <c r="H22" i="9"/>
  <c r="I22" i="9"/>
  <c r="J22" i="9"/>
  <c r="K22" i="9"/>
  <c r="M22" i="9"/>
  <c r="N22" i="9"/>
  <c r="L23" i="9"/>
  <c r="L24" i="9"/>
  <c r="F28" i="9"/>
  <c r="D29" i="9"/>
  <c r="F29" i="9" s="1"/>
  <c r="C41" i="9"/>
  <c r="D19" i="47" s="1"/>
  <c r="G44" i="9"/>
  <c r="G45" i="9"/>
  <c r="H45" i="9"/>
  <c r="I45" i="9"/>
  <c r="J45" i="9"/>
  <c r="K45" i="9"/>
  <c r="M45" i="9"/>
  <c r="N45" i="9"/>
  <c r="L46" i="9"/>
  <c r="L47" i="9"/>
  <c r="H48" i="9"/>
  <c r="I48" i="9"/>
  <c r="J48" i="9"/>
  <c r="K48" i="9"/>
  <c r="M48" i="9"/>
  <c r="N48" i="9"/>
  <c r="L49" i="9"/>
  <c r="L50" i="9"/>
  <c r="H51" i="9"/>
  <c r="I51" i="9"/>
  <c r="J51" i="9"/>
  <c r="K51" i="9"/>
  <c r="M51" i="9"/>
  <c r="N51" i="9"/>
  <c r="L52" i="9"/>
  <c r="L53" i="9"/>
  <c r="H54" i="9"/>
  <c r="I54" i="9"/>
  <c r="J54" i="9"/>
  <c r="K54" i="9"/>
  <c r="M54" i="9"/>
  <c r="N54" i="9"/>
  <c r="L55" i="9"/>
  <c r="L56" i="9"/>
  <c r="H57" i="9"/>
  <c r="I57" i="9"/>
  <c r="J57" i="9"/>
  <c r="K57" i="9"/>
  <c r="M57" i="9"/>
  <c r="N57" i="9"/>
  <c r="L58" i="9"/>
  <c r="L59" i="9"/>
  <c r="D63" i="9"/>
  <c r="F63" i="9" s="1"/>
  <c r="D212" i="31" s="1"/>
  <c r="D213" i="31" s="1"/>
  <c r="D214" i="31" s="1"/>
  <c r="D215" i="31" s="1"/>
  <c r="D216" i="31" s="1"/>
  <c r="D217" i="31" s="1"/>
  <c r="D218" i="31" s="1"/>
  <c r="H63" i="9"/>
  <c r="F212" i="31" s="1"/>
  <c r="I63" i="9"/>
  <c r="J63" i="9"/>
  <c r="K63" i="9"/>
  <c r="M63" i="9"/>
  <c r="N63" i="9"/>
  <c r="D64" i="9"/>
  <c r="F64" i="9" s="1"/>
  <c r="L64" i="9"/>
  <c r="D65" i="9"/>
  <c r="F65" i="9" s="1"/>
  <c r="L65" i="9"/>
  <c r="F68" i="9"/>
  <c r="D70" i="9"/>
  <c r="D71" i="9" s="1"/>
  <c r="G50" i="9" s="1"/>
  <c r="A4" i="42"/>
  <c r="F7" i="42"/>
  <c r="E3" i="43" s="1"/>
  <c r="G7" i="42"/>
  <c r="F3" i="43" s="1"/>
  <c r="F11" i="42"/>
  <c r="E7" i="43" s="1"/>
  <c r="F15" i="42"/>
  <c r="E11" i="43" s="1"/>
  <c r="G15" i="42"/>
  <c r="F11" i="43" s="1"/>
  <c r="F20" i="42"/>
  <c r="E16" i="43" s="1"/>
  <c r="G20" i="42"/>
  <c r="F16" i="43" s="1"/>
  <c r="E20" i="43"/>
  <c r="F20" i="43"/>
  <c r="F34" i="42"/>
  <c r="E30" i="43" s="1"/>
  <c r="G34" i="42"/>
  <c r="F30" i="43" s="1"/>
  <c r="E33" i="43"/>
  <c r="F33" i="43"/>
  <c r="E38" i="43"/>
  <c r="F38" i="43"/>
  <c r="E44" i="43"/>
  <c r="F44" i="43"/>
  <c r="E47" i="43"/>
  <c r="F47" i="43"/>
  <c r="E50" i="43"/>
  <c r="F50" i="43"/>
  <c r="B59" i="42"/>
  <c r="B60" i="42" s="1"/>
  <c r="B61" i="42" s="1"/>
  <c r="B67" i="42" s="1"/>
  <c r="B68" i="42" s="1"/>
  <c r="B69" i="42" s="1"/>
  <c r="B70" i="42" s="1"/>
  <c r="F67" i="42"/>
  <c r="E56" i="43" s="1"/>
  <c r="G67" i="42"/>
  <c r="F56" i="43" s="1"/>
  <c r="C6" i="11"/>
  <c r="C7" i="11"/>
  <c r="J1757" i="31" s="1"/>
  <c r="F1753" i="31"/>
  <c r="H15" i="11"/>
  <c r="F1757" i="31" s="1"/>
  <c r="C6" i="4"/>
  <c r="C7" i="4"/>
  <c r="J1735" i="31" s="1"/>
  <c r="B7" i="17"/>
  <c r="B8" i="17"/>
  <c r="G8" i="17"/>
  <c r="E10" i="17"/>
  <c r="I10" i="17"/>
  <c r="D44" i="57" s="1"/>
  <c r="E11" i="17"/>
  <c r="C2" i="44" s="1"/>
  <c r="E12" i="17"/>
  <c r="C3" i="44" s="1"/>
  <c r="E13" i="17"/>
  <c r="C4" i="44" s="1"/>
  <c r="E14" i="17"/>
  <c r="C5" i="44" s="1"/>
  <c r="E15" i="17"/>
  <c r="C6" i="44" s="1"/>
  <c r="E16" i="17"/>
  <c r="C7" i="44" s="1"/>
  <c r="E17" i="17"/>
  <c r="C8" i="44" s="1"/>
  <c r="E18" i="17"/>
  <c r="C9" i="44" s="1"/>
  <c r="E19" i="17"/>
  <c r="C10" i="44" s="1"/>
  <c r="E20" i="17"/>
  <c r="C11" i="44" s="1"/>
  <c r="E21" i="17"/>
  <c r="I21" i="17"/>
  <c r="D45" i="57" s="1"/>
  <c r="E22" i="17"/>
  <c r="C12" i="44" s="1"/>
  <c r="E23" i="17"/>
  <c r="C13" i="44" s="1"/>
  <c r="E24" i="17"/>
  <c r="C14" i="44" s="1"/>
  <c r="E25" i="17"/>
  <c r="C15" i="44" s="1"/>
  <c r="E26" i="17"/>
  <c r="C16" i="44" s="1"/>
  <c r="E27" i="17"/>
  <c r="C17" i="44" s="1"/>
  <c r="E28" i="17"/>
  <c r="C18" i="44" s="1"/>
  <c r="E29" i="17"/>
  <c r="C19" i="44" s="1"/>
  <c r="E30" i="17"/>
  <c r="C20" i="44" s="1"/>
  <c r="E31" i="17"/>
  <c r="C21" i="44" s="1"/>
  <c r="E33" i="17"/>
  <c r="C34" i="17"/>
  <c r="B39" i="17"/>
  <c r="G39" i="17"/>
  <c r="E41" i="17"/>
  <c r="E42" i="17"/>
  <c r="C22" i="44" s="1"/>
  <c r="E43" i="17"/>
  <c r="C23" i="44" s="1"/>
  <c r="E44" i="17"/>
  <c r="C24" i="44" s="1"/>
  <c r="E45" i="17"/>
  <c r="C25" i="44" s="1"/>
  <c r="E46" i="17"/>
  <c r="C26" i="44" s="1"/>
  <c r="E47" i="17"/>
  <c r="C27" i="44" s="1"/>
  <c r="E48" i="17"/>
  <c r="C28" i="44" s="1"/>
  <c r="E49" i="17"/>
  <c r="C29" i="44" s="1"/>
  <c r="E50" i="17"/>
  <c r="C30" i="44" s="1"/>
  <c r="E51" i="17"/>
  <c r="C31" i="44" s="1"/>
  <c r="E52" i="17"/>
  <c r="E53" i="17"/>
  <c r="C32" i="44" s="1"/>
  <c r="E54" i="17"/>
  <c r="C33" i="44" s="1"/>
  <c r="E55" i="17"/>
  <c r="C34" i="44" s="1"/>
  <c r="E56" i="17"/>
  <c r="C35" i="44" s="1"/>
  <c r="E57" i="17"/>
  <c r="C36" i="44" s="1"/>
  <c r="E58" i="17"/>
  <c r="C37" i="44" s="1"/>
  <c r="E59" i="17"/>
  <c r="C38" i="44" s="1"/>
  <c r="E60" i="17"/>
  <c r="C39" i="44" s="1"/>
  <c r="E61" i="17"/>
  <c r="C40" i="44" s="1"/>
  <c r="E62" i="17"/>
  <c r="C41" i="44" s="1"/>
  <c r="E64" i="17"/>
  <c r="C65" i="17"/>
  <c r="E65" i="17" s="1"/>
  <c r="B70" i="17"/>
  <c r="G70" i="17"/>
  <c r="E72" i="17"/>
  <c r="E73" i="17"/>
  <c r="C42" i="44" s="1"/>
  <c r="E74" i="17"/>
  <c r="C43" i="44" s="1"/>
  <c r="E75" i="17"/>
  <c r="C44" i="44" s="1"/>
  <c r="E76" i="17"/>
  <c r="C45" i="44" s="1"/>
  <c r="E77" i="17"/>
  <c r="C46" i="44" s="1"/>
  <c r="E78" i="17"/>
  <c r="C47" i="44" s="1"/>
  <c r="E79" i="17"/>
  <c r="C48" i="44" s="1"/>
  <c r="E80" i="17"/>
  <c r="C49" i="44" s="1"/>
  <c r="E81" i="17"/>
  <c r="C50" i="44" s="1"/>
  <c r="E82" i="17"/>
  <c r="C51" i="44" s="1"/>
  <c r="E83" i="17"/>
  <c r="E84" i="17"/>
  <c r="C52" i="44" s="1"/>
  <c r="E85" i="17"/>
  <c r="C53" i="44" s="1"/>
  <c r="E86" i="17"/>
  <c r="C54" i="44" s="1"/>
  <c r="E87" i="17"/>
  <c r="C55" i="44" s="1"/>
  <c r="E88" i="17"/>
  <c r="C56" i="44" s="1"/>
  <c r="E89" i="17"/>
  <c r="C57" i="44" s="1"/>
  <c r="E90" i="17"/>
  <c r="C58" i="44" s="1"/>
  <c r="E91" i="17"/>
  <c r="C59" i="44" s="1"/>
  <c r="E92" i="17"/>
  <c r="C60" i="44" s="1"/>
  <c r="E93" i="17"/>
  <c r="C61" i="44" s="1"/>
  <c r="C98" i="17"/>
  <c r="C45" i="47"/>
  <c r="E2" i="45"/>
  <c r="G2" i="45"/>
  <c r="A3" i="45"/>
  <c r="A4" i="45" s="1"/>
  <c r="A5" i="45" s="1"/>
  <c r="A6" i="45" s="1"/>
  <c r="A7" i="45" s="1"/>
  <c r="A8" i="45" s="1"/>
  <c r="A9" i="45" s="1"/>
  <c r="A10" i="45" s="1"/>
  <c r="A11" i="45" s="1"/>
  <c r="A12" i="45" s="1"/>
  <c r="A13" i="45" s="1"/>
  <c r="A14" i="45" s="1"/>
  <c r="A15" i="45" s="1"/>
  <c r="A16" i="45" s="1"/>
  <c r="A17" i="45" s="1"/>
  <c r="A18" i="45" s="1"/>
  <c r="A19" i="45" s="1"/>
  <c r="A20" i="45" s="1"/>
  <c r="A21" i="45" s="1"/>
  <c r="A22" i="45" s="1"/>
  <c r="A23" i="45" s="1"/>
  <c r="A24" i="45" s="1"/>
  <c r="A25" i="45" s="1"/>
  <c r="A26" i="45" s="1"/>
  <c r="A27" i="45" s="1"/>
  <c r="A28" i="45" s="1"/>
  <c r="A29" i="45" s="1"/>
  <c r="A30" i="45" s="1"/>
  <c r="A31" i="45" s="1"/>
  <c r="A32" i="45" s="1"/>
  <c r="A33" i="45" s="1"/>
  <c r="A34" i="45" s="1"/>
  <c r="A35" i="45" s="1"/>
  <c r="A36" i="45" s="1"/>
  <c r="A37" i="45" s="1"/>
  <c r="A38" i="45" s="1"/>
  <c r="A39" i="45" s="1"/>
  <c r="A40" i="45" s="1"/>
  <c r="A41" i="45" s="1"/>
  <c r="A42" i="45" s="1"/>
  <c r="A43" i="45" s="1"/>
  <c r="A44" i="45" s="1"/>
  <c r="A45" i="45" s="1"/>
  <c r="A46" i="45" s="1"/>
  <c r="A47" i="45" s="1"/>
  <c r="A48" i="45" s="1"/>
  <c r="A49" i="45" s="1"/>
  <c r="A50" i="45" s="1"/>
  <c r="A51" i="45" s="1"/>
  <c r="A52" i="45" s="1"/>
  <c r="A53" i="45" s="1"/>
  <c r="A54" i="45" s="1"/>
  <c r="A55" i="45" s="1"/>
  <c r="A56" i="45" s="1"/>
  <c r="A57" i="45" s="1"/>
  <c r="A58" i="45" s="1"/>
  <c r="A59" i="45" s="1"/>
  <c r="A60" i="45" s="1"/>
  <c r="A61" i="45" s="1"/>
  <c r="A62" i="45" s="1"/>
  <c r="A63" i="45" s="1"/>
  <c r="A64" i="45" s="1"/>
  <c r="A65" i="45" s="1"/>
  <c r="A66" i="45" s="1"/>
  <c r="A67" i="45" s="1"/>
  <c r="A68" i="45" s="1"/>
  <c r="A69" i="45" s="1"/>
  <c r="A70" i="45" s="1"/>
  <c r="A71" i="45" s="1"/>
  <c r="A72" i="45" s="1"/>
  <c r="A73" i="45" s="1"/>
  <c r="A74" i="45" s="1"/>
  <c r="A75" i="45" s="1"/>
  <c r="A76" i="45" s="1"/>
  <c r="A77" i="45" s="1"/>
  <c r="A78" i="45" s="1"/>
  <c r="A79" i="45" s="1"/>
  <c r="A80" i="45" s="1"/>
  <c r="A81" i="45" s="1"/>
  <c r="A82" i="45" s="1"/>
  <c r="A83" i="45" s="1"/>
  <c r="A84" i="45" s="1"/>
  <c r="A85" i="45" s="1"/>
  <c r="A86" i="45" s="1"/>
  <c r="A87" i="45" s="1"/>
  <c r="A88" i="45" s="1"/>
  <c r="A89" i="45" s="1"/>
  <c r="A90" i="45" s="1"/>
  <c r="A91" i="45" s="1"/>
  <c r="A92" i="45" s="1"/>
  <c r="A93" i="45" s="1"/>
  <c r="A94" i="45" s="1"/>
  <c r="A95" i="45" s="1"/>
  <c r="A96" i="45" s="1"/>
  <c r="A97" i="45" s="1"/>
  <c r="A98" i="45" s="1"/>
  <c r="A99" i="45" s="1"/>
  <c r="A100" i="45" s="1"/>
  <c r="A101" i="45" s="1"/>
  <c r="A102" i="45" s="1"/>
  <c r="A103" i="45" s="1"/>
  <c r="A104" i="45" s="1"/>
  <c r="A105" i="45" s="1"/>
  <c r="A106" i="45" s="1"/>
  <c r="A107" i="45" s="1"/>
  <c r="A108" i="45" s="1"/>
  <c r="A109" i="45" s="1"/>
  <c r="A110" i="45" s="1"/>
  <c r="A111" i="45" s="1"/>
  <c r="A112" i="45" s="1"/>
  <c r="A113" i="45" s="1"/>
  <c r="A114" i="45" s="1"/>
  <c r="A115" i="45" s="1"/>
  <c r="A116" i="45" s="1"/>
  <c r="A117" i="45" s="1"/>
  <c r="A118" i="45" s="1"/>
  <c r="A119" i="45" s="1"/>
  <c r="A120" i="45" s="1"/>
  <c r="A121" i="45" s="1"/>
  <c r="A122" i="45" s="1"/>
  <c r="A123" i="45" s="1"/>
  <c r="A124" i="45" s="1"/>
  <c r="A125" i="45" s="1"/>
  <c r="A126" i="45" s="1"/>
  <c r="A127" i="45" s="1"/>
  <c r="A128" i="45" s="1"/>
  <c r="A129" i="45" s="1"/>
  <c r="A130" i="45" s="1"/>
  <c r="A131" i="45" s="1"/>
  <c r="A132" i="45" s="1"/>
  <c r="A133" i="45" s="1"/>
  <c r="A134" i="45" s="1"/>
  <c r="A135" i="45" s="1"/>
  <c r="A136" i="45" s="1"/>
  <c r="A137" i="45" s="1"/>
  <c r="A138" i="45" s="1"/>
  <c r="A139" i="45" s="1"/>
  <c r="A140" i="45" s="1"/>
  <c r="A141" i="45" s="1"/>
  <c r="A142" i="45" s="1"/>
  <c r="A143" i="45" s="1"/>
  <c r="A144" i="45" s="1"/>
  <c r="A145" i="45" s="1"/>
  <c r="A146" i="45" s="1"/>
  <c r="A147" i="45" s="1"/>
  <c r="A148" i="45" s="1"/>
  <c r="A149" i="45" s="1"/>
  <c r="A150" i="45" s="1"/>
  <c r="A151" i="45" s="1"/>
  <c r="A152" i="45" s="1"/>
  <c r="A153" i="45" s="1"/>
  <c r="A154" i="45" s="1"/>
  <c r="A155" i="45" s="1"/>
  <c r="A156" i="45" s="1"/>
  <c r="A157" i="45" s="1"/>
  <c r="A158" i="45" s="1"/>
  <c r="A159" i="45" s="1"/>
  <c r="A160" i="45" s="1"/>
  <c r="A161" i="45" s="1"/>
  <c r="A162" i="45" s="1"/>
  <c r="A163" i="45" s="1"/>
  <c r="A164" i="45" s="1"/>
  <c r="A165" i="45" s="1"/>
  <c r="A166" i="45" s="1"/>
  <c r="A167" i="45" s="1"/>
  <c r="A168" i="45" s="1"/>
  <c r="A169" i="45" s="1"/>
  <c r="A170" i="45" s="1"/>
  <c r="A171" i="45" s="1"/>
  <c r="A172" i="45" s="1"/>
  <c r="A173" i="45" s="1"/>
  <c r="A174" i="45" s="1"/>
  <c r="A175" i="45" s="1"/>
  <c r="A176" i="45" s="1"/>
  <c r="A177" i="45" s="1"/>
  <c r="A178" i="45" s="1"/>
  <c r="A179" i="45" s="1"/>
  <c r="A180" i="45" s="1"/>
  <c r="A181" i="45" s="1"/>
  <c r="A182" i="45" s="1"/>
  <c r="A183" i="45" s="1"/>
  <c r="A184" i="45" s="1"/>
  <c r="A185" i="45" s="1"/>
  <c r="A186" i="45" s="1"/>
  <c r="A187" i="45" s="1"/>
  <c r="A188" i="45" s="1"/>
  <c r="A189" i="45" s="1"/>
  <c r="A190" i="45" s="1"/>
  <c r="A191" i="45" s="1"/>
  <c r="A192" i="45" s="1"/>
  <c r="A193" i="45" s="1"/>
  <c r="A194" i="45" s="1"/>
  <c r="A195" i="45" s="1"/>
  <c r="A196" i="45" s="1"/>
  <c r="A197" i="45" s="1"/>
  <c r="A198" i="45" s="1"/>
  <c r="A199" i="45" s="1"/>
  <c r="A200" i="45" s="1"/>
  <c r="A201" i="45" s="1"/>
  <c r="A202" i="45" s="1"/>
  <c r="A203" i="45" s="1"/>
  <c r="A204" i="45" s="1"/>
  <c r="A205" i="45" s="1"/>
  <c r="A206" i="45" s="1"/>
  <c r="A207" i="45" s="1"/>
  <c r="A208" i="45" s="1"/>
  <c r="A209" i="45" s="1"/>
  <c r="A210" i="45" s="1"/>
  <c r="A211" i="45" s="1"/>
  <c r="A212" i="45" s="1"/>
  <c r="A213" i="45" s="1"/>
  <c r="A214" i="45" s="1"/>
  <c r="A215" i="45" s="1"/>
  <c r="A216" i="45" s="1"/>
  <c r="A217" i="45" s="1"/>
  <c r="A218" i="45" s="1"/>
  <c r="A219" i="45" s="1"/>
  <c r="A220" i="45" s="1"/>
  <c r="A221" i="45" s="1"/>
  <c r="A222" i="45" s="1"/>
  <c r="A223" i="45" s="1"/>
  <c r="A224" i="45" s="1"/>
  <c r="A225" i="45" s="1"/>
  <c r="A226" i="45" s="1"/>
  <c r="A227" i="45" s="1"/>
  <c r="A228" i="45" s="1"/>
  <c r="A229" i="45" s="1"/>
  <c r="A230" i="45" s="1"/>
  <c r="A231" i="45" s="1"/>
  <c r="A232" i="45" s="1"/>
  <c r="A233" i="45" s="1"/>
  <c r="A234" i="45" s="1"/>
  <c r="A235" i="45" s="1"/>
  <c r="A236" i="45" s="1"/>
  <c r="A237" i="45" s="1"/>
  <c r="A238" i="45" s="1"/>
  <c r="A239" i="45" s="1"/>
  <c r="A240" i="45" s="1"/>
  <c r="A241" i="45" s="1"/>
  <c r="A242" i="45" s="1"/>
  <c r="A243" i="45" s="1"/>
  <c r="A244" i="45" s="1"/>
  <c r="A245" i="45" s="1"/>
  <c r="A246" i="45" s="1"/>
  <c r="A247" i="45" s="1"/>
  <c r="A248" i="45" s="1"/>
  <c r="A249" i="45" s="1"/>
  <c r="A250" i="45" s="1"/>
  <c r="A251" i="45" s="1"/>
  <c r="A252" i="45" s="1"/>
  <c r="A253" i="45" s="1"/>
  <c r="A254" i="45" s="1"/>
  <c r="A255" i="45" s="1"/>
  <c r="A256" i="45" s="1"/>
  <c r="A257" i="45" s="1"/>
  <c r="A258" i="45" s="1"/>
  <c r="A259" i="45" s="1"/>
  <c r="A260" i="45" s="1"/>
  <c r="A261" i="45" s="1"/>
  <c r="A262" i="45" s="1"/>
  <c r="A263" i="45" s="1"/>
  <c r="A264" i="45" s="1"/>
  <c r="A265" i="45" s="1"/>
  <c r="A266" i="45" s="1"/>
  <c r="A267" i="45" s="1"/>
  <c r="A268" i="45" s="1"/>
  <c r="A269" i="45" s="1"/>
  <c r="A270" i="45" s="1"/>
  <c r="A271" i="45" s="1"/>
  <c r="A272" i="45" s="1"/>
  <c r="A273" i="45" s="1"/>
  <c r="A274" i="45" s="1"/>
  <c r="A275" i="45" s="1"/>
  <c r="A276" i="45" s="1"/>
  <c r="A277" i="45" s="1"/>
  <c r="A278" i="45" s="1"/>
  <c r="A279" i="45" s="1"/>
  <c r="A280" i="45" s="1"/>
  <c r="A281" i="45" s="1"/>
  <c r="A282" i="45" s="1"/>
  <c r="A283" i="45" s="1"/>
  <c r="A284" i="45" s="1"/>
  <c r="A285" i="45" s="1"/>
  <c r="A286" i="45" s="1"/>
  <c r="A287" i="45" s="1"/>
  <c r="A288" i="45" s="1"/>
  <c r="A289" i="45" s="1"/>
  <c r="A290" i="45" s="1"/>
  <c r="A291" i="45" s="1"/>
  <c r="A292" i="45" s="1"/>
  <c r="A293" i="45" s="1"/>
  <c r="A294" i="45" s="1"/>
  <c r="A295" i="45" s="1"/>
  <c r="A296" i="45" s="1"/>
  <c r="A297" i="45" s="1"/>
  <c r="A298" i="45" s="1"/>
  <c r="A299" i="45" s="1"/>
  <c r="A300" i="45" s="1"/>
  <c r="A301" i="45" s="1"/>
  <c r="A302" i="45" s="1"/>
  <c r="A303" i="45" s="1"/>
  <c r="A304" i="45" s="1"/>
  <c r="A305" i="45" s="1"/>
  <c r="A306" i="45" s="1"/>
  <c r="A307" i="45" s="1"/>
  <c r="A308" i="45" s="1"/>
  <c r="A309" i="45" s="1"/>
  <c r="A310" i="45" s="1"/>
  <c r="A311" i="45" s="1"/>
  <c r="A312" i="45" s="1"/>
  <c r="A313" i="45" s="1"/>
  <c r="A314" i="45" s="1"/>
  <c r="A315" i="45" s="1"/>
  <c r="A316" i="45" s="1"/>
  <c r="A317" i="45" s="1"/>
  <c r="A318" i="45" s="1"/>
  <c r="A319" i="45" s="1"/>
  <c r="A320" i="45" s="1"/>
  <c r="A321" i="45" s="1"/>
  <c r="A322" i="45" s="1"/>
  <c r="A323" i="45" s="1"/>
  <c r="A324" i="45" s="1"/>
  <c r="A325" i="45" s="1"/>
  <c r="A326" i="45" s="1"/>
  <c r="A327" i="45" s="1"/>
  <c r="A328" i="45" s="1"/>
  <c r="A329" i="45" s="1"/>
  <c r="A330" i="45" s="1"/>
  <c r="A331" i="45" s="1"/>
  <c r="A332" i="45" s="1"/>
  <c r="A333" i="45" s="1"/>
  <c r="A334" i="45" s="1"/>
  <c r="A335" i="45" s="1"/>
  <c r="A336" i="45" s="1"/>
  <c r="A337" i="45" s="1"/>
  <c r="A338" i="45" s="1"/>
  <c r="A339" i="45" s="1"/>
  <c r="A340" i="45" s="1"/>
  <c r="A341" i="45" s="1"/>
  <c r="A342" i="45" s="1"/>
  <c r="A343" i="45" s="1"/>
  <c r="A344" i="45" s="1"/>
  <c r="A345" i="45" s="1"/>
  <c r="A346" i="45" s="1"/>
  <c r="A347" i="45" s="1"/>
  <c r="A348" i="45" s="1"/>
  <c r="A349" i="45" s="1"/>
  <c r="A350" i="45" s="1"/>
  <c r="A351" i="45" s="1"/>
  <c r="A352" i="45" s="1"/>
  <c r="A353" i="45" s="1"/>
  <c r="A354" i="45" s="1"/>
  <c r="A355" i="45" s="1"/>
  <c r="A356" i="45" s="1"/>
  <c r="A357" i="45" s="1"/>
  <c r="A358" i="45" s="1"/>
  <c r="A359" i="45" s="1"/>
  <c r="A360" i="45" s="1"/>
  <c r="A361" i="45" s="1"/>
  <c r="A362" i="45" s="1"/>
  <c r="A363" i="45" s="1"/>
  <c r="A364" i="45" s="1"/>
  <c r="A365" i="45" s="1"/>
  <c r="A366" i="45" s="1"/>
  <c r="A367" i="45" s="1"/>
  <c r="A368" i="45" s="1"/>
  <c r="A369" i="45" s="1"/>
  <c r="A370" i="45" s="1"/>
  <c r="A371" i="45" s="1"/>
  <c r="A372" i="45" s="1"/>
  <c r="A373" i="45" s="1"/>
  <c r="A374" i="45" s="1"/>
  <c r="A375" i="45" s="1"/>
  <c r="A376" i="45" s="1"/>
  <c r="A377" i="45" s="1"/>
  <c r="A378" i="45" s="1"/>
  <c r="A379" i="45" s="1"/>
  <c r="A380" i="45" s="1"/>
  <c r="A381" i="45" s="1"/>
  <c r="A382" i="45" s="1"/>
  <c r="A383" i="45" s="1"/>
  <c r="A384" i="45" s="1"/>
  <c r="A385" i="45" s="1"/>
  <c r="A386" i="45" s="1"/>
  <c r="A387" i="45" s="1"/>
  <c r="A388" i="45" s="1"/>
  <c r="A389" i="45" s="1"/>
  <c r="A390" i="45" s="1"/>
  <c r="A391" i="45" s="1"/>
  <c r="A392" i="45" s="1"/>
  <c r="A393" i="45" s="1"/>
  <c r="A394" i="45" s="1"/>
  <c r="A395" i="45" s="1"/>
  <c r="A396" i="45" s="1"/>
  <c r="A397" i="45" s="1"/>
  <c r="A398" i="45" s="1"/>
  <c r="A399" i="45" s="1"/>
  <c r="A400" i="45" s="1"/>
  <c r="A401" i="45" s="1"/>
  <c r="A402" i="45" s="1"/>
  <c r="A403" i="45" s="1"/>
  <c r="A404" i="45" s="1"/>
  <c r="A405" i="45" s="1"/>
  <c r="A406" i="45" s="1"/>
  <c r="A407" i="45" s="1"/>
  <c r="A408" i="45" s="1"/>
  <c r="A409" i="45" s="1"/>
  <c r="A410" i="45" s="1"/>
  <c r="A411" i="45" s="1"/>
  <c r="A412" i="45" s="1"/>
  <c r="A413" i="45" s="1"/>
  <c r="A414" i="45" s="1"/>
  <c r="A415" i="45" s="1"/>
  <c r="A416" i="45" s="1"/>
  <c r="A417" i="45" s="1"/>
  <c r="A418" i="45" s="1"/>
  <c r="A419" i="45" s="1"/>
  <c r="A420" i="45" s="1"/>
  <c r="A421" i="45" s="1"/>
  <c r="A422" i="45" s="1"/>
  <c r="A423" i="45" s="1"/>
  <c r="A424" i="45" s="1"/>
  <c r="A425" i="45" s="1"/>
  <c r="A426" i="45" s="1"/>
  <c r="A427" i="45" s="1"/>
  <c r="A428" i="45" s="1"/>
  <c r="A429" i="45" s="1"/>
  <c r="A430" i="45" s="1"/>
  <c r="A431" i="45" s="1"/>
  <c r="A432" i="45" s="1"/>
  <c r="A433" i="45" s="1"/>
  <c r="A434" i="45" s="1"/>
  <c r="A435" i="45" s="1"/>
  <c r="A436" i="45" s="1"/>
  <c r="A437" i="45" s="1"/>
  <c r="A438" i="45" s="1"/>
  <c r="A439" i="45" s="1"/>
  <c r="A440" i="45" s="1"/>
  <c r="A441" i="45" s="1"/>
  <c r="A442" i="45" s="1"/>
  <c r="A443" i="45" s="1"/>
  <c r="A444" i="45" s="1"/>
  <c r="A445" i="45" s="1"/>
  <c r="A446" i="45" s="1"/>
  <c r="A447" i="45" s="1"/>
  <c r="A448" i="45" s="1"/>
  <c r="A449" i="45" s="1"/>
  <c r="A450" i="45" s="1"/>
  <c r="A451" i="45" s="1"/>
  <c r="A452" i="45" s="1"/>
  <c r="A453" i="45" s="1"/>
  <c r="A454" i="45" s="1"/>
  <c r="A455" i="45" s="1"/>
  <c r="A456" i="45" s="1"/>
  <c r="A457" i="45" s="1"/>
  <c r="A458" i="45" s="1"/>
  <c r="A459" i="45" s="1"/>
  <c r="A460" i="45" s="1"/>
  <c r="A461" i="45" s="1"/>
  <c r="A462" i="45" s="1"/>
  <c r="A463" i="45" s="1"/>
  <c r="A464" i="45" s="1"/>
  <c r="A465" i="45" s="1"/>
  <c r="A466" i="45" s="1"/>
  <c r="A467" i="45" s="1"/>
  <c r="A468" i="45" s="1"/>
  <c r="A469" i="45" s="1"/>
  <c r="A470" i="45" s="1"/>
  <c r="A471" i="45" s="1"/>
  <c r="A472" i="45" s="1"/>
  <c r="A473" i="45" s="1"/>
  <c r="A474" i="45" s="1"/>
  <c r="A475" i="45" s="1"/>
  <c r="A476" i="45" s="1"/>
  <c r="A477" i="45" s="1"/>
  <c r="A478" i="45" s="1"/>
  <c r="A479" i="45" s="1"/>
  <c r="A480" i="45" s="1"/>
  <c r="A481" i="45" s="1"/>
  <c r="A482" i="45" s="1"/>
  <c r="A483" i="45" s="1"/>
  <c r="A484" i="45" s="1"/>
  <c r="A485" i="45" s="1"/>
  <c r="A486" i="45" s="1"/>
  <c r="A487" i="45" s="1"/>
  <c r="A488" i="45" s="1"/>
  <c r="A489" i="45" s="1"/>
  <c r="A490" i="45" s="1"/>
  <c r="A491" i="45" s="1"/>
  <c r="A492" i="45" s="1"/>
  <c r="A493" i="45" s="1"/>
  <c r="A494" i="45" s="1"/>
  <c r="A495" i="45" s="1"/>
  <c r="A496" i="45" s="1"/>
  <c r="A497" i="45" s="1"/>
  <c r="A498" i="45" s="1"/>
  <c r="A499" i="45" s="1"/>
  <c r="A500" i="45" s="1"/>
  <c r="A501" i="45" s="1"/>
  <c r="A502" i="45" s="1"/>
  <c r="A503" i="45" s="1"/>
  <c r="A504" i="45" s="1"/>
  <c r="A505" i="45" s="1"/>
  <c r="A506" i="45" s="1"/>
  <c r="A507" i="45" s="1"/>
  <c r="A508" i="45" s="1"/>
  <c r="A509" i="45" s="1"/>
  <c r="A510" i="45" s="1"/>
  <c r="A511" i="45" s="1"/>
  <c r="A512" i="45" s="1"/>
  <c r="A513" i="45" s="1"/>
  <c r="A514" i="45" s="1"/>
  <c r="A515" i="45" s="1"/>
  <c r="A516" i="45" s="1"/>
  <c r="A517" i="45" s="1"/>
  <c r="A518" i="45" s="1"/>
  <c r="A519" i="45" s="1"/>
  <c r="A520" i="45" s="1"/>
  <c r="A521" i="45" s="1"/>
  <c r="A522" i="45" s="1"/>
  <c r="A523" i="45" s="1"/>
  <c r="A524" i="45" s="1"/>
  <c r="A525" i="45" s="1"/>
  <c r="A526" i="45" s="1"/>
  <c r="A527" i="45" s="1"/>
  <c r="A528" i="45" s="1"/>
  <c r="A529" i="45" s="1"/>
  <c r="A530" i="45" s="1"/>
  <c r="A531" i="45" s="1"/>
  <c r="A532" i="45" s="1"/>
  <c r="A533" i="45" s="1"/>
  <c r="A534" i="45" s="1"/>
  <c r="A535" i="45" s="1"/>
  <c r="A536" i="45" s="1"/>
  <c r="A537" i="45" s="1"/>
  <c r="A538" i="45" s="1"/>
  <c r="A539" i="45" s="1"/>
  <c r="A540" i="45" s="1"/>
  <c r="A541" i="45" s="1"/>
  <c r="A542" i="45" s="1"/>
  <c r="A543" i="45" s="1"/>
  <c r="A544" i="45" s="1"/>
  <c r="A545" i="45" s="1"/>
  <c r="A546" i="45" s="1"/>
  <c r="A547" i="45" s="1"/>
  <c r="A548" i="45" s="1"/>
  <c r="A549" i="45" s="1"/>
  <c r="A550" i="45" s="1"/>
  <c r="A551" i="45" s="1"/>
  <c r="A552" i="45" s="1"/>
  <c r="A553" i="45" s="1"/>
  <c r="A554" i="45" s="1"/>
  <c r="A555" i="45" s="1"/>
  <c r="A556" i="45" s="1"/>
  <c r="A557" i="45" s="1"/>
  <c r="A558" i="45" s="1"/>
  <c r="A559" i="45" s="1"/>
  <c r="A560" i="45" s="1"/>
  <c r="A561" i="45" s="1"/>
  <c r="A562" i="45" s="1"/>
  <c r="A563" i="45" s="1"/>
  <c r="A564" i="45" s="1"/>
  <c r="A565" i="45" s="1"/>
  <c r="A566" i="45" s="1"/>
  <c r="A567" i="45" s="1"/>
  <c r="A568" i="45" s="1"/>
  <c r="A569" i="45" s="1"/>
  <c r="A570" i="45" s="1"/>
  <c r="A571" i="45" s="1"/>
  <c r="A572" i="45" s="1"/>
  <c r="A573" i="45" s="1"/>
  <c r="A574" i="45" s="1"/>
  <c r="A575" i="45" s="1"/>
  <c r="A576" i="45" s="1"/>
  <c r="A577" i="45" s="1"/>
  <c r="A578" i="45" s="1"/>
  <c r="A579" i="45" s="1"/>
  <c r="A580" i="45" s="1"/>
  <c r="A581" i="45" s="1"/>
  <c r="A582" i="45" s="1"/>
  <c r="A583" i="45" s="1"/>
  <c r="A584" i="45" s="1"/>
  <c r="A585" i="45" s="1"/>
  <c r="A586" i="45" s="1"/>
  <c r="A587" i="45" s="1"/>
  <c r="A588" i="45" s="1"/>
  <c r="A589" i="45" s="1"/>
  <c r="A590" i="45" s="1"/>
  <c r="A591" i="45" s="1"/>
  <c r="A592" i="45" s="1"/>
  <c r="A593" i="45" s="1"/>
  <c r="A594" i="45" s="1"/>
  <c r="A595" i="45" s="1"/>
  <c r="A596" i="45" s="1"/>
  <c r="A597" i="45" s="1"/>
  <c r="A598" i="45" s="1"/>
  <c r="A599" i="45" s="1"/>
  <c r="A600" i="45" s="1"/>
  <c r="A601" i="45" s="1"/>
  <c r="A602" i="45" s="1"/>
  <c r="A603" i="45" s="1"/>
  <c r="A604" i="45" s="1"/>
  <c r="A605" i="45" s="1"/>
  <c r="A606" i="45" s="1"/>
  <c r="A607" i="45" s="1"/>
  <c r="A608" i="45" s="1"/>
  <c r="A609" i="45" s="1"/>
  <c r="A610" i="45" s="1"/>
  <c r="A611" i="45" s="1"/>
  <c r="A612" i="45" s="1"/>
  <c r="A613" i="45" s="1"/>
  <c r="A614" i="45" s="1"/>
  <c r="A615" i="45" s="1"/>
  <c r="A616" i="45" s="1"/>
  <c r="A617" i="45" s="1"/>
  <c r="A618" i="45" s="1"/>
  <c r="A619" i="45" s="1"/>
  <c r="A620" i="45" s="1"/>
  <c r="A621" i="45" s="1"/>
  <c r="A622" i="45" s="1"/>
  <c r="A623" i="45" s="1"/>
  <c r="A624" i="45" s="1"/>
  <c r="A625" i="45" s="1"/>
  <c r="A626" i="45" s="1"/>
  <c r="A627" i="45" s="1"/>
  <c r="A628" i="45" s="1"/>
  <c r="A629" i="45" s="1"/>
  <c r="A630" i="45" s="1"/>
  <c r="A631" i="45" s="1"/>
  <c r="A632" i="45" s="1"/>
  <c r="A633" i="45" s="1"/>
  <c r="A634" i="45" s="1"/>
  <c r="A635" i="45" s="1"/>
  <c r="A636" i="45" s="1"/>
  <c r="A637" i="45" s="1"/>
  <c r="A638" i="45" s="1"/>
  <c r="A639" i="45" s="1"/>
  <c r="A640" i="45" s="1"/>
  <c r="A641" i="45" s="1"/>
  <c r="A642" i="45" s="1"/>
  <c r="A643" i="45" s="1"/>
  <c r="A644" i="45" s="1"/>
  <c r="A645" i="45" s="1"/>
  <c r="A646" i="45" s="1"/>
  <c r="A647" i="45" s="1"/>
  <c r="A648" i="45" s="1"/>
  <c r="A649" i="45" s="1"/>
  <c r="A650" i="45" s="1"/>
  <c r="A651" i="45" s="1"/>
  <c r="A652" i="45" s="1"/>
  <c r="A653" i="45" s="1"/>
  <c r="A654" i="45" s="1"/>
  <c r="A655" i="45" s="1"/>
  <c r="A656" i="45" s="1"/>
  <c r="A657" i="45" s="1"/>
  <c r="A658" i="45" s="1"/>
  <c r="A659" i="45" s="1"/>
  <c r="A660" i="45" s="1"/>
  <c r="A661" i="45" s="1"/>
  <c r="A662" i="45" s="1"/>
  <c r="A663" i="45" s="1"/>
  <c r="A664" i="45" s="1"/>
  <c r="A665" i="45" s="1"/>
  <c r="A666" i="45" s="1"/>
  <c r="A667" i="45" s="1"/>
  <c r="A668" i="45" s="1"/>
  <c r="A669" i="45" s="1"/>
  <c r="A670" i="45" s="1"/>
  <c r="A671" i="45" s="1"/>
  <c r="A672" i="45" s="1"/>
  <c r="A673" i="45" s="1"/>
  <c r="A674" i="45" s="1"/>
  <c r="A675" i="45" s="1"/>
  <c r="A676" i="45" s="1"/>
  <c r="A677" i="45" s="1"/>
  <c r="A678" i="45" s="1"/>
  <c r="A679" i="45" s="1"/>
  <c r="A680" i="45" s="1"/>
  <c r="A681" i="45" s="1"/>
  <c r="A682" i="45" s="1"/>
  <c r="A683" i="45" s="1"/>
  <c r="A684" i="45" s="1"/>
  <c r="A685" i="45" s="1"/>
  <c r="A686" i="45" s="1"/>
  <c r="A687" i="45" s="1"/>
  <c r="A688" i="45" s="1"/>
  <c r="A689" i="45" s="1"/>
  <c r="A690" i="45" s="1"/>
  <c r="A691" i="45" s="1"/>
  <c r="A692" i="45" s="1"/>
  <c r="A693" i="45" s="1"/>
  <c r="A694" i="45" s="1"/>
  <c r="A695" i="45" s="1"/>
  <c r="A696" i="45" s="1"/>
  <c r="A697" i="45" s="1"/>
  <c r="A698" i="45" s="1"/>
  <c r="A699" i="45" s="1"/>
  <c r="A700" i="45" s="1"/>
  <c r="A701" i="45" s="1"/>
  <c r="A702" i="45" s="1"/>
  <c r="A703" i="45" s="1"/>
  <c r="A704" i="45" s="1"/>
  <c r="A705" i="45" s="1"/>
  <c r="A706" i="45" s="1"/>
  <c r="A707" i="45" s="1"/>
  <c r="A708" i="45" s="1"/>
  <c r="A709" i="45" s="1"/>
  <c r="A710" i="45" s="1"/>
  <c r="A711" i="45" s="1"/>
  <c r="A712" i="45" s="1"/>
  <c r="A713" i="45" s="1"/>
  <c r="A714" i="45" s="1"/>
  <c r="A715" i="45" s="1"/>
  <c r="A716" i="45" s="1"/>
  <c r="A717" i="45" s="1"/>
  <c r="A718" i="45" s="1"/>
  <c r="A719" i="45" s="1"/>
  <c r="A720" i="45" s="1"/>
  <c r="A721" i="45" s="1"/>
  <c r="A722" i="45" s="1"/>
  <c r="A723" i="45" s="1"/>
  <c r="A724" i="45" s="1"/>
  <c r="A725" i="45" s="1"/>
  <c r="A726" i="45" s="1"/>
  <c r="A727" i="45" s="1"/>
  <c r="A728" i="45" s="1"/>
  <c r="A729" i="45" s="1"/>
  <c r="A730" i="45" s="1"/>
  <c r="A731" i="45" s="1"/>
  <c r="A732" i="45" s="1"/>
  <c r="A733" i="45" s="1"/>
  <c r="A734" i="45" s="1"/>
  <c r="A735" i="45" s="1"/>
  <c r="A736" i="45" s="1"/>
  <c r="A737" i="45" s="1"/>
  <c r="A738" i="45" s="1"/>
  <c r="A739" i="45" s="1"/>
  <c r="A740" i="45" s="1"/>
  <c r="A741" i="45" s="1"/>
  <c r="A742" i="45" s="1"/>
  <c r="A743" i="45" s="1"/>
  <c r="A744" i="45" s="1"/>
  <c r="A745" i="45" s="1"/>
  <c r="A746" i="45" s="1"/>
  <c r="A747" i="45" s="1"/>
  <c r="A748" i="45" s="1"/>
  <c r="A749" i="45" s="1"/>
  <c r="A750" i="45" s="1"/>
  <c r="A751" i="45" s="1"/>
  <c r="A752" i="45" s="1"/>
  <c r="A753" i="45" s="1"/>
  <c r="A754" i="45" s="1"/>
  <c r="A755" i="45" s="1"/>
  <c r="A756" i="45" s="1"/>
  <c r="A757" i="45" s="1"/>
  <c r="A758" i="45" s="1"/>
  <c r="A759" i="45" s="1"/>
  <c r="A760" i="45" s="1"/>
  <c r="A761" i="45" s="1"/>
  <c r="A762" i="45" s="1"/>
  <c r="A763" i="45" s="1"/>
  <c r="A764" i="45" s="1"/>
  <c r="A765" i="45" s="1"/>
  <c r="A766" i="45" s="1"/>
  <c r="A767" i="45" s="1"/>
  <c r="A768" i="45" s="1"/>
  <c r="A769" i="45" s="1"/>
  <c r="A770" i="45" s="1"/>
  <c r="A771" i="45" s="1"/>
  <c r="A772" i="45" s="1"/>
  <c r="A773" i="45" s="1"/>
  <c r="A774" i="45" s="1"/>
  <c r="A775" i="45" s="1"/>
  <c r="A776" i="45" s="1"/>
  <c r="A777" i="45" s="1"/>
  <c r="A778" i="45" s="1"/>
  <c r="A779" i="45" s="1"/>
  <c r="A780" i="45" s="1"/>
  <c r="A781" i="45" s="1"/>
  <c r="A782" i="45" s="1"/>
  <c r="A783" i="45" s="1"/>
  <c r="A784" i="45" s="1"/>
  <c r="A785" i="45" s="1"/>
  <c r="A786" i="45" s="1"/>
  <c r="A787" i="45" s="1"/>
  <c r="A788" i="45" s="1"/>
  <c r="A789" i="45" s="1"/>
  <c r="A790" i="45" s="1"/>
  <c r="A791" i="45" s="1"/>
  <c r="A792" i="45" s="1"/>
  <c r="A793" i="45" s="1"/>
  <c r="A794" i="45" s="1"/>
  <c r="A795" i="45" s="1"/>
  <c r="A796" i="45" s="1"/>
  <c r="A797" i="45" s="1"/>
  <c r="A798" i="45" s="1"/>
  <c r="A799" i="45" s="1"/>
  <c r="A800" i="45" s="1"/>
  <c r="A801" i="45" s="1"/>
  <c r="A802" i="45" s="1"/>
  <c r="A803" i="45" s="1"/>
  <c r="A804" i="45" s="1"/>
  <c r="A805" i="45" s="1"/>
  <c r="A806" i="45" s="1"/>
  <c r="A807" i="45" s="1"/>
  <c r="A808" i="45" s="1"/>
  <c r="A809" i="45" s="1"/>
  <c r="A810" i="45" s="1"/>
  <c r="A811" i="45" s="1"/>
  <c r="A812" i="45" s="1"/>
  <c r="A813" i="45" s="1"/>
  <c r="A814" i="45" s="1"/>
  <c r="A815" i="45" s="1"/>
  <c r="A816" i="45" s="1"/>
  <c r="A817" i="45" s="1"/>
  <c r="A818" i="45" s="1"/>
  <c r="A819" i="45" s="1"/>
  <c r="A820" i="45" s="1"/>
  <c r="A821" i="45" s="1"/>
  <c r="A822" i="45" s="1"/>
  <c r="A823" i="45" s="1"/>
  <c r="A824" i="45" s="1"/>
  <c r="A825" i="45" s="1"/>
  <c r="A826" i="45" s="1"/>
  <c r="A827" i="45" s="1"/>
  <c r="A828" i="45" s="1"/>
  <c r="A829" i="45" s="1"/>
  <c r="A830" i="45" s="1"/>
  <c r="A831" i="45" s="1"/>
  <c r="A832" i="45" s="1"/>
  <c r="A833" i="45" s="1"/>
  <c r="A834" i="45" s="1"/>
  <c r="A835" i="45" s="1"/>
  <c r="A836" i="45" s="1"/>
  <c r="A837" i="45" s="1"/>
  <c r="A838" i="45" s="1"/>
  <c r="A839" i="45" s="1"/>
  <c r="A840" i="45" s="1"/>
  <c r="A841" i="45" s="1"/>
  <c r="A842" i="45" s="1"/>
  <c r="A843" i="45" s="1"/>
  <c r="A844" i="45" s="1"/>
  <c r="A845" i="45" s="1"/>
  <c r="A846" i="45" s="1"/>
  <c r="A847" i="45" s="1"/>
  <c r="A848" i="45" s="1"/>
  <c r="A849" i="45" s="1"/>
  <c r="A850" i="45" s="1"/>
  <c r="A851" i="45" s="1"/>
  <c r="A852" i="45" s="1"/>
  <c r="A853" i="45" s="1"/>
  <c r="A854" i="45" s="1"/>
  <c r="A855" i="45" s="1"/>
  <c r="A856" i="45" s="1"/>
  <c r="A857" i="45" s="1"/>
  <c r="A858" i="45" s="1"/>
  <c r="A859" i="45" s="1"/>
  <c r="A860" i="45" s="1"/>
  <c r="A861" i="45" s="1"/>
  <c r="A862" i="45" s="1"/>
  <c r="A863" i="45" s="1"/>
  <c r="A864" i="45" s="1"/>
  <c r="A865" i="45" s="1"/>
  <c r="A866" i="45" s="1"/>
  <c r="A867" i="45" s="1"/>
  <c r="A868" i="45" s="1"/>
  <c r="A869" i="45" s="1"/>
  <c r="A870" i="45" s="1"/>
  <c r="A871" i="45" s="1"/>
  <c r="A872" i="45" s="1"/>
  <c r="A873" i="45" s="1"/>
  <c r="A874" i="45" s="1"/>
  <c r="A875" i="45" s="1"/>
  <c r="A876" i="45" s="1"/>
  <c r="A877" i="45" s="1"/>
  <c r="A878" i="45" s="1"/>
  <c r="A879" i="45" s="1"/>
  <c r="A880" i="45" s="1"/>
  <c r="A881" i="45" s="1"/>
  <c r="A882" i="45" s="1"/>
  <c r="A883" i="45" s="1"/>
  <c r="A884" i="45" s="1"/>
  <c r="A885" i="45" s="1"/>
  <c r="A886" i="45" s="1"/>
  <c r="A887" i="45" s="1"/>
  <c r="A888" i="45" s="1"/>
  <c r="A889" i="45" s="1"/>
  <c r="A890" i="45" s="1"/>
  <c r="A891" i="45" s="1"/>
  <c r="A892" i="45" s="1"/>
  <c r="A893" i="45" s="1"/>
  <c r="A894" i="45" s="1"/>
  <c r="A895" i="45" s="1"/>
  <c r="A896" i="45" s="1"/>
  <c r="A897" i="45" s="1"/>
  <c r="A898" i="45" s="1"/>
  <c r="A899" i="45" s="1"/>
  <c r="A900" i="45" s="1"/>
  <c r="A901" i="45" s="1"/>
  <c r="A902" i="45" s="1"/>
  <c r="A903" i="45" s="1"/>
  <c r="A904" i="45" s="1"/>
  <c r="A905" i="45" s="1"/>
  <c r="A906" i="45" s="1"/>
  <c r="A907" i="45" s="1"/>
  <c r="A908" i="45" s="1"/>
  <c r="A909" i="45" s="1"/>
  <c r="A910" i="45" s="1"/>
  <c r="A911" i="45" s="1"/>
  <c r="A912" i="45" s="1"/>
  <c r="A913" i="45" s="1"/>
  <c r="A914" i="45" s="1"/>
  <c r="A915" i="45" s="1"/>
  <c r="A916" i="45" s="1"/>
  <c r="A917" i="45" s="1"/>
  <c r="A918" i="45" s="1"/>
  <c r="A919" i="45" s="1"/>
  <c r="A920" i="45" s="1"/>
  <c r="A921" i="45" s="1"/>
  <c r="A922" i="45" s="1"/>
  <c r="A923" i="45" s="1"/>
  <c r="A924" i="45" s="1"/>
  <c r="A925" i="45" s="1"/>
  <c r="A926" i="45" s="1"/>
  <c r="A927" i="45" s="1"/>
  <c r="A928" i="45" s="1"/>
  <c r="A929" i="45" s="1"/>
  <c r="A930" i="45" s="1"/>
  <c r="A931" i="45" s="1"/>
  <c r="A932" i="45" s="1"/>
  <c r="A933" i="45" s="1"/>
  <c r="A934" i="45" s="1"/>
  <c r="A935" i="45" s="1"/>
  <c r="A936" i="45" s="1"/>
  <c r="A937" i="45" s="1"/>
  <c r="A938" i="45" s="1"/>
  <c r="A939" i="45" s="1"/>
  <c r="A940" i="45" s="1"/>
  <c r="A941" i="45" s="1"/>
  <c r="A942" i="45" s="1"/>
  <c r="A943" i="45" s="1"/>
  <c r="A944" i="45" s="1"/>
  <c r="A945" i="45" s="1"/>
  <c r="A946" i="45" s="1"/>
  <c r="A947" i="45" s="1"/>
  <c r="A948" i="45" s="1"/>
  <c r="A949" i="45" s="1"/>
  <c r="A950" i="45" s="1"/>
  <c r="A951" i="45" s="1"/>
  <c r="A952" i="45" s="1"/>
  <c r="A953" i="45" s="1"/>
  <c r="A954" i="45" s="1"/>
  <c r="A955" i="45" s="1"/>
  <c r="A956" i="45" s="1"/>
  <c r="A957" i="45" s="1"/>
  <c r="A958" i="45" s="1"/>
  <c r="A959" i="45" s="1"/>
  <c r="A960" i="45" s="1"/>
  <c r="A961" i="45" s="1"/>
  <c r="A962" i="45" s="1"/>
  <c r="A963" i="45" s="1"/>
  <c r="A964" i="45" s="1"/>
  <c r="A965" i="45" s="1"/>
  <c r="A966" i="45" s="1"/>
  <c r="A967" i="45" s="1"/>
  <c r="A968" i="45" s="1"/>
  <c r="A969" i="45" s="1"/>
  <c r="A970" i="45" s="1"/>
  <c r="A971" i="45" s="1"/>
  <c r="A972" i="45" s="1"/>
  <c r="A973" i="45" s="1"/>
  <c r="A974" i="45" s="1"/>
  <c r="A975" i="45" s="1"/>
  <c r="A976" i="45" s="1"/>
  <c r="A977" i="45" s="1"/>
  <c r="A978" i="45" s="1"/>
  <c r="A979" i="45" s="1"/>
  <c r="A980" i="45" s="1"/>
  <c r="A981" i="45" s="1"/>
  <c r="A982" i="45" s="1"/>
  <c r="A983" i="45" s="1"/>
  <c r="A984" i="45" s="1"/>
  <c r="A985" i="45" s="1"/>
  <c r="A986" i="45" s="1"/>
  <c r="A987" i="45" s="1"/>
  <c r="A988" i="45" s="1"/>
  <c r="A989" i="45" s="1"/>
  <c r="A990" i="45" s="1"/>
  <c r="A991" i="45" s="1"/>
  <c r="A992" i="45" s="1"/>
  <c r="A993" i="45" s="1"/>
  <c r="A994" i="45" s="1"/>
  <c r="A995" i="45" s="1"/>
  <c r="A996" i="45" s="1"/>
  <c r="A997" i="45" s="1"/>
  <c r="A998" i="45" s="1"/>
  <c r="A999" i="45" s="1"/>
  <c r="A1000" i="45" s="1"/>
  <c r="A1001" i="45" s="1"/>
  <c r="A1002" i="45" s="1"/>
  <c r="A1003" i="45" s="1"/>
  <c r="A1004" i="45" s="1"/>
  <c r="A1005" i="45" s="1"/>
  <c r="A1006" i="45" s="1"/>
  <c r="A1007" i="45" s="1"/>
  <c r="A1008" i="45" s="1"/>
  <c r="A1009" i="45" s="1"/>
  <c r="A1010" i="45" s="1"/>
  <c r="A1011" i="45" s="1"/>
  <c r="A1012" i="45" s="1"/>
  <c r="A1013" i="45" s="1"/>
  <c r="A1014" i="45" s="1"/>
  <c r="A1015" i="45" s="1"/>
  <c r="A1016" i="45" s="1"/>
  <c r="A1017" i="45" s="1"/>
  <c r="A1018" i="45" s="1"/>
  <c r="A1019" i="45" s="1"/>
  <c r="A1020" i="45" s="1"/>
  <c r="A1021" i="45" s="1"/>
  <c r="A1022" i="45" s="1"/>
  <c r="A1023" i="45" s="1"/>
  <c r="A1024" i="45" s="1"/>
  <c r="A1025" i="45" s="1"/>
  <c r="A1026" i="45" s="1"/>
  <c r="A1027" i="45" s="1"/>
  <c r="A1028" i="45" s="1"/>
  <c r="A1029" i="45" s="1"/>
  <c r="A1030" i="45" s="1"/>
  <c r="A1031" i="45" s="1"/>
  <c r="A1032" i="45" s="1"/>
  <c r="A1033" i="45" s="1"/>
  <c r="A1034" i="45" s="1"/>
  <c r="A1035" i="45" s="1"/>
  <c r="A1036" i="45" s="1"/>
  <c r="A1037" i="45" s="1"/>
  <c r="A1038" i="45" s="1"/>
  <c r="A1039" i="45" s="1"/>
  <c r="A1040" i="45" s="1"/>
  <c r="A1041" i="45" s="1"/>
  <c r="A1042" i="45" s="1"/>
  <c r="A1043" i="45" s="1"/>
  <c r="A1044" i="45" s="1"/>
  <c r="A1045" i="45" s="1"/>
  <c r="A1046" i="45" s="1"/>
  <c r="A1047" i="45" s="1"/>
  <c r="A1048" i="45" s="1"/>
  <c r="A1049" i="45" s="1"/>
  <c r="A1050" i="45" s="1"/>
  <c r="A1051" i="45" s="1"/>
  <c r="A1052" i="45" s="1"/>
  <c r="A1053" i="45" s="1"/>
  <c r="A1054" i="45" s="1"/>
  <c r="A1055" i="45" s="1"/>
  <c r="A1056" i="45" s="1"/>
  <c r="A1057" i="45" s="1"/>
  <c r="A1058" i="45" s="1"/>
  <c r="A1059" i="45" s="1"/>
  <c r="A1060" i="45" s="1"/>
  <c r="A1061" i="45" s="1"/>
  <c r="A1062" i="45" s="1"/>
  <c r="A1063" i="45" s="1"/>
  <c r="A1064" i="45" s="1"/>
  <c r="A1065" i="45" s="1"/>
  <c r="A1066" i="45" s="1"/>
  <c r="A1067" i="45" s="1"/>
  <c r="A1068" i="45" s="1"/>
  <c r="A1069" i="45" s="1"/>
  <c r="A1070" i="45" s="1"/>
  <c r="A1071" i="45" s="1"/>
  <c r="A1072" i="45" s="1"/>
  <c r="A1073" i="45" s="1"/>
  <c r="A1074" i="45" s="1"/>
  <c r="A1075" i="45" s="1"/>
  <c r="A1076" i="45" s="1"/>
  <c r="A1077" i="45" s="1"/>
  <c r="A1078" i="45" s="1"/>
  <c r="A1079" i="45" s="1"/>
  <c r="A1080" i="45" s="1"/>
  <c r="A1081" i="45" s="1"/>
  <c r="A1082" i="45" s="1"/>
  <c r="A1083" i="45" s="1"/>
  <c r="A1084" i="45" s="1"/>
  <c r="A1085" i="45" s="1"/>
  <c r="A1086" i="45" s="1"/>
  <c r="A1087" i="45" s="1"/>
  <c r="A1088" i="45" s="1"/>
  <c r="A1089" i="45" s="1"/>
  <c r="A1090" i="45" s="1"/>
  <c r="A1091" i="45" s="1"/>
  <c r="A1092" i="45" s="1"/>
  <c r="A1093" i="45" s="1"/>
  <c r="A1094" i="45" s="1"/>
  <c r="A1095" i="45" s="1"/>
  <c r="A1096" i="45" s="1"/>
  <c r="A1097" i="45" s="1"/>
  <c r="A1098" i="45" s="1"/>
  <c r="A1099" i="45" s="1"/>
  <c r="A1100" i="45" s="1"/>
  <c r="A1101" i="45" s="1"/>
  <c r="A1102" i="45" s="1"/>
  <c r="A1103" i="45" s="1"/>
  <c r="A1104" i="45" s="1"/>
  <c r="A1105" i="45" s="1"/>
  <c r="A1106" i="45" s="1"/>
  <c r="A1107" i="45" s="1"/>
  <c r="A1108" i="45" s="1"/>
  <c r="A1109" i="45" s="1"/>
  <c r="A1110" i="45" s="1"/>
  <c r="A1111" i="45" s="1"/>
  <c r="A1112" i="45" s="1"/>
  <c r="A1113" i="45" s="1"/>
  <c r="A1114" i="45" s="1"/>
  <c r="A1115" i="45" s="1"/>
  <c r="A1116" i="45" s="1"/>
  <c r="A1117" i="45" s="1"/>
  <c r="A1118" i="45" s="1"/>
  <c r="A1119" i="45" s="1"/>
  <c r="A1120" i="45" s="1"/>
  <c r="A1121" i="45" s="1"/>
  <c r="A1122" i="45" s="1"/>
  <c r="A1123" i="45" s="1"/>
  <c r="A1124" i="45" s="1"/>
  <c r="A1125" i="45" s="1"/>
  <c r="A1126" i="45" s="1"/>
  <c r="A1127" i="45" s="1"/>
  <c r="A1128" i="45" s="1"/>
  <c r="A1129" i="45" s="1"/>
  <c r="A1130" i="45" s="1"/>
  <c r="A1131" i="45" s="1"/>
  <c r="A1132" i="45" s="1"/>
  <c r="A1133" i="45" s="1"/>
  <c r="A1134" i="45" s="1"/>
  <c r="A1135" i="45" s="1"/>
  <c r="A1136" i="45" s="1"/>
  <c r="A1137" i="45" s="1"/>
  <c r="A1138" i="45" s="1"/>
  <c r="A1139" i="45" s="1"/>
  <c r="A1140" i="45" s="1"/>
  <c r="A1141" i="45" s="1"/>
  <c r="A1142" i="45" s="1"/>
  <c r="A1143" i="45" s="1"/>
  <c r="A1144" i="45" s="1"/>
  <c r="A1145" i="45" s="1"/>
  <c r="A1146" i="45" s="1"/>
  <c r="A1147" i="45" s="1"/>
  <c r="A1148" i="45" s="1"/>
  <c r="A1149" i="45" s="1"/>
  <c r="A1150" i="45" s="1"/>
  <c r="A1151" i="45" s="1"/>
  <c r="A1152" i="45" s="1"/>
  <c r="A1153" i="45" s="1"/>
  <c r="A1154" i="45" s="1"/>
  <c r="A1155" i="45" s="1"/>
  <c r="A1156" i="45" s="1"/>
  <c r="A1157" i="45" s="1"/>
  <c r="A1158" i="45" s="1"/>
  <c r="A1159" i="45" s="1"/>
  <c r="A1160" i="45" s="1"/>
  <c r="A1161" i="45" s="1"/>
  <c r="A1162" i="45" s="1"/>
  <c r="A1163" i="45" s="1"/>
  <c r="A1164" i="45" s="1"/>
  <c r="A1165" i="45" s="1"/>
  <c r="A1166" i="45" s="1"/>
  <c r="A1167" i="45" s="1"/>
  <c r="A1168" i="45" s="1"/>
  <c r="A1169" i="45" s="1"/>
  <c r="A1170" i="45" s="1"/>
  <c r="A1171" i="45" s="1"/>
  <c r="A1172" i="45" s="1"/>
  <c r="A1173" i="45" s="1"/>
  <c r="A1174" i="45" s="1"/>
  <c r="A1175" i="45" s="1"/>
  <c r="A1176" i="45" s="1"/>
  <c r="A1177" i="45" s="1"/>
  <c r="A1178" i="45" s="1"/>
  <c r="A1179" i="45" s="1"/>
  <c r="A1180" i="45" s="1"/>
  <c r="A1181" i="45" s="1"/>
  <c r="A1182" i="45" s="1"/>
  <c r="A1183" i="45" s="1"/>
  <c r="A1184" i="45" s="1"/>
  <c r="A1185" i="45" s="1"/>
  <c r="A1186" i="45" s="1"/>
  <c r="A1187" i="45" s="1"/>
  <c r="A1188" i="45" s="1"/>
  <c r="A1189" i="45" s="1"/>
  <c r="A1190" i="45" s="1"/>
  <c r="A1191" i="45" s="1"/>
  <c r="A1192" i="45" s="1"/>
  <c r="A1193" i="45" s="1"/>
  <c r="A1194" i="45" s="1"/>
  <c r="A1195" i="45" s="1"/>
  <c r="A1196" i="45" s="1"/>
  <c r="A1197" i="45" s="1"/>
  <c r="A1198" i="45" s="1"/>
  <c r="A1199" i="45" s="1"/>
  <c r="A1200" i="45" s="1"/>
  <c r="A1201" i="45" s="1"/>
  <c r="A1202" i="45" s="1"/>
  <c r="A1203" i="45" s="1"/>
  <c r="A1204" i="45" s="1"/>
  <c r="A1205" i="45" s="1"/>
  <c r="A1206" i="45" s="1"/>
  <c r="A1207" i="45" s="1"/>
  <c r="A1208" i="45" s="1"/>
  <c r="A1209" i="45" s="1"/>
  <c r="A1210" i="45" s="1"/>
  <c r="A1211" i="45" s="1"/>
  <c r="A1212" i="45" s="1"/>
  <c r="A1213" i="45" s="1"/>
  <c r="A1214" i="45" s="1"/>
  <c r="A1215" i="45" s="1"/>
  <c r="A1216" i="45" s="1"/>
  <c r="A1217" i="45" s="1"/>
  <c r="A1218" i="45" s="1"/>
  <c r="A1219" i="45" s="1"/>
  <c r="A1220" i="45" s="1"/>
  <c r="A1221" i="45" s="1"/>
  <c r="A1222" i="45" s="1"/>
  <c r="A1223" i="45" s="1"/>
  <c r="A1224" i="45" s="1"/>
  <c r="A1225" i="45" s="1"/>
  <c r="A1226" i="45" s="1"/>
  <c r="A1227" i="45" s="1"/>
  <c r="A1228" i="45" s="1"/>
  <c r="A1229" i="45" s="1"/>
  <c r="A1230" i="45" s="1"/>
  <c r="A1231" i="45" s="1"/>
  <c r="A1232" i="45" s="1"/>
  <c r="A1233" i="45" s="1"/>
  <c r="A1234" i="45" s="1"/>
  <c r="A1235" i="45" s="1"/>
  <c r="A1236" i="45" s="1"/>
  <c r="A1237" i="45" s="1"/>
  <c r="A1238" i="45" s="1"/>
  <c r="A1239" i="45" s="1"/>
  <c r="A1240" i="45" s="1"/>
  <c r="A1241" i="45" s="1"/>
  <c r="A1242" i="45" s="1"/>
  <c r="A1243" i="45" s="1"/>
  <c r="A1244" i="45" s="1"/>
  <c r="A1245" i="45" s="1"/>
  <c r="A1246" i="45" s="1"/>
  <c r="A1247" i="45" s="1"/>
  <c r="A1248" i="45" s="1"/>
  <c r="A1249" i="45" s="1"/>
  <c r="A1250" i="45" s="1"/>
  <c r="A1251" i="45" s="1"/>
  <c r="A1252" i="45" s="1"/>
  <c r="A1253" i="45" s="1"/>
  <c r="A1254" i="45" s="1"/>
  <c r="A1255" i="45" s="1"/>
  <c r="A1256" i="45" s="1"/>
  <c r="A1257" i="45" s="1"/>
  <c r="A1258" i="45" s="1"/>
  <c r="A1259" i="45" s="1"/>
  <c r="A1260" i="45" s="1"/>
  <c r="A1261" i="45" s="1"/>
  <c r="A1262" i="45" s="1"/>
  <c r="A1263" i="45" s="1"/>
  <c r="A1264" i="45" s="1"/>
  <c r="A1265" i="45" s="1"/>
  <c r="A1266" i="45" s="1"/>
  <c r="A1267" i="45" s="1"/>
  <c r="A1268" i="45" s="1"/>
  <c r="A1269" i="45" s="1"/>
  <c r="A1270" i="45" s="1"/>
  <c r="A1271" i="45" s="1"/>
  <c r="A1272" i="45" s="1"/>
  <c r="A1273" i="45" s="1"/>
  <c r="A1274" i="45" s="1"/>
  <c r="A1275" i="45" s="1"/>
  <c r="A1276" i="45" s="1"/>
  <c r="A1277" i="45" s="1"/>
  <c r="A1278" i="45" s="1"/>
  <c r="A1279" i="45" s="1"/>
  <c r="A1280" i="45" s="1"/>
  <c r="A1281" i="45" s="1"/>
  <c r="A1282" i="45" s="1"/>
  <c r="A1283" i="45" s="1"/>
  <c r="A1284" i="45" s="1"/>
  <c r="A1285" i="45" s="1"/>
  <c r="A1286" i="45" s="1"/>
  <c r="A1287" i="45" s="1"/>
  <c r="A1288" i="45" s="1"/>
  <c r="A1289" i="45" s="1"/>
  <c r="A1290" i="45" s="1"/>
  <c r="A1291" i="45" s="1"/>
  <c r="A1292" i="45" s="1"/>
  <c r="A1293" i="45" s="1"/>
  <c r="A1294" i="45" s="1"/>
  <c r="A1295" i="45" s="1"/>
  <c r="A1296" i="45" s="1"/>
  <c r="A1297" i="45" s="1"/>
  <c r="A1298" i="45" s="1"/>
  <c r="A1299" i="45" s="1"/>
  <c r="A1300" i="45" s="1"/>
  <c r="A1301" i="45" s="1"/>
  <c r="A1302" i="45" s="1"/>
  <c r="A1303" i="45" s="1"/>
  <c r="A1304" i="45" s="1"/>
  <c r="A1305" i="45" s="1"/>
  <c r="A1306" i="45" s="1"/>
  <c r="A1307" i="45" s="1"/>
  <c r="A1308" i="45" s="1"/>
  <c r="A1309" i="45" s="1"/>
  <c r="A1310" i="45" s="1"/>
  <c r="A1311" i="45" s="1"/>
  <c r="A1312" i="45" s="1"/>
  <c r="A1313" i="45" s="1"/>
  <c r="A1314" i="45" s="1"/>
  <c r="A1315" i="45" s="1"/>
  <c r="A1316" i="45" s="1"/>
  <c r="A1317" i="45" s="1"/>
  <c r="A1318" i="45" s="1"/>
  <c r="A1319" i="45" s="1"/>
  <c r="A1320" i="45" s="1"/>
  <c r="A1321" i="45" s="1"/>
  <c r="A1322" i="45" s="1"/>
  <c r="A1323" i="45" s="1"/>
  <c r="A1324" i="45" s="1"/>
  <c r="A1325" i="45" s="1"/>
  <c r="A1326" i="45" s="1"/>
  <c r="A1327" i="45" s="1"/>
  <c r="A1328" i="45" s="1"/>
  <c r="A1329" i="45" s="1"/>
  <c r="A1330" i="45" s="1"/>
  <c r="A1331" i="45" s="1"/>
  <c r="A1332" i="45" s="1"/>
  <c r="A1333" i="45" s="1"/>
  <c r="A1334" i="45" s="1"/>
  <c r="A1335" i="45" s="1"/>
  <c r="A1336" i="45" s="1"/>
  <c r="A1337" i="45" s="1"/>
  <c r="A1338" i="45" s="1"/>
  <c r="A1339" i="45" s="1"/>
  <c r="A1340" i="45" s="1"/>
  <c r="A1341" i="45" s="1"/>
  <c r="A1342" i="45" s="1"/>
  <c r="A1343" i="45" s="1"/>
  <c r="A1344" i="45" s="1"/>
  <c r="A1345" i="45" s="1"/>
  <c r="A1346" i="45" s="1"/>
  <c r="A1347" i="45" s="1"/>
  <c r="A1348" i="45" s="1"/>
  <c r="A1349" i="45" s="1"/>
  <c r="A1350" i="45" s="1"/>
  <c r="A1351" i="45" s="1"/>
  <c r="A1352" i="45" s="1"/>
  <c r="A1353" i="45" s="1"/>
  <c r="A1354" i="45" s="1"/>
  <c r="A1355" i="45" s="1"/>
  <c r="A1356" i="45" s="1"/>
  <c r="A1357" i="45" s="1"/>
  <c r="A1358" i="45" s="1"/>
  <c r="A1359" i="45" s="1"/>
  <c r="A1360" i="45" s="1"/>
  <c r="A1361" i="45" s="1"/>
  <c r="A1362" i="45" s="1"/>
  <c r="A1363" i="45" s="1"/>
  <c r="A1364" i="45" s="1"/>
  <c r="A1365" i="45" s="1"/>
  <c r="A1366" i="45" s="1"/>
  <c r="A1367" i="45" s="1"/>
  <c r="A1368" i="45" s="1"/>
  <c r="A1369" i="45" s="1"/>
  <c r="A1370" i="45" s="1"/>
  <c r="A1371" i="45" s="1"/>
  <c r="A1372" i="45" s="1"/>
  <c r="A1373" i="45" s="1"/>
  <c r="A1374" i="45" s="1"/>
  <c r="A1375" i="45" s="1"/>
  <c r="A1376" i="45" s="1"/>
  <c r="A1377" i="45" s="1"/>
  <c r="A1378" i="45" s="1"/>
  <c r="A1379" i="45" s="1"/>
  <c r="A1380" i="45" s="1"/>
  <c r="A1381" i="45" s="1"/>
  <c r="A1382" i="45" s="1"/>
  <c r="A1383" i="45" s="1"/>
  <c r="A1384" i="45" s="1"/>
  <c r="A1385" i="45" s="1"/>
  <c r="A1386" i="45" s="1"/>
  <c r="A1387" i="45" s="1"/>
  <c r="A1388" i="45" s="1"/>
  <c r="A1389" i="45" s="1"/>
  <c r="A1390" i="45" s="1"/>
  <c r="A1391" i="45" s="1"/>
  <c r="A1392" i="45" s="1"/>
  <c r="A1393" i="45" s="1"/>
  <c r="A1394" i="45" s="1"/>
  <c r="A1395" i="45" s="1"/>
  <c r="A1396" i="45" s="1"/>
  <c r="A1397" i="45" s="1"/>
  <c r="A1398" i="45" s="1"/>
  <c r="A1399" i="45" s="1"/>
  <c r="A1400" i="45" s="1"/>
  <c r="A1401" i="45" s="1"/>
  <c r="A1402" i="45" s="1"/>
  <c r="A1403" i="45" s="1"/>
  <c r="A1404" i="45" s="1"/>
  <c r="A1405" i="45" s="1"/>
  <c r="A1406" i="45" s="1"/>
  <c r="A1407" i="45" s="1"/>
  <c r="A1408" i="45" s="1"/>
  <c r="A1409" i="45" s="1"/>
  <c r="A1410" i="45" s="1"/>
  <c r="A1411" i="45" s="1"/>
  <c r="A1412" i="45" s="1"/>
  <c r="A1413" i="45" s="1"/>
  <c r="A1414" i="45" s="1"/>
  <c r="A1415" i="45" s="1"/>
  <c r="A1416" i="45" s="1"/>
  <c r="A1417" i="45" s="1"/>
  <c r="A1418" i="45" s="1"/>
  <c r="A1419" i="45" s="1"/>
  <c r="A1420" i="45" s="1"/>
  <c r="A1421" i="45" s="1"/>
  <c r="A1422" i="45" s="1"/>
  <c r="A1423" i="45" s="1"/>
  <c r="A1424" i="45" s="1"/>
  <c r="A1425" i="45" s="1"/>
  <c r="A1426" i="45" s="1"/>
  <c r="A1427" i="45" s="1"/>
  <c r="A1428" i="45" s="1"/>
  <c r="A1429" i="45" s="1"/>
  <c r="A1430" i="45" s="1"/>
  <c r="A1431" i="45" s="1"/>
  <c r="A1432" i="45" s="1"/>
  <c r="A1433" i="45" s="1"/>
  <c r="A1434" i="45" s="1"/>
  <c r="A1435" i="45" s="1"/>
  <c r="A1436" i="45" s="1"/>
  <c r="A1437" i="45" s="1"/>
  <c r="A1438" i="45" s="1"/>
  <c r="A1439" i="45" s="1"/>
  <c r="A1440" i="45" s="1"/>
  <c r="A1441" i="45" s="1"/>
  <c r="A1442" i="45" s="1"/>
  <c r="A1443" i="45" s="1"/>
  <c r="A1444" i="45" s="1"/>
  <c r="A1445" i="45" s="1"/>
  <c r="A1446" i="45" s="1"/>
  <c r="A1447" i="45" s="1"/>
  <c r="A1448" i="45" s="1"/>
  <c r="A1449" i="45" s="1"/>
  <c r="A1450" i="45" s="1"/>
  <c r="A1451" i="45" s="1"/>
  <c r="A1452" i="45" s="1"/>
  <c r="A1453" i="45" s="1"/>
  <c r="A1454" i="45" s="1"/>
  <c r="A1455" i="45" s="1"/>
  <c r="A1456" i="45" s="1"/>
  <c r="A1457" i="45" s="1"/>
  <c r="A1458" i="45" s="1"/>
  <c r="A1459" i="45" s="1"/>
  <c r="A1460" i="45" s="1"/>
  <c r="A1461" i="45" s="1"/>
  <c r="A1462" i="45" s="1"/>
  <c r="A1463" i="45" s="1"/>
  <c r="A1464" i="45" s="1"/>
  <c r="A1465" i="45" s="1"/>
  <c r="A1466" i="45" s="1"/>
  <c r="A1467" i="45" s="1"/>
  <c r="A1468" i="45" s="1"/>
  <c r="A1469" i="45" s="1"/>
  <c r="A1470" i="45" s="1"/>
  <c r="A1471" i="45" s="1"/>
  <c r="A1472" i="45" s="1"/>
  <c r="A1473" i="45" s="1"/>
  <c r="A1474" i="45" s="1"/>
  <c r="A1475" i="45" s="1"/>
  <c r="A1476" i="45" s="1"/>
  <c r="A1477" i="45" s="1"/>
  <c r="A1478" i="45" s="1"/>
  <c r="A1479" i="45" s="1"/>
  <c r="A1480" i="45" s="1"/>
  <c r="A1481" i="45" s="1"/>
  <c r="A1482" i="45" s="1"/>
  <c r="A1483" i="45" s="1"/>
  <c r="A1484" i="45" s="1"/>
  <c r="A1485" i="45" s="1"/>
  <c r="A1486" i="45" s="1"/>
  <c r="A1487" i="45" s="1"/>
  <c r="A1488" i="45" s="1"/>
  <c r="A1489" i="45" s="1"/>
  <c r="A1490" i="45" s="1"/>
  <c r="A1491" i="45" s="1"/>
  <c r="A1492" i="45" s="1"/>
  <c r="A1493" i="45" s="1"/>
  <c r="A1494" i="45" s="1"/>
  <c r="A1495" i="45" s="1"/>
  <c r="A1496" i="45" s="1"/>
  <c r="A1497" i="45" s="1"/>
  <c r="A1498" i="45" s="1"/>
  <c r="A1499" i="45" s="1"/>
  <c r="A1500" i="45" s="1"/>
  <c r="A1501" i="45" s="1"/>
  <c r="A1502" i="45" s="1"/>
  <c r="A1503" i="45" s="1"/>
  <c r="A1504" i="45" s="1"/>
  <c r="A1505" i="45" s="1"/>
  <c r="A1506" i="45" s="1"/>
  <c r="A1507" i="45" s="1"/>
  <c r="A1508" i="45" s="1"/>
  <c r="A1509" i="45" s="1"/>
  <c r="A1510" i="45" s="1"/>
  <c r="A1511" i="45" s="1"/>
  <c r="A1512" i="45" s="1"/>
  <c r="A1513" i="45" s="1"/>
  <c r="A1514" i="45" s="1"/>
  <c r="A1515" i="45" s="1"/>
  <c r="A1516" i="45" s="1"/>
  <c r="A1517" i="45" s="1"/>
  <c r="A1518" i="45" s="1"/>
  <c r="A1519" i="45" s="1"/>
  <c r="A1520" i="45" s="1"/>
  <c r="A1521" i="45" s="1"/>
  <c r="A1522" i="45" s="1"/>
  <c r="A1523" i="45" s="1"/>
  <c r="A1524" i="45" s="1"/>
  <c r="A1525" i="45" s="1"/>
  <c r="A1526" i="45" s="1"/>
  <c r="A1527" i="45" s="1"/>
  <c r="A1528" i="45" s="1"/>
  <c r="A1529" i="45" s="1"/>
  <c r="A1530" i="45" s="1"/>
  <c r="A1531" i="45" s="1"/>
  <c r="A1532" i="45" s="1"/>
  <c r="A1533" i="45" s="1"/>
  <c r="A1534" i="45" s="1"/>
  <c r="A1535" i="45" s="1"/>
  <c r="A1536" i="45" s="1"/>
  <c r="A1537" i="45" s="1"/>
  <c r="A1538" i="45" s="1"/>
  <c r="A1539" i="45" s="1"/>
  <c r="A1540" i="45" s="1"/>
  <c r="A1541" i="45" s="1"/>
  <c r="A1542" i="45" s="1"/>
  <c r="A1543" i="45" s="1"/>
  <c r="A1544" i="45" s="1"/>
  <c r="A1545" i="45" s="1"/>
  <c r="A1546" i="45" s="1"/>
  <c r="A1547" i="45" s="1"/>
  <c r="A1548" i="45" s="1"/>
  <c r="A1549" i="45" s="1"/>
  <c r="A1550" i="45" s="1"/>
  <c r="A1551" i="45" s="1"/>
  <c r="A1552" i="45" s="1"/>
  <c r="A1553" i="45" s="1"/>
  <c r="A1554" i="45" s="1"/>
  <c r="A1555" i="45" s="1"/>
  <c r="A1556" i="45" s="1"/>
  <c r="A1557" i="45" s="1"/>
  <c r="A1558" i="45" s="1"/>
  <c r="A1559" i="45" s="1"/>
  <c r="A1560" i="45" s="1"/>
  <c r="A1561" i="45" s="1"/>
  <c r="A1562" i="45" s="1"/>
  <c r="A1563" i="45" s="1"/>
  <c r="A1564" i="45" s="1"/>
  <c r="A1565" i="45" s="1"/>
  <c r="A1566" i="45" s="1"/>
  <c r="A1567" i="45" s="1"/>
  <c r="A1568" i="45" s="1"/>
  <c r="A1569" i="45" s="1"/>
  <c r="A1570" i="45" s="1"/>
  <c r="A1571" i="45" s="1"/>
  <c r="A1572" i="45" s="1"/>
  <c r="A1573" i="45" s="1"/>
  <c r="A1574" i="45" s="1"/>
  <c r="A1575" i="45" s="1"/>
  <c r="A1576" i="45" s="1"/>
  <c r="A1577" i="45" s="1"/>
  <c r="A1578" i="45" s="1"/>
  <c r="A1579" i="45" s="1"/>
  <c r="A1580" i="45" s="1"/>
  <c r="A1581" i="45" s="1"/>
  <c r="A1582" i="45" s="1"/>
  <c r="A1583" i="45" s="1"/>
  <c r="A1584" i="45" s="1"/>
  <c r="A1585" i="45" s="1"/>
  <c r="A1586" i="45" s="1"/>
  <c r="A1587" i="45" s="1"/>
  <c r="A1588" i="45" s="1"/>
  <c r="A1589" i="45" s="1"/>
  <c r="A1590" i="45" s="1"/>
  <c r="A1591" i="45" s="1"/>
  <c r="A1592" i="45" s="1"/>
  <c r="A1593" i="45" s="1"/>
  <c r="A1594" i="45" s="1"/>
  <c r="A1595" i="45" s="1"/>
  <c r="A1596" i="45" s="1"/>
  <c r="A1597" i="45" s="1"/>
  <c r="A1598" i="45" s="1"/>
  <c r="A1599" i="45" s="1"/>
  <c r="A1600" i="45" s="1"/>
  <c r="A1601" i="45" s="1"/>
  <c r="A1602" i="45" s="1"/>
  <c r="A1603" i="45" s="1"/>
  <c r="A1604" i="45" s="1"/>
  <c r="A1605" i="45" s="1"/>
  <c r="A1606" i="45" s="1"/>
  <c r="A1607" i="45" s="1"/>
  <c r="A1608" i="45" s="1"/>
  <c r="A1609" i="45" s="1"/>
  <c r="A1610" i="45" s="1"/>
  <c r="A1611" i="45" s="1"/>
  <c r="A1612" i="45" s="1"/>
  <c r="A1613" i="45" s="1"/>
  <c r="A1614" i="45" s="1"/>
  <c r="A1615" i="45" s="1"/>
  <c r="A1616" i="45" s="1"/>
  <c r="A1617" i="45" s="1"/>
  <c r="A1618" i="45" s="1"/>
  <c r="A1619" i="45" s="1"/>
  <c r="A1620" i="45" s="1"/>
  <c r="A1621" i="45" s="1"/>
  <c r="A1622" i="45" s="1"/>
  <c r="A1623" i="45" s="1"/>
  <c r="A1624" i="45" s="1"/>
  <c r="A1625" i="45" s="1"/>
  <c r="A1626" i="45" s="1"/>
  <c r="A1627" i="45" s="1"/>
  <c r="A1628" i="45" s="1"/>
  <c r="A1629" i="45" s="1"/>
  <c r="A1630" i="45" s="1"/>
  <c r="A1631" i="45" s="1"/>
  <c r="A1632" i="45" s="1"/>
  <c r="A1633" i="45" s="1"/>
  <c r="A1634" i="45" s="1"/>
  <c r="A1635" i="45" s="1"/>
  <c r="A1636" i="45" s="1"/>
  <c r="A1637" i="45" s="1"/>
  <c r="A1638" i="45" s="1"/>
  <c r="A1639" i="45" s="1"/>
  <c r="A1640" i="45" s="1"/>
  <c r="A1641" i="45" s="1"/>
  <c r="A1642" i="45" s="1"/>
  <c r="A1643" i="45" s="1"/>
  <c r="A1644" i="45" s="1"/>
  <c r="A1645" i="45" s="1"/>
  <c r="A1646" i="45" s="1"/>
  <c r="A1647" i="45" s="1"/>
  <c r="A1648" i="45" s="1"/>
  <c r="A1649" i="45" s="1"/>
  <c r="A1650" i="45" s="1"/>
  <c r="A1651" i="45" s="1"/>
  <c r="A1652" i="45" s="1"/>
  <c r="A1653" i="45" s="1"/>
  <c r="A1654" i="45" s="1"/>
  <c r="A1655" i="45" s="1"/>
  <c r="A1656" i="45" s="1"/>
  <c r="A1657" i="45" s="1"/>
  <c r="A1658" i="45" s="1"/>
  <c r="A1659" i="45" s="1"/>
  <c r="A1660" i="45" s="1"/>
  <c r="A1661" i="45" s="1"/>
  <c r="A1662" i="45" s="1"/>
  <c r="A1663" i="45" s="1"/>
  <c r="A1664" i="45" s="1"/>
  <c r="A1665" i="45" s="1"/>
  <c r="A1666" i="45" s="1"/>
  <c r="A1667" i="45" s="1"/>
  <c r="A1668" i="45" s="1"/>
  <c r="A1669" i="45" s="1"/>
  <c r="A1670" i="45" s="1"/>
  <c r="A1671" i="45" s="1"/>
  <c r="A1672" i="45" s="1"/>
  <c r="A1673" i="45" s="1"/>
  <c r="A1674" i="45" s="1"/>
  <c r="A1675" i="45" s="1"/>
  <c r="A1676" i="45" s="1"/>
  <c r="A1677" i="45" s="1"/>
  <c r="A1678" i="45" s="1"/>
  <c r="A1679" i="45" s="1"/>
  <c r="A1680" i="45" s="1"/>
  <c r="A1681" i="45" s="1"/>
  <c r="A1682" i="45" s="1"/>
  <c r="A1683" i="45" s="1"/>
  <c r="A1684" i="45" s="1"/>
  <c r="A1685" i="45" s="1"/>
  <c r="A1686" i="45" s="1"/>
  <c r="A1687" i="45" s="1"/>
  <c r="A1688" i="45" s="1"/>
  <c r="A1689" i="45" s="1"/>
  <c r="A1690" i="45" s="1"/>
  <c r="A1691" i="45" s="1"/>
  <c r="A1692" i="45" s="1"/>
  <c r="A1693" i="45" s="1"/>
  <c r="A1694" i="45" s="1"/>
  <c r="A1695" i="45" s="1"/>
  <c r="A1696" i="45" s="1"/>
  <c r="A1697" i="45" s="1"/>
  <c r="A1698" i="45" s="1"/>
  <c r="A1699" i="45" s="1"/>
  <c r="A1700" i="45" s="1"/>
  <c r="A1701" i="45" s="1"/>
  <c r="A1702" i="45" s="1"/>
  <c r="A1703" i="45" s="1"/>
  <c r="A1704" i="45" s="1"/>
  <c r="A1705" i="45" s="1"/>
  <c r="A1706" i="45" s="1"/>
  <c r="A1707" i="45" s="1"/>
  <c r="A1708" i="45" s="1"/>
  <c r="A1709" i="45" s="1"/>
  <c r="A1710" i="45" s="1"/>
  <c r="A1711" i="45" s="1"/>
  <c r="A1712" i="45" s="1"/>
  <c r="A1713" i="45" s="1"/>
  <c r="A1714" i="45" s="1"/>
  <c r="A1715" i="45" s="1"/>
  <c r="A1716" i="45" s="1"/>
  <c r="A1717" i="45" s="1"/>
  <c r="A1718" i="45" s="1"/>
  <c r="A1719" i="45" s="1"/>
  <c r="A1720" i="45" s="1"/>
  <c r="A1721" i="45" s="1"/>
  <c r="A1722" i="45" s="1"/>
  <c r="A1723" i="45" s="1"/>
  <c r="A1724" i="45" s="1"/>
  <c r="A1725" i="45" s="1"/>
  <c r="A1726" i="45" s="1"/>
  <c r="A1727" i="45" s="1"/>
  <c r="A1728" i="45" s="1"/>
  <c r="A1729" i="45" s="1"/>
  <c r="A1730" i="45" s="1"/>
  <c r="A1731" i="45" s="1"/>
  <c r="A1732" i="45" s="1"/>
  <c r="A1733" i="45" s="1"/>
  <c r="A1734" i="45" s="1"/>
  <c r="A1735" i="45" s="1"/>
  <c r="A1736" i="45" s="1"/>
  <c r="A1737" i="45" s="1"/>
  <c r="A1738" i="45" s="1"/>
  <c r="A1739" i="45" s="1"/>
  <c r="A1740" i="45" s="1"/>
  <c r="A1741" i="45" s="1"/>
  <c r="A1742" i="45" s="1"/>
  <c r="A1743" i="45" s="1"/>
  <c r="A1744" i="45" s="1"/>
  <c r="A1745" i="45" s="1"/>
  <c r="A1746" i="45" s="1"/>
  <c r="A1747" i="45" s="1"/>
  <c r="A1748" i="45" s="1"/>
  <c r="A1749" i="45" s="1"/>
  <c r="A1750" i="45" s="1"/>
  <c r="A1751" i="45" s="1"/>
  <c r="A1752" i="45" s="1"/>
  <c r="A1753" i="45" s="1"/>
  <c r="A1754" i="45" s="1"/>
  <c r="A1755" i="45" s="1"/>
  <c r="A1756" i="45" s="1"/>
  <c r="A1757" i="45" s="1"/>
  <c r="A1758" i="45" s="1"/>
  <c r="A1759" i="45" s="1"/>
  <c r="A1760" i="45" s="1"/>
  <c r="A1761" i="45" s="1"/>
  <c r="A1762" i="45" s="1"/>
  <c r="A1763" i="45" s="1"/>
  <c r="A1764" i="45" s="1"/>
  <c r="A1765" i="45" s="1"/>
  <c r="A1766" i="45" s="1"/>
  <c r="A1767" i="45" s="1"/>
  <c r="A1768" i="45" s="1"/>
  <c r="A1769" i="45" s="1"/>
  <c r="A1770" i="45" s="1"/>
  <c r="A1771" i="45" s="1"/>
  <c r="A1772" i="45" s="1"/>
  <c r="A1773" i="45" s="1"/>
  <c r="A1774" i="45" s="1"/>
  <c r="A1775" i="45" s="1"/>
  <c r="A1776" i="45" s="1"/>
  <c r="A1777" i="45" s="1"/>
  <c r="A1778" i="45" s="1"/>
  <c r="A1779" i="45" s="1"/>
  <c r="A1780" i="45" s="1"/>
  <c r="A1781" i="45" s="1"/>
  <c r="A1782" i="45" s="1"/>
  <c r="A1783" i="45" s="1"/>
  <c r="A1784" i="45" s="1"/>
  <c r="A1785" i="45" s="1"/>
  <c r="A1786" i="45" s="1"/>
  <c r="A1787" i="45" s="1"/>
  <c r="A1788" i="45" s="1"/>
  <c r="A1789" i="45" s="1"/>
  <c r="A1790" i="45" s="1"/>
  <c r="A1791" i="45" s="1"/>
  <c r="A1792" i="45" s="1"/>
  <c r="A1793" i="45" s="1"/>
  <c r="A1794" i="45" s="1"/>
  <c r="A1795" i="45" s="1"/>
  <c r="A1796" i="45" s="1"/>
  <c r="A1797" i="45" s="1"/>
  <c r="A1798" i="45" s="1"/>
  <c r="A1799" i="45" s="1"/>
  <c r="A1800" i="45" s="1"/>
  <c r="A1801" i="45" s="1"/>
  <c r="A1802" i="45" s="1"/>
  <c r="A1803" i="45" s="1"/>
  <c r="A1804" i="45" s="1"/>
  <c r="A1805" i="45" s="1"/>
  <c r="A1806" i="45" s="1"/>
  <c r="A1807" i="45" s="1"/>
  <c r="A1808" i="45" s="1"/>
  <c r="A1809" i="45" s="1"/>
  <c r="A1810" i="45" s="1"/>
  <c r="A1811" i="45" s="1"/>
  <c r="A1812" i="45" s="1"/>
  <c r="A1813" i="45" s="1"/>
  <c r="A1814" i="45" s="1"/>
  <c r="A1815" i="45" s="1"/>
  <c r="A1816" i="45" s="1"/>
  <c r="A1817" i="45" s="1"/>
  <c r="A1818" i="45" s="1"/>
  <c r="A1819" i="45" s="1"/>
  <c r="A1820" i="45" s="1"/>
  <c r="A1821" i="45" s="1"/>
  <c r="A1822" i="45" s="1"/>
  <c r="A1823" i="45" s="1"/>
  <c r="A1824" i="45" s="1"/>
  <c r="A1825" i="45" s="1"/>
  <c r="A1826" i="45" s="1"/>
  <c r="A1827" i="45" s="1"/>
  <c r="A1828" i="45" s="1"/>
  <c r="A1829" i="45" s="1"/>
  <c r="A1830" i="45" s="1"/>
  <c r="A1831" i="45" s="1"/>
  <c r="A1832" i="45" s="1"/>
  <c r="A1833" i="45" s="1"/>
  <c r="A1834" i="45" s="1"/>
  <c r="A1835" i="45" s="1"/>
  <c r="A1836" i="45" s="1"/>
  <c r="A1837" i="45" s="1"/>
  <c r="A1838" i="45" s="1"/>
  <c r="A1839" i="45" s="1"/>
  <c r="A1840" i="45" s="1"/>
  <c r="A1841" i="45" s="1"/>
  <c r="A1842" i="45" s="1"/>
  <c r="A1843" i="45" s="1"/>
  <c r="A1844" i="45" s="1"/>
  <c r="A1845" i="45" s="1"/>
  <c r="A1846" i="45" s="1"/>
  <c r="A1847" i="45" s="1"/>
  <c r="A1848" i="45" s="1"/>
  <c r="A1849" i="45" s="1"/>
  <c r="A1850" i="45" s="1"/>
  <c r="A1851" i="45" s="1"/>
  <c r="A1852" i="45" s="1"/>
  <c r="A1853" i="45" s="1"/>
  <c r="A1854" i="45" s="1"/>
  <c r="A1855" i="45" s="1"/>
  <c r="A1856" i="45" s="1"/>
  <c r="A1857" i="45" s="1"/>
  <c r="A1858" i="45" s="1"/>
  <c r="A1859" i="45" s="1"/>
  <c r="A1860" i="45" s="1"/>
  <c r="A1861" i="45" s="1"/>
  <c r="A1862" i="45" s="1"/>
  <c r="A1863" i="45" s="1"/>
  <c r="A1864" i="45" s="1"/>
  <c r="A1865" i="45" s="1"/>
  <c r="A1866" i="45" s="1"/>
  <c r="A1867" i="45" s="1"/>
  <c r="A1868" i="45" s="1"/>
  <c r="A1869" i="45" s="1"/>
  <c r="A1870" i="45" s="1"/>
  <c r="A1871" i="45" s="1"/>
  <c r="A1872" i="45" s="1"/>
  <c r="A1873" i="45" s="1"/>
  <c r="A1874" i="45" s="1"/>
  <c r="A1875" i="45" s="1"/>
  <c r="A1876" i="45" s="1"/>
  <c r="A1877" i="45" s="1"/>
  <c r="A1878" i="45" s="1"/>
  <c r="A1879" i="45" s="1"/>
  <c r="A1880" i="45" s="1"/>
  <c r="A1881" i="45" s="1"/>
  <c r="A1882" i="45" s="1"/>
  <c r="A1883" i="45" s="1"/>
  <c r="A1884" i="45" s="1"/>
  <c r="A1885" i="45" s="1"/>
  <c r="A1886" i="45" s="1"/>
  <c r="A1887" i="45" s="1"/>
  <c r="A1888" i="45" s="1"/>
  <c r="A1889" i="45" s="1"/>
  <c r="A1890" i="45" s="1"/>
  <c r="A1891" i="45" s="1"/>
  <c r="A1892" i="45" s="1"/>
  <c r="A1893" i="45" s="1"/>
  <c r="A1894" i="45" s="1"/>
  <c r="A1895" i="45" s="1"/>
  <c r="A1896" i="45" s="1"/>
  <c r="A1897" i="45" s="1"/>
  <c r="A1898" i="45" s="1"/>
  <c r="A1899" i="45" s="1"/>
  <c r="A1900" i="45" s="1"/>
  <c r="A1901" i="45" s="1"/>
  <c r="A1902" i="45" s="1"/>
  <c r="A1903" i="45" s="1"/>
  <c r="A1904" i="45" s="1"/>
  <c r="A1905" i="45" s="1"/>
  <c r="A1906" i="45" s="1"/>
  <c r="A1907" i="45" s="1"/>
  <c r="A1908" i="45" s="1"/>
  <c r="A1909" i="45" s="1"/>
  <c r="A1910" i="45" s="1"/>
  <c r="A1911" i="45" s="1"/>
  <c r="A1912" i="45" s="1"/>
  <c r="A1913" i="45" s="1"/>
  <c r="A1914" i="45" s="1"/>
  <c r="A1915" i="45" s="1"/>
  <c r="A1916" i="45" s="1"/>
  <c r="A1917" i="45" s="1"/>
  <c r="A1918" i="45" s="1"/>
  <c r="A1919" i="45" s="1"/>
  <c r="A1920" i="45" s="1"/>
  <c r="A1921" i="45" s="1"/>
  <c r="A1922" i="45" s="1"/>
  <c r="A1923" i="45" s="1"/>
  <c r="A1924" i="45" s="1"/>
  <c r="A1925" i="45" s="1"/>
  <c r="A1926" i="45" s="1"/>
  <c r="A1927" i="45" s="1"/>
  <c r="A1928" i="45" s="1"/>
  <c r="A1929" i="45" s="1"/>
  <c r="A1930" i="45" s="1"/>
  <c r="A1931" i="45" s="1"/>
  <c r="A1932" i="45" s="1"/>
  <c r="A1933" i="45" s="1"/>
  <c r="A1934" i="45" s="1"/>
  <c r="A1935" i="45" s="1"/>
  <c r="A1936" i="45" s="1"/>
  <c r="A1937" i="45" s="1"/>
  <c r="A1938" i="45" s="1"/>
  <c r="A1939" i="45" s="1"/>
  <c r="A1940" i="45" s="1"/>
  <c r="A1941" i="45" s="1"/>
  <c r="A1942" i="45" s="1"/>
  <c r="A1943" i="45" s="1"/>
  <c r="A1944" i="45" s="1"/>
  <c r="A1945" i="45" s="1"/>
  <c r="A1946" i="45" s="1"/>
  <c r="A1947" i="45" s="1"/>
  <c r="A1948" i="45" s="1"/>
  <c r="A1949" i="45" s="1"/>
  <c r="A1950" i="45" s="1"/>
  <c r="A1951" i="45" s="1"/>
  <c r="A1952" i="45" s="1"/>
  <c r="A1953" i="45" s="1"/>
  <c r="A1954" i="45" s="1"/>
  <c r="A1955" i="45" s="1"/>
  <c r="A1956" i="45" s="1"/>
  <c r="A1957" i="45" s="1"/>
  <c r="A1958" i="45" s="1"/>
  <c r="A1959" i="45" s="1"/>
  <c r="A1960" i="45" s="1"/>
  <c r="A1961" i="45" s="1"/>
  <c r="A1962" i="45" s="1"/>
  <c r="A1963" i="45" s="1"/>
  <c r="A1964" i="45" s="1"/>
  <c r="A1965" i="45" s="1"/>
  <c r="A1966" i="45" s="1"/>
  <c r="A1967" i="45" s="1"/>
  <c r="A1968" i="45" s="1"/>
  <c r="A1969" i="45" s="1"/>
  <c r="A1970" i="45" s="1"/>
  <c r="A1971" i="45" s="1"/>
  <c r="A1972" i="45" s="1"/>
  <c r="A1973" i="45" s="1"/>
  <c r="A1974" i="45" s="1"/>
  <c r="A1975" i="45" s="1"/>
  <c r="A1976" i="45" s="1"/>
  <c r="A1977" i="45" s="1"/>
  <c r="A1978" i="45" s="1"/>
  <c r="A1979" i="45" s="1"/>
  <c r="A1980" i="45" s="1"/>
  <c r="A1981" i="45" s="1"/>
  <c r="A1982" i="45" s="1"/>
  <c r="A1983" i="45" s="1"/>
  <c r="A1984" i="45" s="1"/>
  <c r="A1985" i="45" s="1"/>
  <c r="A1986" i="45" s="1"/>
  <c r="A1987" i="45" s="1"/>
  <c r="A1988" i="45" s="1"/>
  <c r="A1989" i="45" s="1"/>
  <c r="A1990" i="45" s="1"/>
  <c r="A1991" i="45" s="1"/>
  <c r="A1992" i="45" s="1"/>
  <c r="A1993" i="45" s="1"/>
  <c r="A1994" i="45" s="1"/>
  <c r="A1995" i="45" s="1"/>
  <c r="A1996" i="45" s="1"/>
  <c r="A1997" i="45" s="1"/>
  <c r="A1998" i="45" s="1"/>
  <c r="A1999" i="45" s="1"/>
  <c r="A2000" i="45" s="1"/>
  <c r="A2001" i="45" s="1"/>
  <c r="A2002" i="45" s="1"/>
  <c r="A2003" i="45" s="1"/>
  <c r="A2004" i="45" s="1"/>
  <c r="A2005" i="45" s="1"/>
  <c r="A2006" i="45" s="1"/>
  <c r="A2007" i="45" s="1"/>
  <c r="A2008" i="45" s="1"/>
  <c r="A2009" i="45" s="1"/>
  <c r="A2010" i="45" s="1"/>
  <c r="A2011" i="45" s="1"/>
  <c r="A2012" i="45" s="1"/>
  <c r="A2013" i="45" s="1"/>
  <c r="A2014" i="45" s="1"/>
  <c r="A2015" i="45" s="1"/>
  <c r="A2016" i="45" s="1"/>
  <c r="A2017" i="45" s="1"/>
  <c r="A2018" i="45" s="1"/>
  <c r="A2019" i="45" s="1"/>
  <c r="A2020" i="45" s="1"/>
  <c r="A2021" i="45" s="1"/>
  <c r="A2022" i="45" s="1"/>
  <c r="A2023" i="45" s="1"/>
  <c r="A2024" i="45" s="1"/>
  <c r="A2025" i="45" s="1"/>
  <c r="A2026" i="45" s="1"/>
  <c r="A2027" i="45" s="1"/>
  <c r="A2028" i="45" s="1"/>
  <c r="A2029" i="45" s="1"/>
  <c r="A2030" i="45" s="1"/>
  <c r="A2031" i="45" s="1"/>
  <c r="A2032" i="45" s="1"/>
  <c r="A2033" i="45" s="1"/>
  <c r="A2034" i="45" s="1"/>
  <c r="A2035" i="45" s="1"/>
  <c r="A2036" i="45" s="1"/>
  <c r="A2037" i="45" s="1"/>
  <c r="A2038" i="45" s="1"/>
  <c r="A2039" i="45" s="1"/>
  <c r="E3" i="45"/>
  <c r="G3" i="45"/>
  <c r="E4" i="45"/>
  <c r="G4" i="45"/>
  <c r="E5" i="45"/>
  <c r="G5" i="45"/>
  <c r="E6" i="45"/>
  <c r="G6" i="45"/>
  <c r="E7" i="45"/>
  <c r="G7" i="45"/>
  <c r="E8" i="45"/>
  <c r="G8" i="45"/>
  <c r="E9" i="45"/>
  <c r="G9" i="45"/>
  <c r="E10" i="45"/>
  <c r="G10" i="45"/>
  <c r="E11" i="45"/>
  <c r="G11" i="45"/>
  <c r="E12" i="45"/>
  <c r="G12" i="45"/>
  <c r="E13" i="45"/>
  <c r="G13" i="45"/>
  <c r="E14" i="45"/>
  <c r="G14" i="45"/>
  <c r="E15" i="45"/>
  <c r="G15" i="45"/>
  <c r="E16" i="45"/>
  <c r="G16" i="45"/>
  <c r="E17" i="45"/>
  <c r="G17" i="45"/>
  <c r="E18" i="45"/>
  <c r="G18" i="45"/>
  <c r="E19" i="45"/>
  <c r="G19" i="45"/>
  <c r="E20" i="45"/>
  <c r="G20" i="45"/>
  <c r="E21" i="45"/>
  <c r="G21" i="45"/>
  <c r="E22" i="45"/>
  <c r="G22" i="45"/>
  <c r="E23" i="45"/>
  <c r="G23" i="45"/>
  <c r="E24" i="45"/>
  <c r="G24" i="45"/>
  <c r="E25" i="45"/>
  <c r="G25" i="45"/>
  <c r="E26" i="45"/>
  <c r="G26" i="45"/>
  <c r="E27" i="45"/>
  <c r="G27" i="45"/>
  <c r="E28" i="45"/>
  <c r="G28" i="45"/>
  <c r="E29" i="45"/>
  <c r="G29" i="45"/>
  <c r="E30" i="45"/>
  <c r="G30" i="45"/>
  <c r="E31" i="45"/>
  <c r="G31" i="45"/>
  <c r="E32" i="45"/>
  <c r="G32" i="45"/>
  <c r="E33" i="45"/>
  <c r="G33" i="45"/>
  <c r="E34" i="45"/>
  <c r="G34" i="45"/>
  <c r="E35" i="45"/>
  <c r="G35" i="45"/>
  <c r="E36" i="45"/>
  <c r="G36" i="45"/>
  <c r="E37" i="45"/>
  <c r="G37" i="45"/>
  <c r="E38" i="45"/>
  <c r="G38" i="45"/>
  <c r="E39" i="45"/>
  <c r="G39" i="45"/>
  <c r="E40" i="45"/>
  <c r="G40" i="45"/>
  <c r="E41" i="45"/>
  <c r="G41" i="45"/>
  <c r="E42" i="45"/>
  <c r="G42" i="45"/>
  <c r="E43" i="45"/>
  <c r="G43" i="45"/>
  <c r="E44" i="45"/>
  <c r="G44" i="45"/>
  <c r="E45" i="45"/>
  <c r="G45" i="45"/>
  <c r="E46" i="45"/>
  <c r="G46" i="45"/>
  <c r="E47" i="45"/>
  <c r="G47" i="45"/>
  <c r="E48" i="45"/>
  <c r="G48" i="45"/>
  <c r="E49" i="45"/>
  <c r="G49" i="45"/>
  <c r="E50" i="45"/>
  <c r="G50" i="45"/>
  <c r="E51" i="45"/>
  <c r="G51" i="45"/>
  <c r="E52" i="45"/>
  <c r="G52" i="45"/>
  <c r="E53" i="45"/>
  <c r="G53" i="45"/>
  <c r="E54" i="45"/>
  <c r="G54" i="45"/>
  <c r="E55" i="45"/>
  <c r="G55" i="45"/>
  <c r="E56" i="45"/>
  <c r="G56" i="45"/>
  <c r="E57" i="45"/>
  <c r="G57" i="45"/>
  <c r="E58" i="45"/>
  <c r="G58" i="45"/>
  <c r="E59" i="45"/>
  <c r="G59" i="45"/>
  <c r="E60" i="45"/>
  <c r="G60" i="45"/>
  <c r="E61" i="45"/>
  <c r="G61" i="45"/>
  <c r="E62" i="45"/>
  <c r="G62" i="45"/>
  <c r="E63" i="45"/>
  <c r="G63" i="45"/>
  <c r="E64" i="45"/>
  <c r="G64" i="45"/>
  <c r="E65" i="45"/>
  <c r="G65" i="45"/>
  <c r="E66" i="45"/>
  <c r="G66" i="45"/>
  <c r="E67" i="45"/>
  <c r="G67" i="45"/>
  <c r="E68" i="45"/>
  <c r="G68" i="45"/>
  <c r="E69" i="45"/>
  <c r="G69" i="45"/>
  <c r="E70" i="45"/>
  <c r="G70" i="45"/>
  <c r="E71" i="45"/>
  <c r="G71" i="45"/>
  <c r="E72" i="45"/>
  <c r="G72" i="45"/>
  <c r="E73" i="45"/>
  <c r="G73" i="45"/>
  <c r="E74" i="45"/>
  <c r="G74" i="45"/>
  <c r="E75" i="45"/>
  <c r="G75" i="45"/>
  <c r="E76" i="45"/>
  <c r="G76" i="45"/>
  <c r="E77" i="45"/>
  <c r="G77" i="45"/>
  <c r="E78" i="45"/>
  <c r="G78" i="45"/>
  <c r="E79" i="45"/>
  <c r="G79" i="45"/>
  <c r="E80" i="45"/>
  <c r="G80" i="45"/>
  <c r="E81" i="45"/>
  <c r="G81" i="45"/>
  <c r="E82" i="45"/>
  <c r="G82" i="45"/>
  <c r="E83" i="45"/>
  <c r="G83" i="45"/>
  <c r="E84" i="45"/>
  <c r="G84" i="45"/>
  <c r="E85" i="45"/>
  <c r="G85" i="45"/>
  <c r="E86" i="45"/>
  <c r="G86" i="45"/>
  <c r="E87" i="45"/>
  <c r="G87" i="45"/>
  <c r="E88" i="45"/>
  <c r="G88" i="45"/>
  <c r="E89" i="45"/>
  <c r="G89" i="45"/>
  <c r="E90" i="45"/>
  <c r="G90" i="45"/>
  <c r="E91" i="45"/>
  <c r="G91" i="45"/>
  <c r="E92" i="45"/>
  <c r="G92" i="45"/>
  <c r="E93" i="45"/>
  <c r="G93" i="45"/>
  <c r="E94" i="45"/>
  <c r="G94" i="45"/>
  <c r="E95" i="45"/>
  <c r="G95" i="45"/>
  <c r="E96" i="45"/>
  <c r="G96" i="45"/>
  <c r="E97" i="45"/>
  <c r="G97" i="45"/>
  <c r="E98" i="45"/>
  <c r="G98" i="45"/>
  <c r="E99" i="45"/>
  <c r="G99" i="45"/>
  <c r="E100" i="45"/>
  <c r="G100" i="45"/>
  <c r="E101" i="45"/>
  <c r="G101" i="45"/>
  <c r="E102" i="45"/>
  <c r="G102" i="45"/>
  <c r="E103" i="45"/>
  <c r="G103" i="45"/>
  <c r="E104" i="45"/>
  <c r="G104" i="45"/>
  <c r="E105" i="45"/>
  <c r="G105" i="45"/>
  <c r="E106" i="45"/>
  <c r="G106" i="45"/>
  <c r="E107" i="45"/>
  <c r="G107" i="45"/>
  <c r="E108" i="45"/>
  <c r="G108" i="45"/>
  <c r="E109" i="45"/>
  <c r="G109" i="45"/>
  <c r="E110" i="45"/>
  <c r="G110" i="45"/>
  <c r="E111" i="45"/>
  <c r="G111" i="45"/>
  <c r="E112" i="45"/>
  <c r="G112" i="45"/>
  <c r="E113" i="45"/>
  <c r="G113" i="45"/>
  <c r="E114" i="45"/>
  <c r="G114" i="45"/>
  <c r="E115" i="45"/>
  <c r="G115" i="45"/>
  <c r="E116" i="45"/>
  <c r="G116" i="45"/>
  <c r="E117" i="45"/>
  <c r="G117" i="45"/>
  <c r="E118" i="45"/>
  <c r="G118" i="45"/>
  <c r="E119" i="45"/>
  <c r="G119" i="45"/>
  <c r="E120" i="45"/>
  <c r="G120" i="45"/>
  <c r="E121" i="45"/>
  <c r="G121" i="45"/>
  <c r="E122" i="45"/>
  <c r="G122" i="45"/>
  <c r="E123" i="45"/>
  <c r="G123" i="45"/>
  <c r="E124" i="45"/>
  <c r="G124" i="45"/>
  <c r="E125" i="45"/>
  <c r="G125" i="45"/>
  <c r="E126" i="45"/>
  <c r="G126" i="45"/>
  <c r="E127" i="45"/>
  <c r="G127" i="45"/>
  <c r="E128" i="45"/>
  <c r="G128" i="45"/>
  <c r="E129" i="45"/>
  <c r="G129" i="45"/>
  <c r="E130" i="45"/>
  <c r="G130" i="45"/>
  <c r="E131" i="45"/>
  <c r="G131" i="45"/>
  <c r="E132" i="45"/>
  <c r="G132" i="45"/>
  <c r="E133" i="45"/>
  <c r="G133" i="45"/>
  <c r="E134" i="45"/>
  <c r="G134" i="45"/>
  <c r="E135" i="45"/>
  <c r="G135" i="45"/>
  <c r="E136" i="45"/>
  <c r="G136" i="45"/>
  <c r="E137" i="45"/>
  <c r="G137" i="45"/>
  <c r="E138" i="45"/>
  <c r="G138" i="45"/>
  <c r="E139" i="45"/>
  <c r="G139" i="45"/>
  <c r="E140" i="45"/>
  <c r="G140" i="45"/>
  <c r="E141" i="45"/>
  <c r="G141" i="45"/>
  <c r="E142" i="45"/>
  <c r="G142" i="45"/>
  <c r="E143" i="45"/>
  <c r="G143" i="45"/>
  <c r="E144" i="45"/>
  <c r="G144" i="45"/>
  <c r="E145" i="45"/>
  <c r="G145" i="45"/>
  <c r="E146" i="45"/>
  <c r="G146" i="45"/>
  <c r="E147" i="45"/>
  <c r="G147" i="45"/>
  <c r="E148" i="45"/>
  <c r="G148" i="45"/>
  <c r="E149" i="45"/>
  <c r="G149" i="45"/>
  <c r="E150" i="45"/>
  <c r="G150" i="45"/>
  <c r="E151" i="45"/>
  <c r="G151" i="45"/>
  <c r="E152" i="45"/>
  <c r="G152" i="45"/>
  <c r="E153" i="45"/>
  <c r="G153" i="45"/>
  <c r="E154" i="45"/>
  <c r="G154" i="45"/>
  <c r="E155" i="45"/>
  <c r="G155" i="45"/>
  <c r="E156" i="45"/>
  <c r="G156" i="45"/>
  <c r="E157" i="45"/>
  <c r="G157" i="45"/>
  <c r="E158" i="45"/>
  <c r="G158" i="45"/>
  <c r="E159" i="45"/>
  <c r="G159" i="45"/>
  <c r="E160" i="45"/>
  <c r="G160" i="45"/>
  <c r="E161" i="45"/>
  <c r="G161" i="45"/>
  <c r="E162" i="45"/>
  <c r="G162" i="45"/>
  <c r="E163" i="45"/>
  <c r="G163" i="45"/>
  <c r="E164" i="45"/>
  <c r="G164" i="45"/>
  <c r="E165" i="45"/>
  <c r="G165" i="45"/>
  <c r="E166" i="45"/>
  <c r="G166" i="45"/>
  <c r="E167" i="45"/>
  <c r="G167" i="45"/>
  <c r="E168" i="45"/>
  <c r="G168" i="45"/>
  <c r="E169" i="45"/>
  <c r="G169" i="45"/>
  <c r="E170" i="45"/>
  <c r="G170" i="45"/>
  <c r="E171" i="45"/>
  <c r="G171" i="45"/>
  <c r="E172" i="45"/>
  <c r="G172" i="45"/>
  <c r="E173" i="45"/>
  <c r="G173" i="45"/>
  <c r="E174" i="45"/>
  <c r="G174" i="45"/>
  <c r="E175" i="45"/>
  <c r="G175" i="45"/>
  <c r="E176" i="45"/>
  <c r="G176" i="45"/>
  <c r="E177" i="45"/>
  <c r="G177" i="45"/>
  <c r="E178" i="45"/>
  <c r="G178" i="45"/>
  <c r="E179" i="45"/>
  <c r="G179" i="45"/>
  <c r="E180" i="45"/>
  <c r="G180" i="45"/>
  <c r="E181" i="45"/>
  <c r="G181" i="45"/>
  <c r="E182" i="45"/>
  <c r="G182" i="45"/>
  <c r="E183" i="45"/>
  <c r="G183" i="45"/>
  <c r="E184" i="45"/>
  <c r="G184" i="45"/>
  <c r="E185" i="45"/>
  <c r="G185" i="45"/>
  <c r="E186" i="45"/>
  <c r="G186" i="45"/>
  <c r="E187" i="45"/>
  <c r="G187" i="45"/>
  <c r="E188" i="45"/>
  <c r="G188" i="45"/>
  <c r="E189" i="45"/>
  <c r="G189" i="45"/>
  <c r="E190" i="45"/>
  <c r="G190" i="45"/>
  <c r="E191" i="45"/>
  <c r="G191" i="45"/>
  <c r="E192" i="45"/>
  <c r="G192" i="45"/>
  <c r="E193" i="45"/>
  <c r="G193" i="45"/>
  <c r="E194" i="45"/>
  <c r="G194" i="45"/>
  <c r="E195" i="45"/>
  <c r="G195" i="45"/>
  <c r="E196" i="45"/>
  <c r="G196" i="45"/>
  <c r="E197" i="45"/>
  <c r="G197" i="45"/>
  <c r="E198" i="45"/>
  <c r="G198" i="45"/>
  <c r="E199" i="45"/>
  <c r="G199" i="45"/>
  <c r="E200" i="45"/>
  <c r="G200" i="45"/>
  <c r="E201" i="45"/>
  <c r="G201" i="45"/>
  <c r="E202" i="45"/>
  <c r="G202" i="45"/>
  <c r="E203" i="45"/>
  <c r="G203" i="45"/>
  <c r="E204" i="45"/>
  <c r="G204" i="45"/>
  <c r="E205" i="45"/>
  <c r="G205" i="45"/>
  <c r="E206" i="45"/>
  <c r="G206" i="45"/>
  <c r="E207" i="45"/>
  <c r="G207" i="45"/>
  <c r="E208" i="45"/>
  <c r="G208" i="45"/>
  <c r="E209" i="45"/>
  <c r="G209" i="45"/>
  <c r="E210" i="45"/>
  <c r="G210" i="45"/>
  <c r="E211" i="45"/>
  <c r="G211" i="45"/>
  <c r="E212" i="45"/>
  <c r="G212" i="45"/>
  <c r="E213" i="45"/>
  <c r="G213" i="45"/>
  <c r="E214" i="45"/>
  <c r="G214" i="45"/>
  <c r="E215" i="45"/>
  <c r="G215" i="45"/>
  <c r="E216" i="45"/>
  <c r="G216" i="45"/>
  <c r="E217" i="45"/>
  <c r="G217" i="45"/>
  <c r="E218" i="45"/>
  <c r="G218" i="45"/>
  <c r="E219" i="45"/>
  <c r="G219" i="45"/>
  <c r="E220" i="45"/>
  <c r="G220" i="45"/>
  <c r="E221" i="45"/>
  <c r="G221" i="45"/>
  <c r="E222" i="45"/>
  <c r="G222" i="45"/>
  <c r="E223" i="45"/>
  <c r="G223" i="45"/>
  <c r="E224" i="45"/>
  <c r="G224" i="45"/>
  <c r="E225" i="45"/>
  <c r="G225" i="45"/>
  <c r="E226" i="45"/>
  <c r="G226" i="45"/>
  <c r="E227" i="45"/>
  <c r="G227" i="45"/>
  <c r="E228" i="45"/>
  <c r="G228" i="45"/>
  <c r="E229" i="45"/>
  <c r="G229" i="45"/>
  <c r="E230" i="45"/>
  <c r="G230" i="45"/>
  <c r="E231" i="45"/>
  <c r="G231" i="45"/>
  <c r="E232" i="45"/>
  <c r="G232" i="45"/>
  <c r="E233" i="45"/>
  <c r="G233" i="45"/>
  <c r="E234" i="45"/>
  <c r="G234" i="45"/>
  <c r="E235" i="45"/>
  <c r="G235" i="45"/>
  <c r="E236" i="45"/>
  <c r="G236" i="45"/>
  <c r="E237" i="45"/>
  <c r="G237" i="45"/>
  <c r="E238" i="45"/>
  <c r="G238" i="45"/>
  <c r="E239" i="45"/>
  <c r="G239" i="45"/>
  <c r="E240" i="45"/>
  <c r="G240" i="45"/>
  <c r="E241" i="45"/>
  <c r="G241" i="45"/>
  <c r="E242" i="45"/>
  <c r="G242" i="45"/>
  <c r="E243" i="45"/>
  <c r="G243" i="45"/>
  <c r="E244" i="45"/>
  <c r="G244" i="45"/>
  <c r="E245" i="45"/>
  <c r="G245" i="45"/>
  <c r="E246" i="45"/>
  <c r="G246" i="45"/>
  <c r="E247" i="45"/>
  <c r="G247" i="45"/>
  <c r="E248" i="45"/>
  <c r="G248" i="45"/>
  <c r="E249" i="45"/>
  <c r="G249" i="45"/>
  <c r="E250" i="45"/>
  <c r="G250" i="45"/>
  <c r="E251" i="45"/>
  <c r="G251" i="45"/>
  <c r="E252" i="45"/>
  <c r="G252" i="45"/>
  <c r="E253" i="45"/>
  <c r="G253" i="45"/>
  <c r="E254" i="45"/>
  <c r="G254" i="45"/>
  <c r="E255" i="45"/>
  <c r="G255" i="45"/>
  <c r="E256" i="45"/>
  <c r="G256" i="45"/>
  <c r="E257" i="45"/>
  <c r="G257" i="45"/>
  <c r="E258" i="45"/>
  <c r="G258" i="45"/>
  <c r="E259" i="45"/>
  <c r="G259" i="45"/>
  <c r="E260" i="45"/>
  <c r="G260" i="45"/>
  <c r="E261" i="45"/>
  <c r="G261" i="45"/>
  <c r="E262" i="45"/>
  <c r="G262" i="45"/>
  <c r="E263" i="45"/>
  <c r="G263" i="45"/>
  <c r="E264" i="45"/>
  <c r="G264" i="45"/>
  <c r="E265" i="45"/>
  <c r="G265" i="45"/>
  <c r="E266" i="45"/>
  <c r="G266" i="45"/>
  <c r="E267" i="45"/>
  <c r="G267" i="45"/>
  <c r="E268" i="45"/>
  <c r="G268" i="45"/>
  <c r="E269" i="45"/>
  <c r="G269" i="45"/>
  <c r="E270" i="45"/>
  <c r="G270" i="45"/>
  <c r="E271" i="45"/>
  <c r="G271" i="45"/>
  <c r="E272" i="45"/>
  <c r="G272" i="45"/>
  <c r="E273" i="45"/>
  <c r="G273" i="45"/>
  <c r="E274" i="45"/>
  <c r="G274" i="45"/>
  <c r="E275" i="45"/>
  <c r="G275" i="45"/>
  <c r="E276" i="45"/>
  <c r="G276" i="45"/>
  <c r="E277" i="45"/>
  <c r="G277" i="45"/>
  <c r="E278" i="45"/>
  <c r="G278" i="45"/>
  <c r="E279" i="45"/>
  <c r="G279" i="45"/>
  <c r="E280" i="45"/>
  <c r="G280" i="45"/>
  <c r="E281" i="45"/>
  <c r="G281" i="45"/>
  <c r="E282" i="45"/>
  <c r="G282" i="45"/>
  <c r="E283" i="45"/>
  <c r="G283" i="45"/>
  <c r="E284" i="45"/>
  <c r="G284" i="45"/>
  <c r="E285" i="45"/>
  <c r="G285" i="45"/>
  <c r="E286" i="45"/>
  <c r="G286" i="45"/>
  <c r="E287" i="45"/>
  <c r="G287" i="45"/>
  <c r="E288" i="45"/>
  <c r="G288" i="45"/>
  <c r="E289" i="45"/>
  <c r="G289" i="45"/>
  <c r="E290" i="45"/>
  <c r="G290" i="45"/>
  <c r="E291" i="45"/>
  <c r="G291" i="45"/>
  <c r="E292" i="45"/>
  <c r="G292" i="45"/>
  <c r="E293" i="45"/>
  <c r="G293" i="45"/>
  <c r="E294" i="45"/>
  <c r="G294" i="45"/>
  <c r="E295" i="45"/>
  <c r="G295" i="45"/>
  <c r="E296" i="45"/>
  <c r="G296" i="45"/>
  <c r="E297" i="45"/>
  <c r="G297" i="45"/>
  <c r="E298" i="45"/>
  <c r="G298" i="45"/>
  <c r="E299" i="45"/>
  <c r="G299" i="45"/>
  <c r="E300" i="45"/>
  <c r="G300" i="45"/>
  <c r="E301" i="45"/>
  <c r="G301" i="45"/>
  <c r="E302" i="45"/>
  <c r="G302" i="45"/>
  <c r="E303" i="45"/>
  <c r="G303" i="45"/>
  <c r="E304" i="45"/>
  <c r="G304" i="45"/>
  <c r="E305" i="45"/>
  <c r="G305" i="45"/>
  <c r="E306" i="45"/>
  <c r="G306" i="45"/>
  <c r="E307" i="45"/>
  <c r="G307" i="45"/>
  <c r="E308" i="45"/>
  <c r="G308" i="45"/>
  <c r="E309" i="45"/>
  <c r="G309" i="45"/>
  <c r="E310" i="45"/>
  <c r="G310" i="45"/>
  <c r="E311" i="45"/>
  <c r="G311" i="45"/>
  <c r="E312" i="45"/>
  <c r="G312" i="45"/>
  <c r="E313" i="45"/>
  <c r="G313" i="45"/>
  <c r="E314" i="45"/>
  <c r="G314" i="45"/>
  <c r="E315" i="45"/>
  <c r="G315" i="45"/>
  <c r="E316" i="45"/>
  <c r="G316" i="45"/>
  <c r="E317" i="45"/>
  <c r="G317" i="45"/>
  <c r="E318" i="45"/>
  <c r="G318" i="45"/>
  <c r="E319" i="45"/>
  <c r="G319" i="45"/>
  <c r="E320" i="45"/>
  <c r="G320" i="45"/>
  <c r="E321" i="45"/>
  <c r="G321" i="45"/>
  <c r="E322" i="45"/>
  <c r="G322" i="45"/>
  <c r="E323" i="45"/>
  <c r="G323" i="45"/>
  <c r="E324" i="45"/>
  <c r="G324" i="45"/>
  <c r="E325" i="45"/>
  <c r="G325" i="45"/>
  <c r="E326" i="45"/>
  <c r="G326" i="45"/>
  <c r="E327" i="45"/>
  <c r="G327" i="45"/>
  <c r="E328" i="45"/>
  <c r="G328" i="45"/>
  <c r="E329" i="45"/>
  <c r="G329" i="45"/>
  <c r="E330" i="45"/>
  <c r="G330" i="45"/>
  <c r="E331" i="45"/>
  <c r="G331" i="45"/>
  <c r="E332" i="45"/>
  <c r="G332" i="45"/>
  <c r="E333" i="45"/>
  <c r="G333" i="45"/>
  <c r="E334" i="45"/>
  <c r="G334" i="45"/>
  <c r="E335" i="45"/>
  <c r="G335" i="45"/>
  <c r="E336" i="45"/>
  <c r="G336" i="45"/>
  <c r="E337" i="45"/>
  <c r="G337" i="45"/>
  <c r="E338" i="45"/>
  <c r="G338" i="45"/>
  <c r="E339" i="45"/>
  <c r="G339" i="45"/>
  <c r="E340" i="45"/>
  <c r="G340" i="45"/>
  <c r="E341" i="45"/>
  <c r="G341" i="45"/>
  <c r="E342" i="45"/>
  <c r="G342" i="45"/>
  <c r="E343" i="45"/>
  <c r="G343" i="45"/>
  <c r="E344" i="45"/>
  <c r="G344" i="45"/>
  <c r="E345" i="45"/>
  <c r="G345" i="45"/>
  <c r="E346" i="45"/>
  <c r="G346" i="45"/>
  <c r="E347" i="45"/>
  <c r="G347" i="45"/>
  <c r="E348" i="45"/>
  <c r="G348" i="45"/>
  <c r="E349" i="45"/>
  <c r="G349" i="45"/>
  <c r="E350" i="45"/>
  <c r="G350" i="45"/>
  <c r="E351" i="45"/>
  <c r="G351" i="45"/>
  <c r="E352" i="45"/>
  <c r="G352" i="45"/>
  <c r="E353" i="45"/>
  <c r="G353" i="45"/>
  <c r="E354" i="45"/>
  <c r="G354" i="45"/>
  <c r="E355" i="45"/>
  <c r="G355" i="45"/>
  <c r="E356" i="45"/>
  <c r="G356" i="45"/>
  <c r="E357" i="45"/>
  <c r="G357" i="45"/>
  <c r="E358" i="45"/>
  <c r="G358" i="45"/>
  <c r="E359" i="45"/>
  <c r="G359" i="45"/>
  <c r="E360" i="45"/>
  <c r="G360" i="45"/>
  <c r="E361" i="45"/>
  <c r="G361" i="45"/>
  <c r="E362" i="45"/>
  <c r="G362" i="45"/>
  <c r="E363" i="45"/>
  <c r="G363" i="45"/>
  <c r="E364" i="45"/>
  <c r="G364" i="45"/>
  <c r="E365" i="45"/>
  <c r="G365" i="45"/>
  <c r="E366" i="45"/>
  <c r="G366" i="45"/>
  <c r="E367" i="45"/>
  <c r="G367" i="45"/>
  <c r="E368" i="45"/>
  <c r="G368" i="45"/>
  <c r="E369" i="45"/>
  <c r="G369" i="45"/>
  <c r="E370" i="45"/>
  <c r="G370" i="45"/>
  <c r="E371" i="45"/>
  <c r="G371" i="45"/>
  <c r="E372" i="45"/>
  <c r="G372" i="45"/>
  <c r="E373" i="45"/>
  <c r="G373" i="45"/>
  <c r="E374" i="45"/>
  <c r="G374" i="45"/>
  <c r="E375" i="45"/>
  <c r="G375" i="45"/>
  <c r="E376" i="45"/>
  <c r="G376" i="45"/>
  <c r="E377" i="45"/>
  <c r="G377" i="45"/>
  <c r="E378" i="45"/>
  <c r="G378" i="45"/>
  <c r="E379" i="45"/>
  <c r="G379" i="45"/>
  <c r="E380" i="45"/>
  <c r="G380" i="45"/>
  <c r="E381" i="45"/>
  <c r="G381" i="45"/>
  <c r="E382" i="45"/>
  <c r="G382" i="45"/>
  <c r="E383" i="45"/>
  <c r="G383" i="45"/>
  <c r="E384" i="45"/>
  <c r="G384" i="45"/>
  <c r="E385" i="45"/>
  <c r="G385" i="45"/>
  <c r="E386" i="45"/>
  <c r="G386" i="45"/>
  <c r="E387" i="45"/>
  <c r="G387" i="45"/>
  <c r="E388" i="45"/>
  <c r="G388" i="45"/>
  <c r="E389" i="45"/>
  <c r="G389" i="45"/>
  <c r="E390" i="45"/>
  <c r="G390" i="45"/>
  <c r="E391" i="45"/>
  <c r="G391" i="45"/>
  <c r="E392" i="45"/>
  <c r="G392" i="45"/>
  <c r="E393" i="45"/>
  <c r="G393" i="45"/>
  <c r="E394" i="45"/>
  <c r="G394" i="45"/>
  <c r="E395" i="45"/>
  <c r="G395" i="45"/>
  <c r="E396" i="45"/>
  <c r="G396" i="45"/>
  <c r="E397" i="45"/>
  <c r="G397" i="45"/>
  <c r="E398" i="45"/>
  <c r="G398" i="45"/>
  <c r="E399" i="45"/>
  <c r="G399" i="45"/>
  <c r="E400" i="45"/>
  <c r="G400" i="45"/>
  <c r="E401" i="45"/>
  <c r="G401" i="45"/>
  <c r="E402" i="45"/>
  <c r="G402" i="45"/>
  <c r="E403" i="45"/>
  <c r="G403" i="45"/>
  <c r="E404" i="45"/>
  <c r="G404" i="45"/>
  <c r="E405" i="45"/>
  <c r="G405" i="45"/>
  <c r="E406" i="45"/>
  <c r="G406" i="45"/>
  <c r="E407" i="45"/>
  <c r="G407" i="45"/>
  <c r="E408" i="45"/>
  <c r="G408" i="45"/>
  <c r="E409" i="45"/>
  <c r="G409" i="45"/>
  <c r="E410" i="45"/>
  <c r="G410" i="45"/>
  <c r="E411" i="45"/>
  <c r="G411" i="45"/>
  <c r="E412" i="45"/>
  <c r="G412" i="45"/>
  <c r="E413" i="45"/>
  <c r="G413" i="45"/>
  <c r="E414" i="45"/>
  <c r="G414" i="45"/>
  <c r="E415" i="45"/>
  <c r="G415" i="45"/>
  <c r="E416" i="45"/>
  <c r="G416" i="45"/>
  <c r="E417" i="45"/>
  <c r="G417" i="45"/>
  <c r="E418" i="45"/>
  <c r="G418" i="45"/>
  <c r="E419" i="45"/>
  <c r="G419" i="45"/>
  <c r="E420" i="45"/>
  <c r="G420" i="45"/>
  <c r="E421" i="45"/>
  <c r="G421" i="45"/>
  <c r="E422" i="45"/>
  <c r="G422" i="45"/>
  <c r="E423" i="45"/>
  <c r="G423" i="45"/>
  <c r="E424" i="45"/>
  <c r="G424" i="45"/>
  <c r="E425" i="45"/>
  <c r="G425" i="45"/>
  <c r="E426" i="45"/>
  <c r="G426" i="45"/>
  <c r="E427" i="45"/>
  <c r="G427" i="45"/>
  <c r="E428" i="45"/>
  <c r="G428" i="45"/>
  <c r="E429" i="45"/>
  <c r="G429" i="45"/>
  <c r="E430" i="45"/>
  <c r="G430" i="45"/>
  <c r="E431" i="45"/>
  <c r="G431" i="45"/>
  <c r="E432" i="45"/>
  <c r="G432" i="45"/>
  <c r="E433" i="45"/>
  <c r="G433" i="45"/>
  <c r="E434" i="45"/>
  <c r="G434" i="45"/>
  <c r="E435" i="45"/>
  <c r="G435" i="45"/>
  <c r="E436" i="45"/>
  <c r="G436" i="45"/>
  <c r="E437" i="45"/>
  <c r="G437" i="45"/>
  <c r="E438" i="45"/>
  <c r="G438" i="45"/>
  <c r="E439" i="45"/>
  <c r="G439" i="45"/>
  <c r="E440" i="45"/>
  <c r="G440" i="45"/>
  <c r="E441" i="45"/>
  <c r="G441" i="45"/>
  <c r="E442" i="45"/>
  <c r="G442" i="45"/>
  <c r="E443" i="45"/>
  <c r="G443" i="45"/>
  <c r="E444" i="45"/>
  <c r="G444" i="45"/>
  <c r="E445" i="45"/>
  <c r="G445" i="45"/>
  <c r="E446" i="45"/>
  <c r="G446" i="45"/>
  <c r="E447" i="45"/>
  <c r="G447" i="45"/>
  <c r="E448" i="45"/>
  <c r="G448" i="45"/>
  <c r="E449" i="45"/>
  <c r="G449" i="45"/>
  <c r="E450" i="45"/>
  <c r="G450" i="45"/>
  <c r="E451" i="45"/>
  <c r="G451" i="45"/>
  <c r="E452" i="45"/>
  <c r="G452" i="45"/>
  <c r="E453" i="45"/>
  <c r="G453" i="45"/>
  <c r="E454" i="45"/>
  <c r="G454" i="45"/>
  <c r="E455" i="45"/>
  <c r="G455" i="45"/>
  <c r="E456" i="45"/>
  <c r="G456" i="45"/>
  <c r="E457" i="45"/>
  <c r="G457" i="45"/>
  <c r="E458" i="45"/>
  <c r="G458" i="45"/>
  <c r="E459" i="45"/>
  <c r="G459" i="45"/>
  <c r="E460" i="45"/>
  <c r="G460" i="45"/>
  <c r="E461" i="45"/>
  <c r="G461" i="45"/>
  <c r="E462" i="45"/>
  <c r="G462" i="45"/>
  <c r="E463" i="45"/>
  <c r="G463" i="45"/>
  <c r="E464" i="45"/>
  <c r="G464" i="45"/>
  <c r="E465" i="45"/>
  <c r="G465" i="45"/>
  <c r="E466" i="45"/>
  <c r="G466" i="45"/>
  <c r="E467" i="45"/>
  <c r="G467" i="45"/>
  <c r="E468" i="45"/>
  <c r="G468" i="45"/>
  <c r="E469" i="45"/>
  <c r="G469" i="45"/>
  <c r="E470" i="45"/>
  <c r="G470" i="45"/>
  <c r="E471" i="45"/>
  <c r="G471" i="45"/>
  <c r="E472" i="45"/>
  <c r="G472" i="45"/>
  <c r="E473" i="45"/>
  <c r="G473" i="45"/>
  <c r="E474" i="45"/>
  <c r="G474" i="45"/>
  <c r="E475" i="45"/>
  <c r="G475" i="45"/>
  <c r="E476" i="45"/>
  <c r="G476" i="45"/>
  <c r="E477" i="45"/>
  <c r="G477" i="45"/>
  <c r="E478" i="45"/>
  <c r="G478" i="45"/>
  <c r="E479" i="45"/>
  <c r="G479" i="45"/>
  <c r="E480" i="45"/>
  <c r="G480" i="45"/>
  <c r="E481" i="45"/>
  <c r="G481" i="45"/>
  <c r="E482" i="45"/>
  <c r="G482" i="45"/>
  <c r="E483" i="45"/>
  <c r="G483" i="45"/>
  <c r="E484" i="45"/>
  <c r="G484" i="45"/>
  <c r="E485" i="45"/>
  <c r="G485" i="45"/>
  <c r="E486" i="45"/>
  <c r="G486" i="45"/>
  <c r="E487" i="45"/>
  <c r="G487" i="45"/>
  <c r="E488" i="45"/>
  <c r="G488" i="45"/>
  <c r="E489" i="45"/>
  <c r="G489" i="45"/>
  <c r="E490" i="45"/>
  <c r="G490" i="45"/>
  <c r="E491" i="45"/>
  <c r="G491" i="45"/>
  <c r="E492" i="45"/>
  <c r="G492" i="45"/>
  <c r="E493" i="45"/>
  <c r="G493" i="45"/>
  <c r="E494" i="45"/>
  <c r="G494" i="45"/>
  <c r="E495" i="45"/>
  <c r="G495" i="45"/>
  <c r="E496" i="45"/>
  <c r="G496" i="45"/>
  <c r="E497" i="45"/>
  <c r="G497" i="45"/>
  <c r="E498" i="45"/>
  <c r="G498" i="45"/>
  <c r="E499" i="45"/>
  <c r="G499" i="45"/>
  <c r="E500" i="45"/>
  <c r="G500" i="45"/>
  <c r="E501" i="45"/>
  <c r="G501" i="45"/>
  <c r="E502" i="45"/>
  <c r="G502" i="45"/>
  <c r="E503" i="45"/>
  <c r="G503" i="45"/>
  <c r="E504" i="45"/>
  <c r="G504" i="45"/>
  <c r="E505" i="45"/>
  <c r="G505" i="45"/>
  <c r="E506" i="45"/>
  <c r="G506" i="45"/>
  <c r="E507" i="45"/>
  <c r="G507" i="45"/>
  <c r="E508" i="45"/>
  <c r="G508" i="45"/>
  <c r="E509" i="45"/>
  <c r="G509" i="45"/>
  <c r="E510" i="45"/>
  <c r="G510" i="45"/>
  <c r="E511" i="45"/>
  <c r="G511" i="45"/>
  <c r="E512" i="45"/>
  <c r="G512" i="45"/>
  <c r="E513" i="45"/>
  <c r="G513" i="45"/>
  <c r="E514" i="45"/>
  <c r="G514" i="45"/>
  <c r="E515" i="45"/>
  <c r="G515" i="45"/>
  <c r="E516" i="45"/>
  <c r="G516" i="45"/>
  <c r="E517" i="45"/>
  <c r="G517" i="45"/>
  <c r="E518" i="45"/>
  <c r="G518" i="45"/>
  <c r="E519" i="45"/>
  <c r="G519" i="45"/>
  <c r="E520" i="45"/>
  <c r="G520" i="45"/>
  <c r="E521" i="45"/>
  <c r="G521" i="45"/>
  <c r="E522" i="45"/>
  <c r="G522" i="45"/>
  <c r="E523" i="45"/>
  <c r="G523" i="45"/>
  <c r="E524" i="45"/>
  <c r="G524" i="45"/>
  <c r="E525" i="45"/>
  <c r="G525" i="45"/>
  <c r="E526" i="45"/>
  <c r="G526" i="45"/>
  <c r="E527" i="45"/>
  <c r="G527" i="45"/>
  <c r="E528" i="45"/>
  <c r="G528" i="45"/>
  <c r="E529" i="45"/>
  <c r="G529" i="45"/>
  <c r="E530" i="45"/>
  <c r="G530" i="45"/>
  <c r="E531" i="45"/>
  <c r="G531" i="45"/>
  <c r="E532" i="45"/>
  <c r="G532" i="45"/>
  <c r="E533" i="45"/>
  <c r="G533" i="45"/>
  <c r="E534" i="45"/>
  <c r="G534" i="45"/>
  <c r="E535" i="45"/>
  <c r="G535" i="45"/>
  <c r="E536" i="45"/>
  <c r="G536" i="45"/>
  <c r="E537" i="45"/>
  <c r="G537" i="45"/>
  <c r="E538" i="45"/>
  <c r="G538" i="45"/>
  <c r="E539" i="45"/>
  <c r="G539" i="45"/>
  <c r="E540" i="45"/>
  <c r="G540" i="45"/>
  <c r="E541" i="45"/>
  <c r="G541" i="45"/>
  <c r="E542" i="45"/>
  <c r="G542" i="45"/>
  <c r="E543" i="45"/>
  <c r="G543" i="45"/>
  <c r="E544" i="45"/>
  <c r="G544" i="45"/>
  <c r="E545" i="45"/>
  <c r="G545" i="45"/>
  <c r="E546" i="45"/>
  <c r="G546" i="45"/>
  <c r="E547" i="45"/>
  <c r="G547" i="45"/>
  <c r="E548" i="45"/>
  <c r="G548" i="45"/>
  <c r="E549" i="45"/>
  <c r="G549" i="45"/>
  <c r="E550" i="45"/>
  <c r="G550" i="45"/>
  <c r="E551" i="45"/>
  <c r="G551" i="45"/>
  <c r="E552" i="45"/>
  <c r="G552" i="45"/>
  <c r="E553" i="45"/>
  <c r="G553" i="45"/>
  <c r="E554" i="45"/>
  <c r="G554" i="45"/>
  <c r="E555" i="45"/>
  <c r="G555" i="45"/>
  <c r="E556" i="45"/>
  <c r="G556" i="45"/>
  <c r="E557" i="45"/>
  <c r="G557" i="45"/>
  <c r="E558" i="45"/>
  <c r="G558" i="45"/>
  <c r="E559" i="45"/>
  <c r="G559" i="45"/>
  <c r="E560" i="45"/>
  <c r="G560" i="45"/>
  <c r="E561" i="45"/>
  <c r="G561" i="45"/>
  <c r="E562" i="45"/>
  <c r="G562" i="45"/>
  <c r="E563" i="45"/>
  <c r="G563" i="45"/>
  <c r="E564" i="45"/>
  <c r="G564" i="45"/>
  <c r="E565" i="45"/>
  <c r="G565" i="45"/>
  <c r="E566" i="45"/>
  <c r="G566" i="45"/>
  <c r="E567" i="45"/>
  <c r="G567" i="45"/>
  <c r="E568" i="45"/>
  <c r="G568" i="45"/>
  <c r="E569" i="45"/>
  <c r="G569" i="45"/>
  <c r="E570" i="45"/>
  <c r="G570" i="45"/>
  <c r="E571" i="45"/>
  <c r="G571" i="45"/>
  <c r="E572" i="45"/>
  <c r="G572" i="45"/>
  <c r="E573" i="45"/>
  <c r="G573" i="45"/>
  <c r="E574" i="45"/>
  <c r="G574" i="45"/>
  <c r="E575" i="45"/>
  <c r="G575" i="45"/>
  <c r="E576" i="45"/>
  <c r="G576" i="45"/>
  <c r="E577" i="45"/>
  <c r="G577" i="45"/>
  <c r="E578" i="45"/>
  <c r="G578" i="45"/>
  <c r="E579" i="45"/>
  <c r="G579" i="45"/>
  <c r="E580" i="45"/>
  <c r="G580" i="45"/>
  <c r="E581" i="45"/>
  <c r="G581" i="45"/>
  <c r="E582" i="45"/>
  <c r="G582" i="45"/>
  <c r="E583" i="45"/>
  <c r="G583" i="45"/>
  <c r="E584" i="45"/>
  <c r="G584" i="45"/>
  <c r="E585" i="45"/>
  <c r="G585" i="45"/>
  <c r="E586" i="45"/>
  <c r="G586" i="45"/>
  <c r="E587" i="45"/>
  <c r="G587" i="45"/>
  <c r="E588" i="45"/>
  <c r="G588" i="45"/>
  <c r="E589" i="45"/>
  <c r="G589" i="45"/>
  <c r="E590" i="45"/>
  <c r="G590" i="45"/>
  <c r="E591" i="45"/>
  <c r="G591" i="45"/>
  <c r="E592" i="45"/>
  <c r="G592" i="45"/>
  <c r="E593" i="45"/>
  <c r="G593" i="45"/>
  <c r="E594" i="45"/>
  <c r="G594" i="45"/>
  <c r="E595" i="45"/>
  <c r="G595" i="45"/>
  <c r="E596" i="45"/>
  <c r="G596" i="45"/>
  <c r="E597" i="45"/>
  <c r="G597" i="45"/>
  <c r="E598" i="45"/>
  <c r="G598" i="45"/>
  <c r="E599" i="45"/>
  <c r="G599" i="45"/>
  <c r="E600" i="45"/>
  <c r="G600" i="45"/>
  <c r="E601" i="45"/>
  <c r="G601" i="45"/>
  <c r="E602" i="45"/>
  <c r="G602" i="45"/>
  <c r="E603" i="45"/>
  <c r="G603" i="45"/>
  <c r="E604" i="45"/>
  <c r="G604" i="45"/>
  <c r="E605" i="45"/>
  <c r="G605" i="45"/>
  <c r="E606" i="45"/>
  <c r="G606" i="45"/>
  <c r="E607" i="45"/>
  <c r="G607" i="45"/>
  <c r="E608" i="45"/>
  <c r="G608" i="45"/>
  <c r="E609" i="45"/>
  <c r="G609" i="45"/>
  <c r="E610" i="45"/>
  <c r="G610" i="45"/>
  <c r="E611" i="45"/>
  <c r="G611" i="45"/>
  <c r="E612" i="45"/>
  <c r="G612" i="45"/>
  <c r="E613" i="45"/>
  <c r="G613" i="45"/>
  <c r="E614" i="45"/>
  <c r="G614" i="45"/>
  <c r="E615" i="45"/>
  <c r="G615" i="45"/>
  <c r="E616" i="45"/>
  <c r="G616" i="45"/>
  <c r="E617" i="45"/>
  <c r="G617" i="45"/>
  <c r="E618" i="45"/>
  <c r="G618" i="45"/>
  <c r="E619" i="45"/>
  <c r="G619" i="45"/>
  <c r="E620" i="45"/>
  <c r="G620" i="45"/>
  <c r="E621" i="45"/>
  <c r="G621" i="45"/>
  <c r="E622" i="45"/>
  <c r="G622" i="45"/>
  <c r="E623" i="45"/>
  <c r="G623" i="45"/>
  <c r="E624" i="45"/>
  <c r="G624" i="45"/>
  <c r="E625" i="45"/>
  <c r="G625" i="45"/>
  <c r="E626" i="45"/>
  <c r="G626" i="45"/>
  <c r="E627" i="45"/>
  <c r="G627" i="45"/>
  <c r="E628" i="45"/>
  <c r="G628" i="45"/>
  <c r="E629" i="45"/>
  <c r="G629" i="45"/>
  <c r="E630" i="45"/>
  <c r="G630" i="45"/>
  <c r="E631" i="45"/>
  <c r="G631" i="45"/>
  <c r="E632" i="45"/>
  <c r="G632" i="45"/>
  <c r="E633" i="45"/>
  <c r="G633" i="45"/>
  <c r="E634" i="45"/>
  <c r="G634" i="45"/>
  <c r="E635" i="45"/>
  <c r="G635" i="45"/>
  <c r="E636" i="45"/>
  <c r="G636" i="45"/>
  <c r="E637" i="45"/>
  <c r="G637" i="45"/>
  <c r="E638" i="45"/>
  <c r="G638" i="45"/>
  <c r="E639" i="45"/>
  <c r="G639" i="45"/>
  <c r="E640" i="45"/>
  <c r="G640" i="45"/>
  <c r="E641" i="45"/>
  <c r="G641" i="45"/>
  <c r="E642" i="45"/>
  <c r="G642" i="45"/>
  <c r="E643" i="45"/>
  <c r="G643" i="45"/>
  <c r="E644" i="45"/>
  <c r="G644" i="45"/>
  <c r="E645" i="45"/>
  <c r="G645" i="45"/>
  <c r="E646" i="45"/>
  <c r="G646" i="45"/>
  <c r="E647" i="45"/>
  <c r="G647" i="45"/>
  <c r="E648" i="45"/>
  <c r="G648" i="45"/>
  <c r="E649" i="45"/>
  <c r="G649" i="45"/>
  <c r="E650" i="45"/>
  <c r="G650" i="45"/>
  <c r="E651" i="45"/>
  <c r="G651" i="45"/>
  <c r="E652" i="45"/>
  <c r="G652" i="45"/>
  <c r="E653" i="45"/>
  <c r="G653" i="45"/>
  <c r="E654" i="45"/>
  <c r="G654" i="45"/>
  <c r="E655" i="45"/>
  <c r="G655" i="45"/>
  <c r="E656" i="45"/>
  <c r="G656" i="45"/>
  <c r="E657" i="45"/>
  <c r="G657" i="45"/>
  <c r="E658" i="45"/>
  <c r="G658" i="45"/>
  <c r="E659" i="45"/>
  <c r="G659" i="45"/>
  <c r="E660" i="45"/>
  <c r="G660" i="45"/>
  <c r="E661" i="45"/>
  <c r="G661" i="45"/>
  <c r="E662" i="45"/>
  <c r="G662" i="45"/>
  <c r="E663" i="45"/>
  <c r="G663" i="45"/>
  <c r="E664" i="45"/>
  <c r="G664" i="45"/>
  <c r="E665" i="45"/>
  <c r="G665" i="45"/>
  <c r="E666" i="45"/>
  <c r="G666" i="45"/>
  <c r="E667" i="45"/>
  <c r="G667" i="45"/>
  <c r="E668" i="45"/>
  <c r="G668" i="45"/>
  <c r="E669" i="45"/>
  <c r="G669" i="45"/>
  <c r="E670" i="45"/>
  <c r="G670" i="45"/>
  <c r="E671" i="45"/>
  <c r="G671" i="45"/>
  <c r="E672" i="45"/>
  <c r="G672" i="45"/>
  <c r="E673" i="45"/>
  <c r="G673" i="45"/>
  <c r="E674" i="45"/>
  <c r="G674" i="45"/>
  <c r="E675" i="45"/>
  <c r="G675" i="45"/>
  <c r="E676" i="45"/>
  <c r="G676" i="45"/>
  <c r="E677" i="45"/>
  <c r="G677" i="45"/>
  <c r="E678" i="45"/>
  <c r="G678" i="45"/>
  <c r="E679" i="45"/>
  <c r="G679" i="45"/>
  <c r="E680" i="45"/>
  <c r="G680" i="45"/>
  <c r="E681" i="45"/>
  <c r="G681" i="45"/>
  <c r="E682" i="45"/>
  <c r="G682" i="45"/>
  <c r="E683" i="45"/>
  <c r="G683" i="45"/>
  <c r="E684" i="45"/>
  <c r="G684" i="45"/>
  <c r="E685" i="45"/>
  <c r="G685" i="45"/>
  <c r="E686" i="45"/>
  <c r="G686" i="45"/>
  <c r="E687" i="45"/>
  <c r="G687" i="45"/>
  <c r="E688" i="45"/>
  <c r="G688" i="45"/>
  <c r="E689" i="45"/>
  <c r="G689" i="45"/>
  <c r="E690" i="45"/>
  <c r="G690" i="45"/>
  <c r="E691" i="45"/>
  <c r="G691" i="45"/>
  <c r="E692" i="45"/>
  <c r="G692" i="45"/>
  <c r="E693" i="45"/>
  <c r="G693" i="45"/>
  <c r="E694" i="45"/>
  <c r="G694" i="45"/>
  <c r="E695" i="45"/>
  <c r="G695" i="45"/>
  <c r="E696" i="45"/>
  <c r="G696" i="45"/>
  <c r="E697" i="45"/>
  <c r="G697" i="45"/>
  <c r="E698" i="45"/>
  <c r="G698" i="45"/>
  <c r="E699" i="45"/>
  <c r="G699" i="45"/>
  <c r="E700" i="45"/>
  <c r="G700" i="45"/>
  <c r="E701" i="45"/>
  <c r="G701" i="45"/>
  <c r="E702" i="45"/>
  <c r="G702" i="45"/>
  <c r="E703" i="45"/>
  <c r="G703" i="45"/>
  <c r="E704" i="45"/>
  <c r="G704" i="45"/>
  <c r="E705" i="45"/>
  <c r="G705" i="45"/>
  <c r="E706" i="45"/>
  <c r="G706" i="45"/>
  <c r="E707" i="45"/>
  <c r="G707" i="45"/>
  <c r="E708" i="45"/>
  <c r="G708" i="45"/>
  <c r="E709" i="45"/>
  <c r="G709" i="45"/>
  <c r="E710" i="45"/>
  <c r="G710" i="45"/>
  <c r="E711" i="45"/>
  <c r="G711" i="45"/>
  <c r="E712" i="45"/>
  <c r="G712" i="45"/>
  <c r="E713" i="45"/>
  <c r="G713" i="45"/>
  <c r="E714" i="45"/>
  <c r="G714" i="45"/>
  <c r="E715" i="45"/>
  <c r="G715" i="45"/>
  <c r="E716" i="45"/>
  <c r="G716" i="45"/>
  <c r="E717" i="45"/>
  <c r="G717" i="45"/>
  <c r="E718" i="45"/>
  <c r="G718" i="45"/>
  <c r="E719" i="45"/>
  <c r="G719" i="45"/>
  <c r="E720" i="45"/>
  <c r="G720" i="45"/>
  <c r="E721" i="45"/>
  <c r="G721" i="45"/>
  <c r="E722" i="45"/>
  <c r="G722" i="45"/>
  <c r="E723" i="45"/>
  <c r="G723" i="45"/>
  <c r="E724" i="45"/>
  <c r="G724" i="45"/>
  <c r="E725" i="45"/>
  <c r="G725" i="45"/>
  <c r="E726" i="45"/>
  <c r="G726" i="45"/>
  <c r="E727" i="45"/>
  <c r="G727" i="45"/>
  <c r="E728" i="45"/>
  <c r="G728" i="45"/>
  <c r="E729" i="45"/>
  <c r="G729" i="45"/>
  <c r="E730" i="45"/>
  <c r="G730" i="45"/>
  <c r="E731" i="45"/>
  <c r="G731" i="45"/>
  <c r="E732" i="45"/>
  <c r="G732" i="45"/>
  <c r="E733" i="45"/>
  <c r="G733" i="45"/>
  <c r="E734" i="45"/>
  <c r="G734" i="45"/>
  <c r="E735" i="45"/>
  <c r="G735" i="45"/>
  <c r="E736" i="45"/>
  <c r="G736" i="45"/>
  <c r="E737" i="45"/>
  <c r="G737" i="45"/>
  <c r="E738" i="45"/>
  <c r="G738" i="45"/>
  <c r="E739" i="45"/>
  <c r="G739" i="45"/>
  <c r="E740" i="45"/>
  <c r="G740" i="45"/>
  <c r="E741" i="45"/>
  <c r="G741" i="45"/>
  <c r="E742" i="45"/>
  <c r="G742" i="45"/>
  <c r="E743" i="45"/>
  <c r="G743" i="45"/>
  <c r="E744" i="45"/>
  <c r="G744" i="45"/>
  <c r="E745" i="45"/>
  <c r="G745" i="45"/>
  <c r="E746" i="45"/>
  <c r="G746" i="45"/>
  <c r="E747" i="45"/>
  <c r="G747" i="45"/>
  <c r="E748" i="45"/>
  <c r="G748" i="45"/>
  <c r="E749" i="45"/>
  <c r="G749" i="45"/>
  <c r="E750" i="45"/>
  <c r="G750" i="45"/>
  <c r="E751" i="45"/>
  <c r="G751" i="45"/>
  <c r="E752" i="45"/>
  <c r="G752" i="45"/>
  <c r="E753" i="45"/>
  <c r="G753" i="45"/>
  <c r="E754" i="45"/>
  <c r="G754" i="45"/>
  <c r="E755" i="45"/>
  <c r="G755" i="45"/>
  <c r="E756" i="45"/>
  <c r="G756" i="45"/>
  <c r="E757" i="45"/>
  <c r="G757" i="45"/>
  <c r="E758" i="45"/>
  <c r="G758" i="45"/>
  <c r="E759" i="45"/>
  <c r="G759" i="45"/>
  <c r="E760" i="45"/>
  <c r="G760" i="45"/>
  <c r="E761" i="45"/>
  <c r="G761" i="45"/>
  <c r="E762" i="45"/>
  <c r="G762" i="45"/>
  <c r="E763" i="45"/>
  <c r="G763" i="45"/>
  <c r="E764" i="45"/>
  <c r="G764" i="45"/>
  <c r="E765" i="45"/>
  <c r="G765" i="45"/>
  <c r="E766" i="45"/>
  <c r="G766" i="45"/>
  <c r="E767" i="45"/>
  <c r="G767" i="45"/>
  <c r="E768" i="45"/>
  <c r="G768" i="45"/>
  <c r="E769" i="45"/>
  <c r="G769" i="45"/>
  <c r="E770" i="45"/>
  <c r="G770" i="45"/>
  <c r="E771" i="45"/>
  <c r="G771" i="45"/>
  <c r="E772" i="45"/>
  <c r="G772" i="45"/>
  <c r="E773" i="45"/>
  <c r="G773" i="45"/>
  <c r="E774" i="45"/>
  <c r="G774" i="45"/>
  <c r="E775" i="45"/>
  <c r="G775" i="45"/>
  <c r="E776" i="45"/>
  <c r="G776" i="45"/>
  <c r="E777" i="45"/>
  <c r="G777" i="45"/>
  <c r="E778" i="45"/>
  <c r="G778" i="45"/>
  <c r="E779" i="45"/>
  <c r="G779" i="45"/>
  <c r="E780" i="45"/>
  <c r="G780" i="45"/>
  <c r="E781" i="45"/>
  <c r="G781" i="45"/>
  <c r="E782" i="45"/>
  <c r="G782" i="45"/>
  <c r="E783" i="45"/>
  <c r="G783" i="45"/>
  <c r="E784" i="45"/>
  <c r="G784" i="45"/>
  <c r="E785" i="45"/>
  <c r="G785" i="45"/>
  <c r="E786" i="45"/>
  <c r="G786" i="45"/>
  <c r="E787" i="45"/>
  <c r="G787" i="45"/>
  <c r="E788" i="45"/>
  <c r="G788" i="45"/>
  <c r="E789" i="45"/>
  <c r="G789" i="45"/>
  <c r="E790" i="45"/>
  <c r="G790" i="45"/>
  <c r="E791" i="45"/>
  <c r="G791" i="45"/>
  <c r="E792" i="45"/>
  <c r="G792" i="45"/>
  <c r="E793" i="45"/>
  <c r="G793" i="45"/>
  <c r="E794" i="45"/>
  <c r="G794" i="45"/>
  <c r="E795" i="45"/>
  <c r="G795" i="45"/>
  <c r="E796" i="45"/>
  <c r="G796" i="45"/>
  <c r="E797" i="45"/>
  <c r="G797" i="45"/>
  <c r="E798" i="45"/>
  <c r="G798" i="45"/>
  <c r="E799" i="45"/>
  <c r="G799" i="45"/>
  <c r="E800" i="45"/>
  <c r="G800" i="45"/>
  <c r="E801" i="45"/>
  <c r="G801" i="45"/>
  <c r="E802" i="45"/>
  <c r="G802" i="45"/>
  <c r="E803" i="45"/>
  <c r="G803" i="45"/>
  <c r="E804" i="45"/>
  <c r="G804" i="45"/>
  <c r="E805" i="45"/>
  <c r="G805" i="45"/>
  <c r="E806" i="45"/>
  <c r="G806" i="45"/>
  <c r="E807" i="45"/>
  <c r="G807" i="45"/>
  <c r="E808" i="45"/>
  <c r="G808" i="45"/>
  <c r="E809" i="45"/>
  <c r="G809" i="45"/>
  <c r="E810" i="45"/>
  <c r="G810" i="45"/>
  <c r="E811" i="45"/>
  <c r="G811" i="45"/>
  <c r="E812" i="45"/>
  <c r="G812" i="45"/>
  <c r="E813" i="45"/>
  <c r="G813" i="45"/>
  <c r="E814" i="45"/>
  <c r="G814" i="45"/>
  <c r="E815" i="45"/>
  <c r="G815" i="45"/>
  <c r="E816" i="45"/>
  <c r="G816" i="45"/>
  <c r="E817" i="45"/>
  <c r="G817" i="45"/>
  <c r="E818" i="45"/>
  <c r="G818" i="45"/>
  <c r="E819" i="45"/>
  <c r="G819" i="45"/>
  <c r="E820" i="45"/>
  <c r="G820" i="45"/>
  <c r="E821" i="45"/>
  <c r="G821" i="45"/>
  <c r="E822" i="45"/>
  <c r="G822" i="45"/>
  <c r="E823" i="45"/>
  <c r="G823" i="45"/>
  <c r="E824" i="45"/>
  <c r="G824" i="45"/>
  <c r="E825" i="45"/>
  <c r="G825" i="45"/>
  <c r="E826" i="45"/>
  <c r="G826" i="45"/>
  <c r="E827" i="45"/>
  <c r="G827" i="45"/>
  <c r="E828" i="45"/>
  <c r="G828" i="45"/>
  <c r="E829" i="45"/>
  <c r="G829" i="45"/>
  <c r="E830" i="45"/>
  <c r="G830" i="45"/>
  <c r="E831" i="45"/>
  <c r="G831" i="45"/>
  <c r="E832" i="45"/>
  <c r="G832" i="45"/>
  <c r="E833" i="45"/>
  <c r="G833" i="45"/>
  <c r="E834" i="45"/>
  <c r="G834" i="45"/>
  <c r="E835" i="45"/>
  <c r="G835" i="45"/>
  <c r="E836" i="45"/>
  <c r="G836" i="45"/>
  <c r="E837" i="45"/>
  <c r="G837" i="45"/>
  <c r="E838" i="45"/>
  <c r="G838" i="45"/>
  <c r="E839" i="45"/>
  <c r="G839" i="45"/>
  <c r="E840" i="45"/>
  <c r="G840" i="45"/>
  <c r="E841" i="45"/>
  <c r="G841" i="45"/>
  <c r="E842" i="45"/>
  <c r="G842" i="45"/>
  <c r="E843" i="45"/>
  <c r="G843" i="45"/>
  <c r="E844" i="45"/>
  <c r="G844" i="45"/>
  <c r="E845" i="45"/>
  <c r="G845" i="45"/>
  <c r="E846" i="45"/>
  <c r="G846" i="45"/>
  <c r="E847" i="45"/>
  <c r="G847" i="45"/>
  <c r="E848" i="45"/>
  <c r="G848" i="45"/>
  <c r="E849" i="45"/>
  <c r="G849" i="45"/>
  <c r="E850" i="45"/>
  <c r="G850" i="45"/>
  <c r="E851" i="45"/>
  <c r="G851" i="45"/>
  <c r="E852" i="45"/>
  <c r="G852" i="45"/>
  <c r="E853" i="45"/>
  <c r="G853" i="45"/>
  <c r="E854" i="45"/>
  <c r="G854" i="45"/>
  <c r="E855" i="45"/>
  <c r="G855" i="45"/>
  <c r="E856" i="45"/>
  <c r="G856" i="45"/>
  <c r="E857" i="45"/>
  <c r="G857" i="45"/>
  <c r="E858" i="45"/>
  <c r="G858" i="45"/>
  <c r="E859" i="45"/>
  <c r="G859" i="45"/>
  <c r="E860" i="45"/>
  <c r="G860" i="45"/>
  <c r="E861" i="45"/>
  <c r="G861" i="45"/>
  <c r="E862" i="45"/>
  <c r="G862" i="45"/>
  <c r="E863" i="45"/>
  <c r="G863" i="45"/>
  <c r="E864" i="45"/>
  <c r="G864" i="45"/>
  <c r="E865" i="45"/>
  <c r="G865" i="45"/>
  <c r="E866" i="45"/>
  <c r="G866" i="45"/>
  <c r="E867" i="45"/>
  <c r="G867" i="45"/>
  <c r="E868" i="45"/>
  <c r="G868" i="45"/>
  <c r="E869" i="45"/>
  <c r="G869" i="45"/>
  <c r="E870" i="45"/>
  <c r="G870" i="45"/>
  <c r="E871" i="45"/>
  <c r="G871" i="45"/>
  <c r="E872" i="45"/>
  <c r="G872" i="45"/>
  <c r="E873" i="45"/>
  <c r="G873" i="45"/>
  <c r="E874" i="45"/>
  <c r="G874" i="45"/>
  <c r="E875" i="45"/>
  <c r="G875" i="45"/>
  <c r="E876" i="45"/>
  <c r="G876" i="45"/>
  <c r="E877" i="45"/>
  <c r="G877" i="45"/>
  <c r="E878" i="45"/>
  <c r="G878" i="45"/>
  <c r="E879" i="45"/>
  <c r="G879" i="45"/>
  <c r="E880" i="45"/>
  <c r="G880" i="45"/>
  <c r="E881" i="45"/>
  <c r="G881" i="45"/>
  <c r="E882" i="45"/>
  <c r="G882" i="45"/>
  <c r="E883" i="45"/>
  <c r="G883" i="45"/>
  <c r="E884" i="45"/>
  <c r="G884" i="45"/>
  <c r="E885" i="45"/>
  <c r="G885" i="45"/>
  <c r="E886" i="45"/>
  <c r="G886" i="45"/>
  <c r="E887" i="45"/>
  <c r="G887" i="45"/>
  <c r="E888" i="45"/>
  <c r="G888" i="45"/>
  <c r="E889" i="45"/>
  <c r="G889" i="45"/>
  <c r="E890" i="45"/>
  <c r="G890" i="45"/>
  <c r="E891" i="45"/>
  <c r="G891" i="45"/>
  <c r="E892" i="45"/>
  <c r="G892" i="45"/>
  <c r="E893" i="45"/>
  <c r="G893" i="45"/>
  <c r="E894" i="45"/>
  <c r="G894" i="45"/>
  <c r="E895" i="45"/>
  <c r="G895" i="45"/>
  <c r="E896" i="45"/>
  <c r="G896" i="45"/>
  <c r="E897" i="45"/>
  <c r="G897" i="45"/>
  <c r="E898" i="45"/>
  <c r="G898" i="45"/>
  <c r="E899" i="45"/>
  <c r="G899" i="45"/>
  <c r="E900" i="45"/>
  <c r="G900" i="45"/>
  <c r="E901" i="45"/>
  <c r="G901" i="45"/>
  <c r="E902" i="45"/>
  <c r="G902" i="45"/>
  <c r="E903" i="45"/>
  <c r="G903" i="45"/>
  <c r="E904" i="45"/>
  <c r="G904" i="45"/>
  <c r="E905" i="45"/>
  <c r="G905" i="45"/>
  <c r="E906" i="45"/>
  <c r="G906" i="45"/>
  <c r="E907" i="45"/>
  <c r="G907" i="45"/>
  <c r="E908" i="45"/>
  <c r="G908" i="45"/>
  <c r="E909" i="45"/>
  <c r="G909" i="45"/>
  <c r="E910" i="45"/>
  <c r="G910" i="45"/>
  <c r="E911" i="45"/>
  <c r="G911" i="45"/>
  <c r="E912" i="45"/>
  <c r="G912" i="45"/>
  <c r="E913" i="45"/>
  <c r="G913" i="45"/>
  <c r="E914" i="45"/>
  <c r="G914" i="45"/>
  <c r="E915" i="45"/>
  <c r="G915" i="45"/>
  <c r="E916" i="45"/>
  <c r="G916" i="45"/>
  <c r="E917" i="45"/>
  <c r="G917" i="45"/>
  <c r="E918" i="45"/>
  <c r="G918" i="45"/>
  <c r="E919" i="45"/>
  <c r="G919" i="45"/>
  <c r="E920" i="45"/>
  <c r="G920" i="45"/>
  <c r="E921" i="45"/>
  <c r="G921" i="45"/>
  <c r="E922" i="45"/>
  <c r="G922" i="45"/>
  <c r="E923" i="45"/>
  <c r="G923" i="45"/>
  <c r="E924" i="45"/>
  <c r="G924" i="45"/>
  <c r="E925" i="45"/>
  <c r="G925" i="45"/>
  <c r="E926" i="45"/>
  <c r="G926" i="45"/>
  <c r="E927" i="45"/>
  <c r="G927" i="45"/>
  <c r="E928" i="45"/>
  <c r="G928" i="45"/>
  <c r="E929" i="45"/>
  <c r="G929" i="45"/>
  <c r="E930" i="45"/>
  <c r="G930" i="45"/>
  <c r="E931" i="45"/>
  <c r="G931" i="45"/>
  <c r="E932" i="45"/>
  <c r="G932" i="45"/>
  <c r="E933" i="45"/>
  <c r="G933" i="45"/>
  <c r="E934" i="45"/>
  <c r="G934" i="45"/>
  <c r="E935" i="45"/>
  <c r="G935" i="45"/>
  <c r="E936" i="45"/>
  <c r="G936" i="45"/>
  <c r="E937" i="45"/>
  <c r="G937" i="45"/>
  <c r="E938" i="45"/>
  <c r="G938" i="45"/>
  <c r="E939" i="45"/>
  <c r="G939" i="45"/>
  <c r="E940" i="45"/>
  <c r="G940" i="45"/>
  <c r="E941" i="45"/>
  <c r="G941" i="45"/>
  <c r="E942" i="45"/>
  <c r="G942" i="45"/>
  <c r="E943" i="45"/>
  <c r="G943" i="45"/>
  <c r="E944" i="45"/>
  <c r="G944" i="45"/>
  <c r="E945" i="45"/>
  <c r="G945" i="45"/>
  <c r="E946" i="45"/>
  <c r="G946" i="45"/>
  <c r="E947" i="45"/>
  <c r="G947" i="45"/>
  <c r="E948" i="45"/>
  <c r="G948" i="45"/>
  <c r="E949" i="45"/>
  <c r="G949" i="45"/>
  <c r="E950" i="45"/>
  <c r="G950" i="45"/>
  <c r="E951" i="45"/>
  <c r="G951" i="45"/>
  <c r="E952" i="45"/>
  <c r="G952" i="45"/>
  <c r="E953" i="45"/>
  <c r="G953" i="45"/>
  <c r="E954" i="45"/>
  <c r="G954" i="45"/>
  <c r="E955" i="45"/>
  <c r="G955" i="45"/>
  <c r="E956" i="45"/>
  <c r="G956" i="45"/>
  <c r="E957" i="45"/>
  <c r="G957" i="45"/>
  <c r="E958" i="45"/>
  <c r="G958" i="45"/>
  <c r="E959" i="45"/>
  <c r="G959" i="45"/>
  <c r="E960" i="45"/>
  <c r="G960" i="45"/>
  <c r="E961" i="45"/>
  <c r="G961" i="45"/>
  <c r="E962" i="45"/>
  <c r="G962" i="45"/>
  <c r="E963" i="45"/>
  <c r="G963" i="45"/>
  <c r="E964" i="45"/>
  <c r="G964" i="45"/>
  <c r="E965" i="45"/>
  <c r="G965" i="45"/>
  <c r="E966" i="45"/>
  <c r="G966" i="45"/>
  <c r="E967" i="45"/>
  <c r="G967" i="45"/>
  <c r="E968" i="45"/>
  <c r="G968" i="45"/>
  <c r="E969" i="45"/>
  <c r="G969" i="45"/>
  <c r="E970" i="45"/>
  <c r="G970" i="45"/>
  <c r="E971" i="45"/>
  <c r="G971" i="45"/>
  <c r="E972" i="45"/>
  <c r="G972" i="45"/>
  <c r="E973" i="45"/>
  <c r="G973" i="45"/>
  <c r="E974" i="45"/>
  <c r="G974" i="45"/>
  <c r="E975" i="45"/>
  <c r="G975" i="45"/>
  <c r="E976" i="45"/>
  <c r="G976" i="45"/>
  <c r="E977" i="45"/>
  <c r="G977" i="45"/>
  <c r="E978" i="45"/>
  <c r="G978" i="45"/>
  <c r="E979" i="45"/>
  <c r="G979" i="45"/>
  <c r="E980" i="45"/>
  <c r="G980" i="45"/>
  <c r="E981" i="45"/>
  <c r="G981" i="45"/>
  <c r="E982" i="45"/>
  <c r="G982" i="45"/>
  <c r="E983" i="45"/>
  <c r="G983" i="45"/>
  <c r="E984" i="45"/>
  <c r="G984" i="45"/>
  <c r="E985" i="45"/>
  <c r="G985" i="45"/>
  <c r="E986" i="45"/>
  <c r="G986" i="45"/>
  <c r="E987" i="45"/>
  <c r="G987" i="45"/>
  <c r="E988" i="45"/>
  <c r="G988" i="45"/>
  <c r="E989" i="45"/>
  <c r="G989" i="45"/>
  <c r="E990" i="45"/>
  <c r="G990" i="45"/>
  <c r="E991" i="45"/>
  <c r="G991" i="45"/>
  <c r="E992" i="45"/>
  <c r="G992" i="45"/>
  <c r="E993" i="45"/>
  <c r="G993" i="45"/>
  <c r="E994" i="45"/>
  <c r="G994" i="45"/>
  <c r="E995" i="45"/>
  <c r="G995" i="45"/>
  <c r="E996" i="45"/>
  <c r="G996" i="45"/>
  <c r="E997" i="45"/>
  <c r="G997" i="45"/>
  <c r="E998" i="45"/>
  <c r="G998" i="45"/>
  <c r="E999" i="45"/>
  <c r="G999" i="45"/>
  <c r="E1000" i="45"/>
  <c r="G1000" i="45"/>
  <c r="E1001" i="45"/>
  <c r="G1001" i="45"/>
  <c r="E1002" i="45"/>
  <c r="G1002" i="45"/>
  <c r="E1003" i="45"/>
  <c r="G1003" i="45"/>
  <c r="E1004" i="45"/>
  <c r="G1004" i="45"/>
  <c r="E1005" i="45"/>
  <c r="G1005" i="45"/>
  <c r="E1006" i="45"/>
  <c r="G1006" i="45"/>
  <c r="E1007" i="45"/>
  <c r="G1007" i="45"/>
  <c r="E1008" i="45"/>
  <c r="G1008" i="45"/>
  <c r="E1009" i="45"/>
  <c r="G1009" i="45"/>
  <c r="E1010" i="45"/>
  <c r="G1010" i="45"/>
  <c r="E1011" i="45"/>
  <c r="G1011" i="45"/>
  <c r="E1012" i="45"/>
  <c r="G1012" i="45"/>
  <c r="E1013" i="45"/>
  <c r="G1013" i="45"/>
  <c r="E1014" i="45"/>
  <c r="G1014" i="45"/>
  <c r="E1015" i="45"/>
  <c r="G1015" i="45"/>
  <c r="E1016" i="45"/>
  <c r="G1016" i="45"/>
  <c r="E1017" i="45"/>
  <c r="G1017" i="45"/>
  <c r="E1018" i="45"/>
  <c r="G1018" i="45"/>
  <c r="E1019" i="45"/>
  <c r="G1019" i="45"/>
  <c r="E1020" i="45"/>
  <c r="G1020" i="45"/>
  <c r="E1021" i="45"/>
  <c r="G1021" i="45"/>
  <c r="E1022" i="45"/>
  <c r="G1022" i="45"/>
  <c r="E1023" i="45"/>
  <c r="G1023" i="45"/>
  <c r="E1024" i="45"/>
  <c r="G1024" i="45"/>
  <c r="E1025" i="45"/>
  <c r="G1025" i="45"/>
  <c r="E1026" i="45"/>
  <c r="G1026" i="45"/>
  <c r="E1027" i="45"/>
  <c r="G1027" i="45"/>
  <c r="E1028" i="45"/>
  <c r="G1028" i="45"/>
  <c r="E1029" i="45"/>
  <c r="G1029" i="45"/>
  <c r="E1030" i="45"/>
  <c r="G1030" i="45"/>
  <c r="E1031" i="45"/>
  <c r="G1031" i="45"/>
  <c r="E1032" i="45"/>
  <c r="G1032" i="45"/>
  <c r="E1033" i="45"/>
  <c r="G1033" i="45"/>
  <c r="E1034" i="45"/>
  <c r="G1034" i="45"/>
  <c r="E1035" i="45"/>
  <c r="G1035" i="45"/>
  <c r="E1036" i="45"/>
  <c r="G1036" i="45"/>
  <c r="E1037" i="45"/>
  <c r="G1037" i="45"/>
  <c r="E1038" i="45"/>
  <c r="G1038" i="45"/>
  <c r="E1039" i="45"/>
  <c r="G1039" i="45"/>
  <c r="E1040" i="45"/>
  <c r="G1040" i="45"/>
  <c r="E1041" i="45"/>
  <c r="G1041" i="45"/>
  <c r="E1042" i="45"/>
  <c r="G1042" i="45"/>
  <c r="E1043" i="45"/>
  <c r="G1043" i="45"/>
  <c r="E1044" i="45"/>
  <c r="G1044" i="45"/>
  <c r="E1045" i="45"/>
  <c r="G1045" i="45"/>
  <c r="E1046" i="45"/>
  <c r="G1046" i="45"/>
  <c r="E1047" i="45"/>
  <c r="G1047" i="45"/>
  <c r="E1048" i="45"/>
  <c r="G1048" i="45"/>
  <c r="E1049" i="45"/>
  <c r="G1049" i="45"/>
  <c r="E1050" i="45"/>
  <c r="G1050" i="45"/>
  <c r="E1051" i="45"/>
  <c r="G1051" i="45"/>
  <c r="E1052" i="45"/>
  <c r="G1052" i="45"/>
  <c r="E1053" i="45"/>
  <c r="G1053" i="45"/>
  <c r="E1054" i="45"/>
  <c r="G1054" i="45"/>
  <c r="E1055" i="45"/>
  <c r="G1055" i="45"/>
  <c r="E1056" i="45"/>
  <c r="G1056" i="45"/>
  <c r="E1057" i="45"/>
  <c r="G1057" i="45"/>
  <c r="E1058" i="45"/>
  <c r="G1058" i="45"/>
  <c r="E1059" i="45"/>
  <c r="G1059" i="45"/>
  <c r="E1060" i="45"/>
  <c r="G1060" i="45"/>
  <c r="E1061" i="45"/>
  <c r="G1061" i="45"/>
  <c r="E1062" i="45"/>
  <c r="G1062" i="45"/>
  <c r="E1063" i="45"/>
  <c r="G1063" i="45"/>
  <c r="E1064" i="45"/>
  <c r="G1064" i="45"/>
  <c r="E1065" i="45"/>
  <c r="G1065" i="45"/>
  <c r="E1066" i="45"/>
  <c r="G1066" i="45"/>
  <c r="E1067" i="45"/>
  <c r="G1067" i="45"/>
  <c r="E1068" i="45"/>
  <c r="G1068" i="45"/>
  <c r="E1069" i="45"/>
  <c r="G1069" i="45"/>
  <c r="E1070" i="45"/>
  <c r="G1070" i="45"/>
  <c r="E1071" i="45"/>
  <c r="G1071" i="45"/>
  <c r="E1072" i="45"/>
  <c r="G1072" i="45"/>
  <c r="E1073" i="45"/>
  <c r="G1073" i="45"/>
  <c r="E1074" i="45"/>
  <c r="G1074" i="45"/>
  <c r="E1075" i="45"/>
  <c r="G1075" i="45"/>
  <c r="E1076" i="45"/>
  <c r="G1076" i="45"/>
  <c r="E1077" i="45"/>
  <c r="G1077" i="45"/>
  <c r="E1078" i="45"/>
  <c r="G1078" i="45"/>
  <c r="E1079" i="45"/>
  <c r="G1079" i="45"/>
  <c r="E1080" i="45"/>
  <c r="G1080" i="45"/>
  <c r="E1081" i="45"/>
  <c r="G1081" i="45"/>
  <c r="E1082" i="45"/>
  <c r="G1082" i="45"/>
  <c r="E1083" i="45"/>
  <c r="G1083" i="45"/>
  <c r="E1084" i="45"/>
  <c r="G1084" i="45"/>
  <c r="E1085" i="45"/>
  <c r="G1085" i="45"/>
  <c r="E1086" i="45"/>
  <c r="G1086" i="45"/>
  <c r="E1087" i="45"/>
  <c r="G1087" i="45"/>
  <c r="E1088" i="45"/>
  <c r="G1088" i="45"/>
  <c r="E1089" i="45"/>
  <c r="G1089" i="45"/>
  <c r="E1090" i="45"/>
  <c r="G1090" i="45"/>
  <c r="E1091" i="45"/>
  <c r="G1091" i="45"/>
  <c r="E1092" i="45"/>
  <c r="G1092" i="45"/>
  <c r="E1093" i="45"/>
  <c r="G1093" i="45"/>
  <c r="E1094" i="45"/>
  <c r="G1094" i="45"/>
  <c r="E1095" i="45"/>
  <c r="G1095" i="45"/>
  <c r="E1096" i="45"/>
  <c r="G1096" i="45"/>
  <c r="E1097" i="45"/>
  <c r="G1097" i="45"/>
  <c r="E1098" i="45"/>
  <c r="G1098" i="45"/>
  <c r="E1099" i="45"/>
  <c r="G1099" i="45"/>
  <c r="E1100" i="45"/>
  <c r="G1100" i="45"/>
  <c r="E1101" i="45"/>
  <c r="G1101" i="45"/>
  <c r="E1102" i="45"/>
  <c r="G1102" i="45"/>
  <c r="E1103" i="45"/>
  <c r="G1103" i="45"/>
  <c r="E1104" i="45"/>
  <c r="G1104" i="45"/>
  <c r="E1105" i="45"/>
  <c r="G1105" i="45"/>
  <c r="E1106" i="45"/>
  <c r="G1106" i="45"/>
  <c r="E1107" i="45"/>
  <c r="G1107" i="45"/>
  <c r="E1108" i="45"/>
  <c r="G1108" i="45"/>
  <c r="E1109" i="45"/>
  <c r="G1109" i="45"/>
  <c r="E1110" i="45"/>
  <c r="G1110" i="45"/>
  <c r="E1111" i="45"/>
  <c r="G1111" i="45"/>
  <c r="E1112" i="45"/>
  <c r="G1112" i="45"/>
  <c r="E1113" i="45"/>
  <c r="G1113" i="45"/>
  <c r="E1114" i="45"/>
  <c r="G1114" i="45"/>
  <c r="E1115" i="45"/>
  <c r="G1115" i="45"/>
  <c r="E1116" i="45"/>
  <c r="G1116" i="45"/>
  <c r="E1117" i="45"/>
  <c r="G1117" i="45"/>
  <c r="E1118" i="45"/>
  <c r="G1118" i="45"/>
  <c r="E1119" i="45"/>
  <c r="G1119" i="45"/>
  <c r="E1120" i="45"/>
  <c r="G1120" i="45"/>
  <c r="E1121" i="45"/>
  <c r="G1121" i="45"/>
  <c r="E1122" i="45"/>
  <c r="G1122" i="45"/>
  <c r="E1123" i="45"/>
  <c r="G1123" i="45"/>
  <c r="E1124" i="45"/>
  <c r="G1124" i="45"/>
  <c r="E1125" i="45"/>
  <c r="G1125" i="45"/>
  <c r="E1126" i="45"/>
  <c r="G1126" i="45"/>
  <c r="E1127" i="45"/>
  <c r="G1127" i="45"/>
  <c r="E1128" i="45"/>
  <c r="G1128" i="45"/>
  <c r="E1129" i="45"/>
  <c r="G1129" i="45"/>
  <c r="E1130" i="45"/>
  <c r="G1130" i="45"/>
  <c r="E1131" i="45"/>
  <c r="G1131" i="45"/>
  <c r="E1132" i="45"/>
  <c r="G1132" i="45"/>
  <c r="E1133" i="45"/>
  <c r="G1133" i="45"/>
  <c r="E1134" i="45"/>
  <c r="G1134" i="45"/>
  <c r="E1135" i="45"/>
  <c r="G1135" i="45"/>
  <c r="E1136" i="45"/>
  <c r="G1136" i="45"/>
  <c r="E1137" i="45"/>
  <c r="G1137" i="45"/>
  <c r="E1138" i="45"/>
  <c r="G1138" i="45"/>
  <c r="E1139" i="45"/>
  <c r="G1139" i="45"/>
  <c r="E1140" i="45"/>
  <c r="G1140" i="45"/>
  <c r="E1141" i="45"/>
  <c r="G1141" i="45"/>
  <c r="E1142" i="45"/>
  <c r="G1142" i="45"/>
  <c r="E1143" i="45"/>
  <c r="G1143" i="45"/>
  <c r="E1144" i="45"/>
  <c r="G1144" i="45"/>
  <c r="E1145" i="45"/>
  <c r="G1145" i="45"/>
  <c r="E1146" i="45"/>
  <c r="G1146" i="45"/>
  <c r="E1147" i="45"/>
  <c r="G1147" i="45"/>
  <c r="E1148" i="45"/>
  <c r="G1148" i="45"/>
  <c r="E1149" i="45"/>
  <c r="G1149" i="45"/>
  <c r="E1150" i="45"/>
  <c r="G1150" i="45"/>
  <c r="E1151" i="45"/>
  <c r="G1151" i="45"/>
  <c r="E1152" i="45"/>
  <c r="G1152" i="45"/>
  <c r="E1153" i="45"/>
  <c r="G1153" i="45"/>
  <c r="E1154" i="45"/>
  <c r="G1154" i="45"/>
  <c r="E1155" i="45"/>
  <c r="G1155" i="45"/>
  <c r="E1156" i="45"/>
  <c r="G1156" i="45"/>
  <c r="E1157" i="45"/>
  <c r="G1157" i="45"/>
  <c r="E1158" i="45"/>
  <c r="G1158" i="45"/>
  <c r="E1159" i="45"/>
  <c r="G1159" i="45"/>
  <c r="E1160" i="45"/>
  <c r="G1160" i="45"/>
  <c r="E1161" i="45"/>
  <c r="G1161" i="45"/>
  <c r="E1162" i="45"/>
  <c r="G1162" i="45"/>
  <c r="E1163" i="45"/>
  <c r="G1163" i="45"/>
  <c r="E1164" i="45"/>
  <c r="G1164" i="45"/>
  <c r="E1165" i="45"/>
  <c r="G1165" i="45"/>
  <c r="E1166" i="45"/>
  <c r="G1166" i="45"/>
  <c r="E1167" i="45"/>
  <c r="G1167" i="45"/>
  <c r="E1168" i="45"/>
  <c r="G1168" i="45"/>
  <c r="E1169" i="45"/>
  <c r="G1169" i="45"/>
  <c r="E1170" i="45"/>
  <c r="G1170" i="45"/>
  <c r="E1171" i="45"/>
  <c r="G1171" i="45"/>
  <c r="E1172" i="45"/>
  <c r="G1172" i="45"/>
  <c r="E1173" i="45"/>
  <c r="G1173" i="45"/>
  <c r="E1174" i="45"/>
  <c r="G1174" i="45"/>
  <c r="E1175" i="45"/>
  <c r="G1175" i="45"/>
  <c r="E1176" i="45"/>
  <c r="G1176" i="45"/>
  <c r="E1177" i="45"/>
  <c r="G1177" i="45"/>
  <c r="E1178" i="45"/>
  <c r="G1178" i="45"/>
  <c r="E1179" i="45"/>
  <c r="G1179" i="45"/>
  <c r="E1180" i="45"/>
  <c r="G1180" i="45"/>
  <c r="E1181" i="45"/>
  <c r="G1181" i="45"/>
  <c r="E1182" i="45"/>
  <c r="G1182" i="45"/>
  <c r="E1183" i="45"/>
  <c r="G1183" i="45"/>
  <c r="E1184" i="45"/>
  <c r="G1184" i="45"/>
  <c r="E1185" i="45"/>
  <c r="G1185" i="45"/>
  <c r="E1186" i="45"/>
  <c r="G1186" i="45"/>
  <c r="E1187" i="45"/>
  <c r="G1187" i="45"/>
  <c r="E1188" i="45"/>
  <c r="G1188" i="45"/>
  <c r="E1189" i="45"/>
  <c r="G1189" i="45"/>
  <c r="E1190" i="45"/>
  <c r="G1190" i="45"/>
  <c r="E1191" i="45"/>
  <c r="G1191" i="45"/>
  <c r="E1192" i="45"/>
  <c r="G1192" i="45"/>
  <c r="E1193" i="45"/>
  <c r="G1193" i="45"/>
  <c r="E1194" i="45"/>
  <c r="G1194" i="45"/>
  <c r="E1195" i="45"/>
  <c r="G1195" i="45"/>
  <c r="E1196" i="45"/>
  <c r="G1196" i="45"/>
  <c r="E1197" i="45"/>
  <c r="G1197" i="45"/>
  <c r="E1198" i="45"/>
  <c r="G1198" i="45"/>
  <c r="E1199" i="45"/>
  <c r="G1199" i="45"/>
  <c r="E1200" i="45"/>
  <c r="G1200" i="45"/>
  <c r="E1201" i="45"/>
  <c r="G1201" i="45"/>
  <c r="E1202" i="45"/>
  <c r="G1202" i="45"/>
  <c r="E1203" i="45"/>
  <c r="G1203" i="45"/>
  <c r="E1204" i="45"/>
  <c r="G1204" i="45"/>
  <c r="E1205" i="45"/>
  <c r="G1205" i="45"/>
  <c r="E1206" i="45"/>
  <c r="G1206" i="45"/>
  <c r="E1207" i="45"/>
  <c r="G1207" i="45"/>
  <c r="E1208" i="45"/>
  <c r="G1208" i="45"/>
  <c r="E1209" i="45"/>
  <c r="G1209" i="45"/>
  <c r="E1210" i="45"/>
  <c r="G1210" i="45"/>
  <c r="E1211" i="45"/>
  <c r="G1211" i="45"/>
  <c r="E1212" i="45"/>
  <c r="G1212" i="45"/>
  <c r="E1213" i="45"/>
  <c r="G1213" i="45"/>
  <c r="E1214" i="45"/>
  <c r="G1214" i="45"/>
  <c r="E1215" i="45"/>
  <c r="G1215" i="45"/>
  <c r="E1216" i="45"/>
  <c r="G1216" i="45"/>
  <c r="E1217" i="45"/>
  <c r="G1217" i="45"/>
  <c r="E1218" i="45"/>
  <c r="G1218" i="45"/>
  <c r="E1219" i="45"/>
  <c r="G1219" i="45"/>
  <c r="E1220" i="45"/>
  <c r="G1220" i="45"/>
  <c r="E1221" i="45"/>
  <c r="G1221" i="45"/>
  <c r="E1222" i="45"/>
  <c r="G1222" i="45"/>
  <c r="E1223" i="45"/>
  <c r="G1223" i="45"/>
  <c r="E1224" i="45"/>
  <c r="G1224" i="45"/>
  <c r="E1225" i="45"/>
  <c r="G1225" i="45"/>
  <c r="E1226" i="45"/>
  <c r="G1226" i="45"/>
  <c r="E1227" i="45"/>
  <c r="G1227" i="45"/>
  <c r="E1228" i="45"/>
  <c r="G1228" i="45"/>
  <c r="E1229" i="45"/>
  <c r="G1229" i="45"/>
  <c r="E1230" i="45"/>
  <c r="G1230" i="45"/>
  <c r="E1231" i="45"/>
  <c r="G1231" i="45"/>
  <c r="E1232" i="45"/>
  <c r="G1232" i="45"/>
  <c r="E1233" i="45"/>
  <c r="G1233" i="45"/>
  <c r="E1234" i="45"/>
  <c r="G1234" i="45"/>
  <c r="E1235" i="45"/>
  <c r="G1235" i="45"/>
  <c r="E1236" i="45"/>
  <c r="G1236" i="45"/>
  <c r="E1237" i="45"/>
  <c r="G1237" i="45"/>
  <c r="E1238" i="45"/>
  <c r="G1238" i="45"/>
  <c r="E1239" i="45"/>
  <c r="G1239" i="45"/>
  <c r="E1240" i="45"/>
  <c r="G1240" i="45"/>
  <c r="E1241" i="45"/>
  <c r="G1241" i="45"/>
  <c r="E1242" i="45"/>
  <c r="G1242" i="45"/>
  <c r="E1243" i="45"/>
  <c r="G1243" i="45"/>
  <c r="E1244" i="45"/>
  <c r="G1244" i="45"/>
  <c r="E1245" i="45"/>
  <c r="G1245" i="45"/>
  <c r="E1246" i="45"/>
  <c r="G1246" i="45"/>
  <c r="E1247" i="45"/>
  <c r="G1247" i="45"/>
  <c r="E1248" i="45"/>
  <c r="G1248" i="45"/>
  <c r="E1249" i="45"/>
  <c r="G1249" i="45"/>
  <c r="E1250" i="45"/>
  <c r="G1250" i="45"/>
  <c r="E1251" i="45"/>
  <c r="G1251" i="45"/>
  <c r="E1252" i="45"/>
  <c r="G1252" i="45"/>
  <c r="E1253" i="45"/>
  <c r="G1253" i="45"/>
  <c r="E1254" i="45"/>
  <c r="G1254" i="45"/>
  <c r="E1255" i="45"/>
  <c r="G1255" i="45"/>
  <c r="E1256" i="45"/>
  <c r="G1256" i="45"/>
  <c r="E1257" i="45"/>
  <c r="G1257" i="45"/>
  <c r="E1258" i="45"/>
  <c r="G1258" i="45"/>
  <c r="E1259" i="45"/>
  <c r="G1259" i="45"/>
  <c r="E1260" i="45"/>
  <c r="G1260" i="45"/>
  <c r="E1261" i="45"/>
  <c r="G1261" i="45"/>
  <c r="E1262" i="45"/>
  <c r="G1262" i="45"/>
  <c r="E1263" i="45"/>
  <c r="G1263" i="45"/>
  <c r="E1264" i="45"/>
  <c r="G1264" i="45"/>
  <c r="E1265" i="45"/>
  <c r="G1265" i="45"/>
  <c r="E1266" i="45"/>
  <c r="G1266" i="45"/>
  <c r="E1267" i="45"/>
  <c r="G1267" i="45"/>
  <c r="E1268" i="45"/>
  <c r="G1268" i="45"/>
  <c r="E1269" i="45"/>
  <c r="G1269" i="45"/>
  <c r="E1270" i="45"/>
  <c r="G1270" i="45"/>
  <c r="E1271" i="45"/>
  <c r="G1271" i="45"/>
  <c r="E1272" i="45"/>
  <c r="G1272" i="45"/>
  <c r="E1273" i="45"/>
  <c r="G1273" i="45"/>
  <c r="E1274" i="45"/>
  <c r="G1274" i="45"/>
  <c r="E1275" i="45"/>
  <c r="G1275" i="45"/>
  <c r="E1276" i="45"/>
  <c r="G1276" i="45"/>
  <c r="E1277" i="45"/>
  <c r="G1277" i="45"/>
  <c r="E1278" i="45"/>
  <c r="G1278" i="45"/>
  <c r="E1279" i="45"/>
  <c r="G1279" i="45"/>
  <c r="E1280" i="45"/>
  <c r="G1280" i="45"/>
  <c r="E1281" i="45"/>
  <c r="G1281" i="45"/>
  <c r="E1282" i="45"/>
  <c r="G1282" i="45"/>
  <c r="E1283" i="45"/>
  <c r="G1283" i="45"/>
  <c r="E1284" i="45"/>
  <c r="G1284" i="45"/>
  <c r="E1285" i="45"/>
  <c r="G1285" i="45"/>
  <c r="E1286" i="45"/>
  <c r="G1286" i="45"/>
  <c r="E1287" i="45"/>
  <c r="G1287" i="45"/>
  <c r="E1288" i="45"/>
  <c r="G1288" i="45"/>
  <c r="E1289" i="45"/>
  <c r="G1289" i="45"/>
  <c r="E1290" i="45"/>
  <c r="G1290" i="45"/>
  <c r="E1291" i="45"/>
  <c r="G1291" i="45"/>
  <c r="E1292" i="45"/>
  <c r="G1292" i="45"/>
  <c r="E1293" i="45"/>
  <c r="G1293" i="45"/>
  <c r="E1294" i="45"/>
  <c r="G1294" i="45"/>
  <c r="E1295" i="45"/>
  <c r="G1295" i="45"/>
  <c r="E1296" i="45"/>
  <c r="G1296" i="45"/>
  <c r="E1297" i="45"/>
  <c r="G1297" i="45"/>
  <c r="E1298" i="45"/>
  <c r="G1298" i="45"/>
  <c r="E1299" i="45"/>
  <c r="G1299" i="45"/>
  <c r="E1300" i="45"/>
  <c r="G1300" i="45"/>
  <c r="E1301" i="45"/>
  <c r="G1301" i="45"/>
  <c r="E1302" i="45"/>
  <c r="G1302" i="45"/>
  <c r="E1303" i="45"/>
  <c r="G1303" i="45"/>
  <c r="E1304" i="45"/>
  <c r="G1304" i="45"/>
  <c r="E1305" i="45"/>
  <c r="G1305" i="45"/>
  <c r="E1306" i="45"/>
  <c r="G1306" i="45"/>
  <c r="E1307" i="45"/>
  <c r="G1307" i="45"/>
  <c r="E1308" i="45"/>
  <c r="G1308" i="45"/>
  <c r="E1309" i="45"/>
  <c r="G1309" i="45"/>
  <c r="E1310" i="45"/>
  <c r="G1310" i="45"/>
  <c r="E1311" i="45"/>
  <c r="G1311" i="45"/>
  <c r="E1312" i="45"/>
  <c r="G1312" i="45"/>
  <c r="E1313" i="45"/>
  <c r="G1313" i="45"/>
  <c r="E1314" i="45"/>
  <c r="G1314" i="45"/>
  <c r="E1315" i="45"/>
  <c r="G1315" i="45"/>
  <c r="E1316" i="45"/>
  <c r="G1316" i="45"/>
  <c r="E1317" i="45"/>
  <c r="G1317" i="45"/>
  <c r="E1318" i="45"/>
  <c r="G1318" i="45"/>
  <c r="E1319" i="45"/>
  <c r="G1319" i="45"/>
  <c r="E1320" i="45"/>
  <c r="G1320" i="45"/>
  <c r="E1321" i="45"/>
  <c r="G1321" i="45"/>
  <c r="E1322" i="45"/>
  <c r="G1322" i="45"/>
  <c r="E1323" i="45"/>
  <c r="G1323" i="45"/>
  <c r="E1324" i="45"/>
  <c r="G1324" i="45"/>
  <c r="E1325" i="45"/>
  <c r="G1325" i="45"/>
  <c r="E1326" i="45"/>
  <c r="G1326" i="45"/>
  <c r="E1327" i="45"/>
  <c r="G1327" i="45"/>
  <c r="E1328" i="45"/>
  <c r="G1328" i="45"/>
  <c r="E1329" i="45"/>
  <c r="G1329" i="45"/>
  <c r="E1330" i="45"/>
  <c r="G1330" i="45"/>
  <c r="E1331" i="45"/>
  <c r="G1331" i="45"/>
  <c r="E1332" i="45"/>
  <c r="G1332" i="45"/>
  <c r="E1333" i="45"/>
  <c r="G1333" i="45"/>
  <c r="E1334" i="45"/>
  <c r="G1334" i="45"/>
  <c r="E1335" i="45"/>
  <c r="G1335" i="45"/>
  <c r="E1336" i="45"/>
  <c r="G1336" i="45"/>
  <c r="E1337" i="45"/>
  <c r="G1337" i="45"/>
  <c r="E1338" i="45"/>
  <c r="G1338" i="45"/>
  <c r="E1339" i="45"/>
  <c r="G1339" i="45"/>
  <c r="E1340" i="45"/>
  <c r="G1340" i="45"/>
  <c r="E1341" i="45"/>
  <c r="G1341" i="45"/>
  <c r="E1342" i="45"/>
  <c r="G1342" i="45"/>
  <c r="E1343" i="45"/>
  <c r="G1343" i="45"/>
  <c r="E1344" i="45"/>
  <c r="G1344" i="45"/>
  <c r="E1345" i="45"/>
  <c r="G1345" i="45"/>
  <c r="E1346" i="45"/>
  <c r="G1346" i="45"/>
  <c r="E1347" i="45"/>
  <c r="G1347" i="45"/>
  <c r="E1348" i="45"/>
  <c r="G1348" i="45"/>
  <c r="E1349" i="45"/>
  <c r="G1349" i="45"/>
  <c r="E1350" i="45"/>
  <c r="G1350" i="45"/>
  <c r="E1351" i="45"/>
  <c r="G1351" i="45"/>
  <c r="E1352" i="45"/>
  <c r="G1352" i="45"/>
  <c r="E1353" i="45"/>
  <c r="G1353" i="45"/>
  <c r="E1354" i="45"/>
  <c r="G1354" i="45"/>
  <c r="E1355" i="45"/>
  <c r="G1355" i="45"/>
  <c r="E1356" i="45"/>
  <c r="G1356" i="45"/>
  <c r="E1357" i="45"/>
  <c r="G1357" i="45"/>
  <c r="E1358" i="45"/>
  <c r="G1358" i="45"/>
  <c r="E1359" i="45"/>
  <c r="G1359" i="45"/>
  <c r="E1360" i="45"/>
  <c r="G1360" i="45"/>
  <c r="E1361" i="45"/>
  <c r="G1361" i="45"/>
  <c r="E1362" i="45"/>
  <c r="G1362" i="45"/>
  <c r="E1363" i="45"/>
  <c r="G1363" i="45"/>
  <c r="E1364" i="45"/>
  <c r="G1364" i="45"/>
  <c r="E1365" i="45"/>
  <c r="G1365" i="45"/>
  <c r="E1366" i="45"/>
  <c r="G1366" i="45"/>
  <c r="E1367" i="45"/>
  <c r="G1367" i="45"/>
  <c r="E1368" i="45"/>
  <c r="G1368" i="45"/>
  <c r="E1369" i="45"/>
  <c r="G1369" i="45"/>
  <c r="E1370" i="45"/>
  <c r="G1370" i="45"/>
  <c r="E1371" i="45"/>
  <c r="G1371" i="45"/>
  <c r="E1372" i="45"/>
  <c r="G1372" i="45"/>
  <c r="E1373" i="45"/>
  <c r="G1373" i="45"/>
  <c r="E1374" i="45"/>
  <c r="G1374" i="45"/>
  <c r="E1375" i="45"/>
  <c r="G1375" i="45"/>
  <c r="E1376" i="45"/>
  <c r="G1376" i="45"/>
  <c r="E1377" i="45"/>
  <c r="G1377" i="45"/>
  <c r="E1378" i="45"/>
  <c r="G1378" i="45"/>
  <c r="E1379" i="45"/>
  <c r="G1379" i="45"/>
  <c r="E1380" i="45"/>
  <c r="G1380" i="45"/>
  <c r="E1381" i="45"/>
  <c r="G1381" i="45"/>
  <c r="E1382" i="45"/>
  <c r="G1382" i="45"/>
  <c r="E1383" i="45"/>
  <c r="G1383" i="45"/>
  <c r="E1384" i="45"/>
  <c r="G1384" i="45"/>
  <c r="E1385" i="45"/>
  <c r="G1385" i="45"/>
  <c r="E1386" i="45"/>
  <c r="G1386" i="45"/>
  <c r="E1387" i="45"/>
  <c r="G1387" i="45"/>
  <c r="E1388" i="45"/>
  <c r="G1388" i="45"/>
  <c r="E1389" i="45"/>
  <c r="G1389" i="45"/>
  <c r="E1390" i="45"/>
  <c r="G1390" i="45"/>
  <c r="E1391" i="45"/>
  <c r="G1391" i="45"/>
  <c r="E1392" i="45"/>
  <c r="G1392" i="45"/>
  <c r="E1393" i="45"/>
  <c r="G1393" i="45"/>
  <c r="E1394" i="45"/>
  <c r="G1394" i="45"/>
  <c r="E1395" i="45"/>
  <c r="G1395" i="45"/>
  <c r="E1396" i="45"/>
  <c r="G1396" i="45"/>
  <c r="E1397" i="45"/>
  <c r="G1397" i="45"/>
  <c r="E1398" i="45"/>
  <c r="G1398" i="45"/>
  <c r="E1399" i="45"/>
  <c r="G1399" i="45"/>
  <c r="E1400" i="45"/>
  <c r="G1400" i="45"/>
  <c r="E1401" i="45"/>
  <c r="G1401" i="45"/>
  <c r="E1402" i="45"/>
  <c r="G1402" i="45"/>
  <c r="E1403" i="45"/>
  <c r="G1403" i="45"/>
  <c r="E1404" i="45"/>
  <c r="G1404" i="45"/>
  <c r="E1405" i="45"/>
  <c r="G1405" i="45"/>
  <c r="E1406" i="45"/>
  <c r="G1406" i="45"/>
  <c r="E1407" i="45"/>
  <c r="G1407" i="45"/>
  <c r="E1408" i="45"/>
  <c r="G1408" i="45"/>
  <c r="E1409" i="45"/>
  <c r="G1409" i="45"/>
  <c r="E1410" i="45"/>
  <c r="G1410" i="45"/>
  <c r="E1411" i="45"/>
  <c r="G1411" i="45"/>
  <c r="E1412" i="45"/>
  <c r="G1412" i="45"/>
  <c r="E1413" i="45"/>
  <c r="G1413" i="45"/>
  <c r="E1414" i="45"/>
  <c r="G1414" i="45"/>
  <c r="E1415" i="45"/>
  <c r="G1415" i="45"/>
  <c r="E1416" i="45"/>
  <c r="G1416" i="45"/>
  <c r="E1417" i="45"/>
  <c r="G1417" i="45"/>
  <c r="E1418" i="45"/>
  <c r="G1418" i="45"/>
  <c r="E1419" i="45"/>
  <c r="G1419" i="45"/>
  <c r="E1420" i="45"/>
  <c r="G1420" i="45"/>
  <c r="E1421" i="45"/>
  <c r="G1421" i="45"/>
  <c r="E1422" i="45"/>
  <c r="G1422" i="45"/>
  <c r="E1423" i="45"/>
  <c r="G1423" i="45"/>
  <c r="E1424" i="45"/>
  <c r="G1424" i="45"/>
  <c r="E1425" i="45"/>
  <c r="G1425" i="45"/>
  <c r="E1426" i="45"/>
  <c r="G1426" i="45"/>
  <c r="E1427" i="45"/>
  <c r="G1427" i="45"/>
  <c r="E1428" i="45"/>
  <c r="G1428" i="45"/>
  <c r="E1429" i="45"/>
  <c r="G1429" i="45"/>
  <c r="E1430" i="45"/>
  <c r="G1430" i="45"/>
  <c r="E1431" i="45"/>
  <c r="G1431" i="45"/>
  <c r="E1432" i="45"/>
  <c r="G1432" i="45"/>
  <c r="E1433" i="45"/>
  <c r="G1433" i="45"/>
  <c r="E1434" i="45"/>
  <c r="G1434" i="45"/>
  <c r="E1435" i="45"/>
  <c r="G1435" i="45"/>
  <c r="E1436" i="45"/>
  <c r="G1436" i="45"/>
  <c r="E1437" i="45"/>
  <c r="G1437" i="45"/>
  <c r="E1438" i="45"/>
  <c r="G1438" i="45"/>
  <c r="E1439" i="45"/>
  <c r="G1439" i="45"/>
  <c r="E1440" i="45"/>
  <c r="G1440" i="45"/>
  <c r="E1441" i="45"/>
  <c r="G1441" i="45"/>
  <c r="E1442" i="45"/>
  <c r="G1442" i="45"/>
  <c r="E1443" i="45"/>
  <c r="G1443" i="45"/>
  <c r="E1444" i="45"/>
  <c r="G1444" i="45"/>
  <c r="E1445" i="45"/>
  <c r="G1445" i="45"/>
  <c r="E1446" i="45"/>
  <c r="G1446" i="45"/>
  <c r="E1447" i="45"/>
  <c r="G1447" i="45"/>
  <c r="E1448" i="45"/>
  <c r="G1448" i="45"/>
  <c r="E1449" i="45"/>
  <c r="G1449" i="45"/>
  <c r="E1450" i="45"/>
  <c r="G1450" i="45"/>
  <c r="E1451" i="45"/>
  <c r="G1451" i="45"/>
  <c r="E1452" i="45"/>
  <c r="G1452" i="45"/>
  <c r="E1453" i="45"/>
  <c r="G1453" i="45"/>
  <c r="E1454" i="45"/>
  <c r="G1454" i="45"/>
  <c r="E1455" i="45"/>
  <c r="G1455" i="45"/>
  <c r="E1456" i="45"/>
  <c r="G1456" i="45"/>
  <c r="E1457" i="45"/>
  <c r="G1457" i="45"/>
  <c r="E1458" i="45"/>
  <c r="G1458" i="45"/>
  <c r="E1459" i="45"/>
  <c r="G1459" i="45"/>
  <c r="E1460" i="45"/>
  <c r="G1460" i="45"/>
  <c r="E1461" i="45"/>
  <c r="G1461" i="45"/>
  <c r="E1462" i="45"/>
  <c r="G1462" i="45"/>
  <c r="E1463" i="45"/>
  <c r="G1463" i="45"/>
  <c r="E1464" i="45"/>
  <c r="G1464" i="45"/>
  <c r="E1465" i="45"/>
  <c r="G1465" i="45"/>
  <c r="E1466" i="45"/>
  <c r="G1466" i="45"/>
  <c r="E1467" i="45"/>
  <c r="G1467" i="45"/>
  <c r="E1468" i="45"/>
  <c r="G1468" i="45"/>
  <c r="E1469" i="45"/>
  <c r="G1469" i="45"/>
  <c r="E1470" i="45"/>
  <c r="G1470" i="45"/>
  <c r="E1471" i="45"/>
  <c r="G1471" i="45"/>
  <c r="E1472" i="45"/>
  <c r="G1472" i="45"/>
  <c r="E1473" i="45"/>
  <c r="G1473" i="45"/>
  <c r="E1474" i="45"/>
  <c r="G1474" i="45"/>
  <c r="E1475" i="45"/>
  <c r="G1475" i="45"/>
  <c r="E1476" i="45"/>
  <c r="G1476" i="45"/>
  <c r="E1477" i="45"/>
  <c r="G1477" i="45"/>
  <c r="E1478" i="45"/>
  <c r="G1478" i="45"/>
  <c r="E1479" i="45"/>
  <c r="G1479" i="45"/>
  <c r="E1480" i="45"/>
  <c r="G1480" i="45"/>
  <c r="E1481" i="45"/>
  <c r="G1481" i="45"/>
  <c r="E1482" i="45"/>
  <c r="G1482" i="45"/>
  <c r="E1483" i="45"/>
  <c r="G1483" i="45"/>
  <c r="E1484" i="45"/>
  <c r="G1484" i="45"/>
  <c r="E1485" i="45"/>
  <c r="G1485" i="45"/>
  <c r="E1486" i="45"/>
  <c r="G1486" i="45"/>
  <c r="E1487" i="45"/>
  <c r="G1487" i="45"/>
  <c r="E1488" i="45"/>
  <c r="G1488" i="45"/>
  <c r="E1489" i="45"/>
  <c r="G1489" i="45"/>
  <c r="E1490" i="45"/>
  <c r="G1490" i="45"/>
  <c r="E1491" i="45"/>
  <c r="G1491" i="45"/>
  <c r="E1492" i="45"/>
  <c r="G1492" i="45"/>
  <c r="E1493" i="45"/>
  <c r="G1493" i="45"/>
  <c r="E1494" i="45"/>
  <c r="G1494" i="45"/>
  <c r="E1495" i="45"/>
  <c r="G1495" i="45"/>
  <c r="E1496" i="45"/>
  <c r="G1496" i="45"/>
  <c r="E1497" i="45"/>
  <c r="G1497" i="45"/>
  <c r="E1498" i="45"/>
  <c r="G1498" i="45"/>
  <c r="E1499" i="45"/>
  <c r="G1499" i="45"/>
  <c r="E1500" i="45"/>
  <c r="G1500" i="45"/>
  <c r="E1501" i="45"/>
  <c r="G1501" i="45"/>
  <c r="E1502" i="45"/>
  <c r="G1502" i="45"/>
  <c r="E1503" i="45"/>
  <c r="G1503" i="45"/>
  <c r="E1504" i="45"/>
  <c r="G1504" i="45"/>
  <c r="E1505" i="45"/>
  <c r="G1505" i="45"/>
  <c r="E1506" i="45"/>
  <c r="G1506" i="45"/>
  <c r="E1507" i="45"/>
  <c r="G1507" i="45"/>
  <c r="E1508" i="45"/>
  <c r="G1508" i="45"/>
  <c r="E1509" i="45"/>
  <c r="G1509" i="45"/>
  <c r="E1510" i="45"/>
  <c r="G1510" i="45"/>
  <c r="E1511" i="45"/>
  <c r="G1511" i="45"/>
  <c r="E1512" i="45"/>
  <c r="G1512" i="45"/>
  <c r="E1513" i="45"/>
  <c r="G1513" i="45"/>
  <c r="E1514" i="45"/>
  <c r="G1514" i="45"/>
  <c r="E1515" i="45"/>
  <c r="G1515" i="45"/>
  <c r="E1516" i="45"/>
  <c r="G1516" i="45"/>
  <c r="E1517" i="45"/>
  <c r="G1517" i="45"/>
  <c r="E1518" i="45"/>
  <c r="G1518" i="45"/>
  <c r="E1519" i="45"/>
  <c r="G1519" i="45"/>
  <c r="E1520" i="45"/>
  <c r="G1520" i="45"/>
  <c r="E1521" i="45"/>
  <c r="G1521" i="45"/>
  <c r="E1522" i="45"/>
  <c r="G1522" i="45"/>
  <c r="E1523" i="45"/>
  <c r="G1523" i="45"/>
  <c r="E1524" i="45"/>
  <c r="G1524" i="45"/>
  <c r="E1525" i="45"/>
  <c r="G1525" i="45"/>
  <c r="E1526" i="45"/>
  <c r="G1526" i="45"/>
  <c r="E1527" i="45"/>
  <c r="G1527" i="45"/>
  <c r="E1528" i="45"/>
  <c r="G1528" i="45"/>
  <c r="E1529" i="45"/>
  <c r="G1529" i="45"/>
  <c r="E1530" i="45"/>
  <c r="G1530" i="45"/>
  <c r="E1531" i="45"/>
  <c r="G1531" i="45"/>
  <c r="E1532" i="45"/>
  <c r="G1532" i="45"/>
  <c r="E1533" i="45"/>
  <c r="G1533" i="45"/>
  <c r="E1534" i="45"/>
  <c r="G1534" i="45"/>
  <c r="E1535" i="45"/>
  <c r="G1535" i="45"/>
  <c r="E1536" i="45"/>
  <c r="G1536" i="45"/>
  <c r="E1537" i="45"/>
  <c r="G1537" i="45"/>
  <c r="E1538" i="45"/>
  <c r="G1538" i="45"/>
  <c r="E1539" i="45"/>
  <c r="G1539" i="45"/>
  <c r="E1540" i="45"/>
  <c r="G1540" i="45"/>
  <c r="E1541" i="45"/>
  <c r="G1541" i="45"/>
  <c r="E1542" i="45"/>
  <c r="G1542" i="45"/>
  <c r="E1543" i="45"/>
  <c r="G1543" i="45"/>
  <c r="E1544" i="45"/>
  <c r="G1544" i="45"/>
  <c r="E1545" i="45"/>
  <c r="G1545" i="45"/>
  <c r="E1546" i="45"/>
  <c r="G1546" i="45"/>
  <c r="E1547" i="45"/>
  <c r="G1547" i="45"/>
  <c r="E1548" i="45"/>
  <c r="G1548" i="45"/>
  <c r="E1549" i="45"/>
  <c r="G1549" i="45"/>
  <c r="E1550" i="45"/>
  <c r="G1550" i="45"/>
  <c r="E1551" i="45"/>
  <c r="G1551" i="45"/>
  <c r="E1552" i="45"/>
  <c r="G1552" i="45"/>
  <c r="E1553" i="45"/>
  <c r="G1553" i="45"/>
  <c r="E1554" i="45"/>
  <c r="G1554" i="45"/>
  <c r="E1555" i="45"/>
  <c r="G1555" i="45"/>
  <c r="E1556" i="45"/>
  <c r="G1556" i="45"/>
  <c r="E1557" i="45"/>
  <c r="G1557" i="45"/>
  <c r="E1558" i="45"/>
  <c r="G1558" i="45"/>
  <c r="E1559" i="45"/>
  <c r="G1559" i="45"/>
  <c r="E1560" i="45"/>
  <c r="G1560" i="45"/>
  <c r="E1561" i="45"/>
  <c r="G1561" i="45"/>
  <c r="E1562" i="45"/>
  <c r="G1562" i="45"/>
  <c r="E1563" i="45"/>
  <c r="G1563" i="45"/>
  <c r="E1564" i="45"/>
  <c r="G1564" i="45"/>
  <c r="E1565" i="45"/>
  <c r="G1565" i="45"/>
  <c r="E1566" i="45"/>
  <c r="G1566" i="45"/>
  <c r="E1567" i="45"/>
  <c r="G1567" i="45"/>
  <c r="E1568" i="45"/>
  <c r="G1568" i="45"/>
  <c r="E1569" i="45"/>
  <c r="G1569" i="45"/>
  <c r="E1570" i="45"/>
  <c r="G1570" i="45"/>
  <c r="E1571" i="45"/>
  <c r="G1571" i="45"/>
  <c r="E1572" i="45"/>
  <c r="G1572" i="45"/>
  <c r="E1573" i="45"/>
  <c r="G1573" i="45"/>
  <c r="E1574" i="45"/>
  <c r="G1574" i="45"/>
  <c r="E1575" i="45"/>
  <c r="G1575" i="45"/>
  <c r="E1576" i="45"/>
  <c r="G1576" i="45"/>
  <c r="E1577" i="45"/>
  <c r="G1577" i="45"/>
  <c r="E1578" i="45"/>
  <c r="G1578" i="45"/>
  <c r="E1579" i="45"/>
  <c r="G1579" i="45"/>
  <c r="E1580" i="45"/>
  <c r="G1580" i="45"/>
  <c r="E1581" i="45"/>
  <c r="G1581" i="45"/>
  <c r="E1582" i="45"/>
  <c r="G1582" i="45"/>
  <c r="E1583" i="45"/>
  <c r="G1583" i="45"/>
  <c r="E1584" i="45"/>
  <c r="G1584" i="45"/>
  <c r="E1585" i="45"/>
  <c r="G1585" i="45"/>
  <c r="E1586" i="45"/>
  <c r="G1586" i="45"/>
  <c r="E1587" i="45"/>
  <c r="G1587" i="45"/>
  <c r="E1588" i="45"/>
  <c r="G1588" i="45"/>
  <c r="E1589" i="45"/>
  <c r="G1589" i="45"/>
  <c r="E1590" i="45"/>
  <c r="G1590" i="45"/>
  <c r="E1591" i="45"/>
  <c r="G1591" i="45"/>
  <c r="E1592" i="45"/>
  <c r="G1592" i="45"/>
  <c r="E1593" i="45"/>
  <c r="G1593" i="45"/>
  <c r="E1594" i="45"/>
  <c r="G1594" i="45"/>
  <c r="E1595" i="45"/>
  <c r="G1595" i="45"/>
  <c r="E1596" i="45"/>
  <c r="G1596" i="45"/>
  <c r="E1597" i="45"/>
  <c r="G1597" i="45"/>
  <c r="E1598" i="45"/>
  <c r="G1598" i="45"/>
  <c r="E1599" i="45"/>
  <c r="G1599" i="45"/>
  <c r="E1600" i="45"/>
  <c r="G1600" i="45"/>
  <c r="E1601" i="45"/>
  <c r="G1601" i="45"/>
  <c r="E1602" i="45"/>
  <c r="G1602" i="45"/>
  <c r="E1603" i="45"/>
  <c r="G1603" i="45"/>
  <c r="E1604" i="45"/>
  <c r="G1604" i="45"/>
  <c r="E1605" i="45"/>
  <c r="G1605" i="45"/>
  <c r="E1606" i="45"/>
  <c r="G1606" i="45"/>
  <c r="E1607" i="45"/>
  <c r="G1607" i="45"/>
  <c r="E1608" i="45"/>
  <c r="G1608" i="45"/>
  <c r="E1609" i="45"/>
  <c r="G1609" i="45"/>
  <c r="E1610" i="45"/>
  <c r="G1610" i="45"/>
  <c r="E1611" i="45"/>
  <c r="G1611" i="45"/>
  <c r="E1612" i="45"/>
  <c r="G1612" i="45"/>
  <c r="E1613" i="45"/>
  <c r="G1613" i="45"/>
  <c r="E1614" i="45"/>
  <c r="G1614" i="45"/>
  <c r="E1615" i="45"/>
  <c r="G1615" i="45"/>
  <c r="E1616" i="45"/>
  <c r="G1616" i="45"/>
  <c r="E1617" i="45"/>
  <c r="G1617" i="45"/>
  <c r="E1618" i="45"/>
  <c r="G1618" i="45"/>
  <c r="E1619" i="45"/>
  <c r="G1619" i="45"/>
  <c r="E1620" i="45"/>
  <c r="G1620" i="45"/>
  <c r="E1621" i="45"/>
  <c r="G1621" i="45"/>
  <c r="E1622" i="45"/>
  <c r="G1622" i="45"/>
  <c r="E1623" i="45"/>
  <c r="G1623" i="45"/>
  <c r="E1624" i="45"/>
  <c r="G1624" i="45"/>
  <c r="E1625" i="45"/>
  <c r="G1625" i="45"/>
  <c r="E1626" i="45"/>
  <c r="G1626" i="45"/>
  <c r="E1627" i="45"/>
  <c r="G1627" i="45"/>
  <c r="E1628" i="45"/>
  <c r="G1628" i="45"/>
  <c r="E1629" i="45"/>
  <c r="G1629" i="45"/>
  <c r="E1630" i="45"/>
  <c r="G1630" i="45"/>
  <c r="E1631" i="45"/>
  <c r="G1631" i="45"/>
  <c r="E1632" i="45"/>
  <c r="G1632" i="45"/>
  <c r="E1633" i="45"/>
  <c r="G1633" i="45"/>
  <c r="E1634" i="45"/>
  <c r="G1634" i="45"/>
  <c r="E1635" i="45"/>
  <c r="G1635" i="45"/>
  <c r="E1636" i="45"/>
  <c r="G1636" i="45"/>
  <c r="E1637" i="45"/>
  <c r="G1637" i="45"/>
  <c r="E1638" i="45"/>
  <c r="G1638" i="45"/>
  <c r="E1639" i="45"/>
  <c r="G1639" i="45"/>
  <c r="E1640" i="45"/>
  <c r="G1640" i="45"/>
  <c r="E1641" i="45"/>
  <c r="G1641" i="45"/>
  <c r="E1642" i="45"/>
  <c r="G1642" i="45"/>
  <c r="E1643" i="45"/>
  <c r="G1643" i="45"/>
  <c r="E1644" i="45"/>
  <c r="G1644" i="45"/>
  <c r="E1645" i="45"/>
  <c r="G1645" i="45"/>
  <c r="E1646" i="45"/>
  <c r="G1646" i="45"/>
  <c r="E1647" i="45"/>
  <c r="G1647" i="45"/>
  <c r="E1648" i="45"/>
  <c r="G1648" i="45"/>
  <c r="E1649" i="45"/>
  <c r="G1649" i="45"/>
  <c r="E1650" i="45"/>
  <c r="G1650" i="45"/>
  <c r="E1651" i="45"/>
  <c r="G1651" i="45"/>
  <c r="E1652" i="45"/>
  <c r="G1652" i="45"/>
  <c r="E1653" i="45"/>
  <c r="G1653" i="45"/>
  <c r="E1654" i="45"/>
  <c r="G1654" i="45"/>
  <c r="E1655" i="45"/>
  <c r="G1655" i="45"/>
  <c r="E1656" i="45"/>
  <c r="G1656" i="45"/>
  <c r="E1657" i="45"/>
  <c r="G1657" i="45"/>
  <c r="E1658" i="45"/>
  <c r="G1658" i="45"/>
  <c r="E1659" i="45"/>
  <c r="G1659" i="45"/>
  <c r="E1660" i="45"/>
  <c r="G1660" i="45"/>
  <c r="E1661" i="45"/>
  <c r="G1661" i="45"/>
  <c r="E1662" i="45"/>
  <c r="G1662" i="45"/>
  <c r="E1663" i="45"/>
  <c r="G1663" i="45"/>
  <c r="E1664" i="45"/>
  <c r="G1664" i="45"/>
  <c r="E1665" i="45"/>
  <c r="G1665" i="45"/>
  <c r="E1666" i="45"/>
  <c r="G1666" i="45"/>
  <c r="E1667" i="45"/>
  <c r="G1667" i="45"/>
  <c r="E1668" i="45"/>
  <c r="G1668" i="45"/>
  <c r="E1669" i="45"/>
  <c r="G1669" i="45"/>
  <c r="E1670" i="45"/>
  <c r="G1670" i="45"/>
  <c r="E1671" i="45"/>
  <c r="G1671" i="45"/>
  <c r="E1672" i="45"/>
  <c r="G1672" i="45"/>
  <c r="E1673" i="45"/>
  <c r="G1673" i="45"/>
  <c r="E1674" i="45"/>
  <c r="G1674" i="45"/>
  <c r="E1675" i="45"/>
  <c r="G1675" i="45"/>
  <c r="E1676" i="45"/>
  <c r="G1676" i="45"/>
  <c r="E1677" i="45"/>
  <c r="G1677" i="45"/>
  <c r="E1678" i="45"/>
  <c r="G1678" i="45"/>
  <c r="E1679" i="45"/>
  <c r="G1679" i="45"/>
  <c r="E1680" i="45"/>
  <c r="G1680" i="45"/>
  <c r="E1681" i="45"/>
  <c r="G1681" i="45"/>
  <c r="E1682" i="45"/>
  <c r="G1682" i="45"/>
  <c r="E1683" i="45"/>
  <c r="G1683" i="45"/>
  <c r="E1684" i="45"/>
  <c r="G1684" i="45"/>
  <c r="E1685" i="45"/>
  <c r="G1685" i="45"/>
  <c r="E1686" i="45"/>
  <c r="G1686" i="45"/>
  <c r="E1687" i="45"/>
  <c r="G1687" i="45"/>
  <c r="E1688" i="45"/>
  <c r="G1688" i="45"/>
  <c r="E1689" i="45"/>
  <c r="G1689" i="45"/>
  <c r="E1690" i="45"/>
  <c r="G1690" i="45"/>
  <c r="E1691" i="45"/>
  <c r="G1691" i="45"/>
  <c r="E1692" i="45"/>
  <c r="G1692" i="45"/>
  <c r="E1693" i="45"/>
  <c r="G1693" i="45"/>
  <c r="E1694" i="45"/>
  <c r="G1694" i="45"/>
  <c r="E1695" i="45"/>
  <c r="G1695" i="45"/>
  <c r="E1696" i="45"/>
  <c r="G1696" i="45"/>
  <c r="E1697" i="45"/>
  <c r="G1697" i="45"/>
  <c r="E1698" i="45"/>
  <c r="G1698" i="45"/>
  <c r="E1699" i="45"/>
  <c r="G1699" i="45"/>
  <c r="E1700" i="45"/>
  <c r="G1700" i="45"/>
  <c r="E1701" i="45"/>
  <c r="G1701" i="45"/>
  <c r="E1702" i="45"/>
  <c r="G1702" i="45"/>
  <c r="E1703" i="45"/>
  <c r="G1703" i="45"/>
  <c r="E1704" i="45"/>
  <c r="G1704" i="45"/>
  <c r="E1705" i="45"/>
  <c r="G1705" i="45"/>
  <c r="E1706" i="45"/>
  <c r="G1706" i="45"/>
  <c r="E1707" i="45"/>
  <c r="G1707" i="45"/>
  <c r="E1708" i="45"/>
  <c r="G1708" i="45"/>
  <c r="E1709" i="45"/>
  <c r="G1709" i="45"/>
  <c r="E1710" i="45"/>
  <c r="G1710" i="45"/>
  <c r="E1711" i="45"/>
  <c r="G1711" i="45"/>
  <c r="E1712" i="45"/>
  <c r="G1712" i="45"/>
  <c r="E1713" i="45"/>
  <c r="G1713" i="45"/>
  <c r="E1714" i="45"/>
  <c r="G1714" i="45"/>
  <c r="E1715" i="45"/>
  <c r="G1715" i="45"/>
  <c r="E1716" i="45"/>
  <c r="G1716" i="45"/>
  <c r="E1717" i="45"/>
  <c r="G1717" i="45"/>
  <c r="E1718" i="45"/>
  <c r="G1718" i="45"/>
  <c r="E1719" i="45"/>
  <c r="G1719" i="45"/>
  <c r="E1720" i="45"/>
  <c r="G1720" i="45"/>
  <c r="E1721" i="45"/>
  <c r="G1721" i="45"/>
  <c r="E1722" i="45"/>
  <c r="G1722" i="45"/>
  <c r="E1723" i="45"/>
  <c r="G1723" i="45"/>
  <c r="E1724" i="45"/>
  <c r="G1724" i="45"/>
  <c r="E1725" i="45"/>
  <c r="G1725" i="45"/>
  <c r="E1726" i="45"/>
  <c r="G1726" i="45"/>
  <c r="E1727" i="45"/>
  <c r="G1727" i="45"/>
  <c r="E1728" i="45"/>
  <c r="G1728" i="45"/>
  <c r="E1729" i="45"/>
  <c r="G1729" i="45"/>
  <c r="E1730" i="45"/>
  <c r="G1730" i="45"/>
  <c r="E1731" i="45"/>
  <c r="G1731" i="45"/>
  <c r="E1732" i="45"/>
  <c r="G1732" i="45"/>
  <c r="E1733" i="45"/>
  <c r="G1733" i="45"/>
  <c r="E1734" i="45"/>
  <c r="G1734" i="45"/>
  <c r="E1735" i="45"/>
  <c r="G1735" i="45"/>
  <c r="E1736" i="45"/>
  <c r="G1736" i="45"/>
  <c r="E1737" i="45"/>
  <c r="G1737" i="45"/>
  <c r="E1738" i="45"/>
  <c r="G1738" i="45"/>
  <c r="E1739" i="45"/>
  <c r="G1739" i="45"/>
  <c r="E1740" i="45"/>
  <c r="G1740" i="45"/>
  <c r="E1741" i="45"/>
  <c r="G1741" i="45"/>
  <c r="E1742" i="45"/>
  <c r="G1742" i="45"/>
  <c r="E1743" i="45"/>
  <c r="G1743" i="45"/>
  <c r="E1744" i="45"/>
  <c r="G1744" i="45"/>
  <c r="E1745" i="45"/>
  <c r="G1745" i="45"/>
  <c r="E1746" i="45"/>
  <c r="G1746" i="45"/>
  <c r="E1747" i="45"/>
  <c r="G1747" i="45"/>
  <c r="E1748" i="45"/>
  <c r="G1748" i="45"/>
  <c r="E1749" i="45"/>
  <c r="G1749" i="45"/>
  <c r="E1750" i="45"/>
  <c r="G1750" i="45"/>
  <c r="E1751" i="45"/>
  <c r="G1751" i="45"/>
  <c r="E1752" i="45"/>
  <c r="G1752" i="45"/>
  <c r="E1753" i="45"/>
  <c r="G1753" i="45"/>
  <c r="E1754" i="45"/>
  <c r="G1754" i="45"/>
  <c r="E1755" i="45"/>
  <c r="G1755" i="45"/>
  <c r="E1756" i="45"/>
  <c r="G1756" i="45"/>
  <c r="E1757" i="45"/>
  <c r="G1757" i="45"/>
  <c r="E1758" i="45"/>
  <c r="G1758" i="45"/>
  <c r="E1759" i="45"/>
  <c r="G1759" i="45"/>
  <c r="E1760" i="45"/>
  <c r="G1760" i="45"/>
  <c r="E1761" i="45"/>
  <c r="G1761" i="45"/>
  <c r="E1762" i="45"/>
  <c r="G1762" i="45"/>
  <c r="E1763" i="45"/>
  <c r="G1763" i="45"/>
  <c r="E1764" i="45"/>
  <c r="G1764" i="45"/>
  <c r="E1765" i="45"/>
  <c r="G1765" i="45"/>
  <c r="E1766" i="45"/>
  <c r="G1766" i="45"/>
  <c r="E1767" i="45"/>
  <c r="G1767" i="45"/>
  <c r="E1768" i="45"/>
  <c r="G1768" i="45"/>
  <c r="E1769" i="45"/>
  <c r="G1769" i="45"/>
  <c r="E1770" i="45"/>
  <c r="G1770" i="45"/>
  <c r="E1771" i="45"/>
  <c r="G1771" i="45"/>
  <c r="E1772" i="45"/>
  <c r="G1772" i="45"/>
  <c r="E1773" i="45"/>
  <c r="G1773" i="45"/>
  <c r="E1774" i="45"/>
  <c r="G1774" i="45"/>
  <c r="E1775" i="45"/>
  <c r="G1775" i="45"/>
  <c r="E1776" i="45"/>
  <c r="G1776" i="45"/>
  <c r="E1777" i="45"/>
  <c r="G1777" i="45"/>
  <c r="E1778" i="45"/>
  <c r="G1778" i="45"/>
  <c r="E1779" i="45"/>
  <c r="G1779" i="45"/>
  <c r="E1780" i="45"/>
  <c r="G1780" i="45"/>
  <c r="E1781" i="45"/>
  <c r="G1781" i="45"/>
  <c r="E1782" i="45"/>
  <c r="G1782" i="45"/>
  <c r="E1783" i="45"/>
  <c r="G1783" i="45"/>
  <c r="E1784" i="45"/>
  <c r="G1784" i="45"/>
  <c r="E1785" i="45"/>
  <c r="G1785" i="45"/>
  <c r="E1786" i="45"/>
  <c r="G1786" i="45"/>
  <c r="E1787" i="45"/>
  <c r="G1787" i="45"/>
  <c r="E1788" i="45"/>
  <c r="G1788" i="45"/>
  <c r="E1789" i="45"/>
  <c r="G1789" i="45"/>
  <c r="E1790" i="45"/>
  <c r="G1790" i="45"/>
  <c r="E1791" i="45"/>
  <c r="G1791" i="45"/>
  <c r="E1792" i="45"/>
  <c r="G1792" i="45"/>
  <c r="E1793" i="45"/>
  <c r="G1793" i="45"/>
  <c r="E1794" i="45"/>
  <c r="G1794" i="45"/>
  <c r="E1795" i="45"/>
  <c r="G1795" i="45"/>
  <c r="E1796" i="45"/>
  <c r="G1796" i="45"/>
  <c r="E1797" i="45"/>
  <c r="G1797" i="45"/>
  <c r="E1798" i="45"/>
  <c r="G1798" i="45"/>
  <c r="E1799" i="45"/>
  <c r="G1799" i="45"/>
  <c r="E1800" i="45"/>
  <c r="G1800" i="45"/>
  <c r="E1801" i="45"/>
  <c r="G1801" i="45"/>
  <c r="E1802" i="45"/>
  <c r="G1802" i="45"/>
  <c r="E1803" i="45"/>
  <c r="G1803" i="45"/>
  <c r="E1804" i="45"/>
  <c r="G1804" i="45"/>
  <c r="E1805" i="45"/>
  <c r="G1805" i="45"/>
  <c r="E1806" i="45"/>
  <c r="G1806" i="45"/>
  <c r="E1807" i="45"/>
  <c r="G1807" i="45"/>
  <c r="E1808" i="45"/>
  <c r="G1808" i="45"/>
  <c r="E1809" i="45"/>
  <c r="G1809" i="45"/>
  <c r="E1810" i="45"/>
  <c r="G1810" i="45"/>
  <c r="E1811" i="45"/>
  <c r="G1811" i="45"/>
  <c r="E1812" i="45"/>
  <c r="G1812" i="45"/>
  <c r="E1813" i="45"/>
  <c r="G1813" i="45"/>
  <c r="E1814" i="45"/>
  <c r="G1814" i="45"/>
  <c r="E1815" i="45"/>
  <c r="G1815" i="45"/>
  <c r="E1816" i="45"/>
  <c r="G1816" i="45"/>
  <c r="E1817" i="45"/>
  <c r="G1817" i="45"/>
  <c r="E1818" i="45"/>
  <c r="G1818" i="45"/>
  <c r="E1819" i="45"/>
  <c r="G1819" i="45"/>
  <c r="E1820" i="45"/>
  <c r="G1820" i="45"/>
  <c r="E1821" i="45"/>
  <c r="G1821" i="45"/>
  <c r="E1822" i="45"/>
  <c r="G1822" i="45"/>
  <c r="E1823" i="45"/>
  <c r="G1823" i="45"/>
  <c r="E1824" i="45"/>
  <c r="G1824" i="45"/>
  <c r="E1825" i="45"/>
  <c r="G1825" i="45"/>
  <c r="E1826" i="45"/>
  <c r="G1826" i="45"/>
  <c r="E1827" i="45"/>
  <c r="G1827" i="45"/>
  <c r="E1828" i="45"/>
  <c r="G1828" i="45"/>
  <c r="E1829" i="45"/>
  <c r="G1829" i="45"/>
  <c r="E1830" i="45"/>
  <c r="G1830" i="45"/>
  <c r="E1831" i="45"/>
  <c r="G1831" i="45"/>
  <c r="E1832" i="45"/>
  <c r="G1832" i="45"/>
  <c r="E1833" i="45"/>
  <c r="G1833" i="45"/>
  <c r="E1834" i="45"/>
  <c r="G1834" i="45"/>
  <c r="E1835" i="45"/>
  <c r="G1835" i="45"/>
  <c r="E1836" i="45"/>
  <c r="G1836" i="45"/>
  <c r="E1837" i="45"/>
  <c r="G1837" i="45"/>
  <c r="E1838" i="45"/>
  <c r="G1838" i="45"/>
  <c r="E1839" i="45"/>
  <c r="G1839" i="45"/>
  <c r="E1840" i="45"/>
  <c r="G1840" i="45"/>
  <c r="E1841" i="45"/>
  <c r="G1841" i="45"/>
  <c r="E1842" i="45"/>
  <c r="G1842" i="45"/>
  <c r="E1843" i="45"/>
  <c r="G1843" i="45"/>
  <c r="E1844" i="45"/>
  <c r="G1844" i="45"/>
  <c r="E1845" i="45"/>
  <c r="G1845" i="45"/>
  <c r="E1846" i="45"/>
  <c r="G1846" i="45"/>
  <c r="E1847" i="45"/>
  <c r="G1847" i="45"/>
  <c r="E1848" i="45"/>
  <c r="G1848" i="45"/>
  <c r="E1849" i="45"/>
  <c r="G1849" i="45"/>
  <c r="E1850" i="45"/>
  <c r="G1850" i="45"/>
  <c r="E1851" i="45"/>
  <c r="G1851" i="45"/>
  <c r="E1852" i="45"/>
  <c r="G1852" i="45"/>
  <c r="E1853" i="45"/>
  <c r="G1853" i="45"/>
  <c r="E1854" i="45"/>
  <c r="G1854" i="45"/>
  <c r="E1855" i="45"/>
  <c r="G1855" i="45"/>
  <c r="E1856" i="45"/>
  <c r="G1856" i="45"/>
  <c r="E1857" i="45"/>
  <c r="G1857" i="45"/>
  <c r="E1858" i="45"/>
  <c r="G1858" i="45"/>
  <c r="E1859" i="45"/>
  <c r="G1859" i="45"/>
  <c r="E1860" i="45"/>
  <c r="G1860" i="45"/>
  <c r="E1861" i="45"/>
  <c r="G1861" i="45"/>
  <c r="E1862" i="45"/>
  <c r="G1862" i="45"/>
  <c r="E1863" i="45"/>
  <c r="G1863" i="45"/>
  <c r="E1864" i="45"/>
  <c r="G1864" i="45"/>
  <c r="E1865" i="45"/>
  <c r="G1865" i="45"/>
  <c r="E1866" i="45"/>
  <c r="G1866" i="45"/>
  <c r="E1867" i="45"/>
  <c r="G1867" i="45"/>
  <c r="E1868" i="45"/>
  <c r="G1868" i="45"/>
  <c r="E1869" i="45"/>
  <c r="G1869" i="45"/>
  <c r="E1870" i="45"/>
  <c r="G1870" i="45"/>
  <c r="E1871" i="45"/>
  <c r="G1871" i="45"/>
  <c r="E1872" i="45"/>
  <c r="G1872" i="45"/>
  <c r="E1873" i="45"/>
  <c r="G1873" i="45"/>
  <c r="E1874" i="45"/>
  <c r="G1874" i="45"/>
  <c r="E1875" i="45"/>
  <c r="G1875" i="45"/>
  <c r="E1876" i="45"/>
  <c r="G1876" i="45"/>
  <c r="E1877" i="45"/>
  <c r="G1877" i="45"/>
  <c r="E1878" i="45"/>
  <c r="G1878" i="45"/>
  <c r="E1879" i="45"/>
  <c r="G1879" i="45"/>
  <c r="E1880" i="45"/>
  <c r="G1880" i="45"/>
  <c r="E1881" i="45"/>
  <c r="G1881" i="45"/>
  <c r="E1882" i="45"/>
  <c r="G1882" i="45"/>
  <c r="E1883" i="45"/>
  <c r="G1883" i="45"/>
  <c r="E1884" i="45"/>
  <c r="G1884" i="45"/>
  <c r="E1885" i="45"/>
  <c r="G1885" i="45"/>
  <c r="E1886" i="45"/>
  <c r="G1886" i="45"/>
  <c r="E1887" i="45"/>
  <c r="G1887" i="45"/>
  <c r="E1888" i="45"/>
  <c r="G1888" i="45"/>
  <c r="E1889" i="45"/>
  <c r="G1889" i="45"/>
  <c r="E1890" i="45"/>
  <c r="G1890" i="45"/>
  <c r="E1891" i="45"/>
  <c r="G1891" i="45"/>
  <c r="E1892" i="45"/>
  <c r="G1892" i="45"/>
  <c r="E1893" i="45"/>
  <c r="G1893" i="45"/>
  <c r="E1894" i="45"/>
  <c r="G1894" i="45"/>
  <c r="E1895" i="45"/>
  <c r="G1895" i="45"/>
  <c r="E1896" i="45"/>
  <c r="G1896" i="45"/>
  <c r="E1897" i="45"/>
  <c r="G1897" i="45"/>
  <c r="E1898" i="45"/>
  <c r="G1898" i="45"/>
  <c r="E1899" i="45"/>
  <c r="G1899" i="45"/>
  <c r="E1900" i="45"/>
  <c r="G1900" i="45"/>
  <c r="E1901" i="45"/>
  <c r="G1901" i="45"/>
  <c r="E1902" i="45"/>
  <c r="G1902" i="45"/>
  <c r="E1903" i="45"/>
  <c r="G1903" i="45"/>
  <c r="E1904" i="45"/>
  <c r="G1904" i="45"/>
  <c r="E1905" i="45"/>
  <c r="G1905" i="45"/>
  <c r="E1906" i="45"/>
  <c r="G1906" i="45"/>
  <c r="E1907" i="45"/>
  <c r="G1907" i="45"/>
  <c r="E1908" i="45"/>
  <c r="G1908" i="45"/>
  <c r="E1909" i="45"/>
  <c r="G1909" i="45"/>
  <c r="E1910" i="45"/>
  <c r="G1910" i="45"/>
  <c r="E1911" i="45"/>
  <c r="G1911" i="45"/>
  <c r="E1912" i="45"/>
  <c r="G1912" i="45"/>
  <c r="E1913" i="45"/>
  <c r="G1913" i="45"/>
  <c r="E1914" i="45"/>
  <c r="G1914" i="45"/>
  <c r="E1915" i="45"/>
  <c r="G1915" i="45"/>
  <c r="E1916" i="45"/>
  <c r="G1916" i="45"/>
  <c r="E1917" i="45"/>
  <c r="G1917" i="45"/>
  <c r="E1918" i="45"/>
  <c r="G1918" i="45"/>
  <c r="E1919" i="45"/>
  <c r="G1919" i="45"/>
  <c r="E1920" i="45"/>
  <c r="G1920" i="45"/>
  <c r="E1921" i="45"/>
  <c r="G1921" i="45"/>
  <c r="E1922" i="45"/>
  <c r="G1922" i="45"/>
  <c r="E1923" i="45"/>
  <c r="G1923" i="45"/>
  <c r="E1924" i="45"/>
  <c r="G1924" i="45"/>
  <c r="E1925" i="45"/>
  <c r="G1925" i="45"/>
  <c r="E1926" i="45"/>
  <c r="G1926" i="45"/>
  <c r="E1927" i="45"/>
  <c r="G1927" i="45"/>
  <c r="E1928" i="45"/>
  <c r="G1928" i="45"/>
  <c r="E1929" i="45"/>
  <c r="G1929" i="45"/>
  <c r="E1930" i="45"/>
  <c r="G1930" i="45"/>
  <c r="E1931" i="45"/>
  <c r="G1931" i="45"/>
  <c r="E1932" i="45"/>
  <c r="G1932" i="45"/>
  <c r="E1933" i="45"/>
  <c r="G1933" i="45"/>
  <c r="E1934" i="45"/>
  <c r="G1934" i="45"/>
  <c r="E1935" i="45"/>
  <c r="G1935" i="45"/>
  <c r="E1936" i="45"/>
  <c r="G1936" i="45"/>
  <c r="E1937" i="45"/>
  <c r="G1937" i="45"/>
  <c r="E1938" i="45"/>
  <c r="G1938" i="45"/>
  <c r="E1939" i="45"/>
  <c r="G1939" i="45"/>
  <c r="E1940" i="45"/>
  <c r="G1940" i="45"/>
  <c r="E1941" i="45"/>
  <c r="G1941" i="45"/>
  <c r="E1942" i="45"/>
  <c r="G1942" i="45"/>
  <c r="E1943" i="45"/>
  <c r="G1943" i="45"/>
  <c r="E1944" i="45"/>
  <c r="G1944" i="45"/>
  <c r="E1945" i="45"/>
  <c r="G1945" i="45"/>
  <c r="E1946" i="45"/>
  <c r="G1946" i="45"/>
  <c r="E1947" i="45"/>
  <c r="G1947" i="45"/>
  <c r="E1948" i="45"/>
  <c r="G1948" i="45"/>
  <c r="E1949" i="45"/>
  <c r="G1949" i="45"/>
  <c r="E1950" i="45"/>
  <c r="G1950" i="45"/>
  <c r="E1951" i="45"/>
  <c r="G1951" i="45"/>
  <c r="E1952" i="45"/>
  <c r="G1952" i="45"/>
  <c r="E1953" i="45"/>
  <c r="G1953" i="45"/>
  <c r="E1954" i="45"/>
  <c r="G1954" i="45"/>
  <c r="E1955" i="45"/>
  <c r="G1955" i="45"/>
  <c r="E1956" i="45"/>
  <c r="G1956" i="45"/>
  <c r="E1957" i="45"/>
  <c r="G1957" i="45"/>
  <c r="E1958" i="45"/>
  <c r="G1958" i="45"/>
  <c r="E1959" i="45"/>
  <c r="G1959" i="45"/>
  <c r="E1960" i="45"/>
  <c r="G1960" i="45"/>
  <c r="E1961" i="45"/>
  <c r="G1961" i="45"/>
  <c r="E1962" i="45"/>
  <c r="G1962" i="45"/>
  <c r="E1963" i="45"/>
  <c r="G1963" i="45"/>
  <c r="E1964" i="45"/>
  <c r="G1964" i="45"/>
  <c r="E1965" i="45"/>
  <c r="G1965" i="45"/>
  <c r="E1966" i="45"/>
  <c r="G1966" i="45"/>
  <c r="E1967" i="45"/>
  <c r="G1967" i="45"/>
  <c r="E1968" i="45"/>
  <c r="G1968" i="45"/>
  <c r="E1969" i="45"/>
  <c r="G1969" i="45"/>
  <c r="E1970" i="45"/>
  <c r="G1970" i="45"/>
  <c r="E1971" i="45"/>
  <c r="G1971" i="45"/>
  <c r="E1972" i="45"/>
  <c r="G1972" i="45"/>
  <c r="E1973" i="45"/>
  <c r="G1973" i="45"/>
  <c r="E1974" i="45"/>
  <c r="G1974" i="45"/>
  <c r="E1975" i="45"/>
  <c r="G1975" i="45"/>
  <c r="E1976" i="45"/>
  <c r="G1976" i="45"/>
  <c r="E1977" i="45"/>
  <c r="G1977" i="45"/>
  <c r="E1978" i="45"/>
  <c r="G1978" i="45"/>
  <c r="E1979" i="45"/>
  <c r="G1979" i="45"/>
  <c r="E1980" i="45"/>
  <c r="G1980" i="45"/>
  <c r="E1981" i="45"/>
  <c r="G1981" i="45"/>
  <c r="E1982" i="45"/>
  <c r="G1982" i="45"/>
  <c r="E1983" i="45"/>
  <c r="G1983" i="45"/>
  <c r="E1984" i="45"/>
  <c r="G1984" i="45"/>
  <c r="E1985" i="45"/>
  <c r="G1985" i="45"/>
  <c r="E1986" i="45"/>
  <c r="G1986" i="45"/>
  <c r="E1987" i="45"/>
  <c r="G1987" i="45"/>
  <c r="E1988" i="45"/>
  <c r="G1988" i="45"/>
  <c r="E1989" i="45"/>
  <c r="G1989" i="45"/>
  <c r="E1990" i="45"/>
  <c r="G1990" i="45"/>
  <c r="E1991" i="45"/>
  <c r="G1991" i="45"/>
  <c r="E1992" i="45"/>
  <c r="G1992" i="45"/>
  <c r="E1993" i="45"/>
  <c r="G1993" i="45"/>
  <c r="E1994" i="45"/>
  <c r="G1994" i="45"/>
  <c r="E1995" i="45"/>
  <c r="G1995" i="45"/>
  <c r="E1996" i="45"/>
  <c r="G1996" i="45"/>
  <c r="E1997" i="45"/>
  <c r="G1997" i="45"/>
  <c r="E1998" i="45"/>
  <c r="G1998" i="45"/>
  <c r="E1999" i="45"/>
  <c r="G1999" i="45"/>
  <c r="E2000" i="45"/>
  <c r="G2000" i="45"/>
  <c r="E2001" i="45"/>
  <c r="G2001" i="45"/>
  <c r="E2002" i="45"/>
  <c r="G2002" i="45"/>
  <c r="E2003" i="45"/>
  <c r="G2003" i="45"/>
  <c r="E2004" i="45"/>
  <c r="G2004" i="45"/>
  <c r="E2005" i="45"/>
  <c r="G2005" i="45"/>
  <c r="E2006" i="45"/>
  <c r="G2006" i="45"/>
  <c r="E2007" i="45"/>
  <c r="G2007" i="45"/>
  <c r="E2008" i="45"/>
  <c r="G2008" i="45"/>
  <c r="E2009" i="45"/>
  <c r="G2009" i="45"/>
  <c r="E2010" i="45"/>
  <c r="G2010" i="45"/>
  <c r="E2011" i="45"/>
  <c r="G2011" i="45"/>
  <c r="E2012" i="45"/>
  <c r="G2012" i="45"/>
  <c r="E2013" i="45"/>
  <c r="G2013" i="45"/>
  <c r="E2014" i="45"/>
  <c r="G2014" i="45"/>
  <c r="E2015" i="45"/>
  <c r="G2015" i="45"/>
  <c r="E2016" i="45"/>
  <c r="G2016" i="45"/>
  <c r="E2017" i="45"/>
  <c r="G2017" i="45"/>
  <c r="E2018" i="45"/>
  <c r="G2018" i="45"/>
  <c r="E2019" i="45"/>
  <c r="G2019" i="45"/>
  <c r="E2020" i="45"/>
  <c r="G2020" i="45"/>
  <c r="E2021" i="45"/>
  <c r="G2021" i="45"/>
  <c r="E2022" i="45"/>
  <c r="G2022" i="45"/>
  <c r="E2023" i="45"/>
  <c r="G2023" i="45"/>
  <c r="E2024" i="45"/>
  <c r="G2024" i="45"/>
  <c r="E2025" i="45"/>
  <c r="G2025" i="45"/>
  <c r="E2026" i="45"/>
  <c r="G2026" i="45"/>
  <c r="E2027" i="45"/>
  <c r="G2027" i="45"/>
  <c r="E2028" i="45"/>
  <c r="G2028" i="45"/>
  <c r="E2029" i="45"/>
  <c r="G2029" i="45"/>
  <c r="E2030" i="45"/>
  <c r="G2030" i="45"/>
  <c r="E2031" i="45"/>
  <c r="G2031" i="45"/>
  <c r="E2032" i="45"/>
  <c r="G2032" i="45"/>
  <c r="E2033" i="45"/>
  <c r="G2033" i="45"/>
  <c r="E2034" i="45"/>
  <c r="G2034" i="45"/>
  <c r="E2035" i="45"/>
  <c r="G2035" i="45"/>
  <c r="E2036" i="45"/>
  <c r="G2036" i="45"/>
  <c r="E2037" i="45"/>
  <c r="G2037" i="45"/>
  <c r="E2038" i="45"/>
  <c r="G2038" i="45"/>
  <c r="E2039" i="45"/>
  <c r="G2039" i="45"/>
  <c r="J35" i="7"/>
  <c r="J10" i="24"/>
  <c r="P11" i="24"/>
  <c r="P10" i="24"/>
  <c r="J11" i="24"/>
  <c r="K35" i="7"/>
  <c r="K10" i="8"/>
  <c r="K35" i="8" s="1"/>
  <c r="L35" i="7"/>
  <c r="L10" i="8"/>
  <c r="L35" i="8" s="1"/>
  <c r="M10" i="8"/>
  <c r="M35" i="8" s="1"/>
  <c r="M35" i="7"/>
  <c r="N35" i="7"/>
  <c r="N10" i="8"/>
  <c r="N35" i="8" s="1"/>
  <c r="O10" i="8"/>
  <c r="O35" i="8" s="1"/>
  <c r="O35" i="7"/>
  <c r="P10" i="8"/>
  <c r="P35" i="8" s="1"/>
  <c r="P35" i="7"/>
  <c r="Q35" i="7"/>
  <c r="Q10" i="8"/>
  <c r="Q35" i="8" s="1"/>
  <c r="S10" i="7"/>
  <c r="R35" i="7"/>
  <c r="R10" i="8"/>
  <c r="R35" i="8" s="1"/>
  <c r="I475" i="31"/>
  <c r="I476" i="31" s="1"/>
  <c r="I477" i="31" s="1"/>
  <c r="G477" i="31" s="1"/>
  <c r="C477" i="31" s="1"/>
  <c r="H458" i="31"/>
  <c r="H459" i="31" s="1"/>
  <c r="H460" i="31" s="1"/>
  <c r="M10" i="9"/>
  <c r="M41" i="9" s="1"/>
  <c r="H46" i="6"/>
  <c r="G432" i="31"/>
  <c r="F1591" i="31"/>
  <c r="F14" i="39" l="1"/>
  <c r="E14" i="39"/>
  <c r="D127" i="56" a="1"/>
  <c r="D127" i="56" s="1"/>
  <c r="D152" i="56" a="1"/>
  <c r="D152" i="56" s="1"/>
  <c r="H158" i="56"/>
  <c r="D158" i="56" s="1" a="1"/>
  <c r="D158" i="56" s="1"/>
  <c r="H148" i="56"/>
  <c r="D147" i="56" a="1"/>
  <c r="D147" i="56" s="1"/>
  <c r="H138" i="56"/>
  <c r="D137" i="56" a="1"/>
  <c r="D137" i="56" s="1"/>
  <c r="H133" i="56"/>
  <c r="D132" i="56" a="1"/>
  <c r="D132" i="56" s="1"/>
  <c r="H143" i="56"/>
  <c r="D142" i="56" a="1"/>
  <c r="D142" i="56" s="1"/>
  <c r="F1702" i="31"/>
  <c r="D48" i="57"/>
  <c r="F1634" i="31"/>
  <c r="D34" i="57"/>
  <c r="D50" i="57"/>
  <c r="D51" i="57"/>
  <c r="D49" i="57"/>
  <c r="G450" i="31"/>
  <c r="C450" i="31" s="1"/>
  <c r="H245" i="31"/>
  <c r="H246" i="31" s="1"/>
  <c r="I74" i="31"/>
  <c r="G74" i="31" s="1"/>
  <c r="C74" i="31" s="1"/>
  <c r="G300" i="31"/>
  <c r="C300" i="31" s="1"/>
  <c r="H462" i="31"/>
  <c r="H463" i="31" s="1"/>
  <c r="H464" i="31" s="1"/>
  <c r="I247" i="31"/>
  <c r="I12" i="25"/>
  <c r="K8" i="54"/>
  <c r="I12" i="26"/>
  <c r="I70" i="26"/>
  <c r="D195" i="41"/>
  <c r="I343" i="31"/>
  <c r="G343" i="31" s="1"/>
  <c r="B343" i="31" s="1"/>
  <c r="G66" i="31"/>
  <c r="B66" i="31" s="1"/>
  <c r="I391" i="31"/>
  <c r="I69" i="31"/>
  <c r="G69" i="31" s="1"/>
  <c r="C69" i="31" s="1"/>
  <c r="G1525" i="31"/>
  <c r="I1527" i="31"/>
  <c r="G1527" i="31" s="1"/>
  <c r="I469" i="31"/>
  <c r="I470" i="31" s="1"/>
  <c r="G379" i="31"/>
  <c r="B379" i="31" s="1"/>
  <c r="G1284" i="31"/>
  <c r="C1284" i="31" s="1"/>
  <c r="I319" i="31"/>
  <c r="G319" i="31" s="1"/>
  <c r="C319" i="31" s="1"/>
  <c r="I265" i="31"/>
  <c r="G265" i="31" s="1"/>
  <c r="B265" i="31" s="1"/>
  <c r="G487" i="31"/>
  <c r="C487" i="31" s="1"/>
  <c r="I511" i="31"/>
  <c r="H153" i="56"/>
  <c r="G227" i="31"/>
  <c r="C227" i="31" s="1"/>
  <c r="F9" i="31"/>
  <c r="I409" i="31"/>
  <c r="G409" i="31" s="1"/>
  <c r="C409" i="31" s="1"/>
  <c r="I373" i="31"/>
  <c r="I374" i="31" s="1"/>
  <c r="I375" i="31" s="1"/>
  <c r="G375" i="31" s="1"/>
  <c r="C375" i="31" s="1"/>
  <c r="I1568" i="31"/>
  <c r="I1569" i="31" s="1"/>
  <c r="I1570" i="31" s="1"/>
  <c r="G59" i="31"/>
  <c r="C59" i="31" s="1"/>
  <c r="D72" i="9"/>
  <c r="G48" i="9" s="1"/>
  <c r="G64" i="9"/>
  <c r="S45" i="7"/>
  <c r="G54" i="10"/>
  <c r="I41" i="8"/>
  <c r="S19" i="7"/>
  <c r="I529" i="31"/>
  <c r="I530" i="31" s="1"/>
  <c r="I531" i="31" s="1"/>
  <c r="G49" i="9"/>
  <c r="I12" i="8"/>
  <c r="J196" i="41"/>
  <c r="J197" i="41" s="1"/>
  <c r="J198" i="41" s="1"/>
  <c r="I221" i="31"/>
  <c r="G221" i="31" s="1"/>
  <c r="C221" i="31" s="1"/>
  <c r="S23" i="7"/>
  <c r="G17" i="10"/>
  <c r="J184" i="41"/>
  <c r="J172" i="41"/>
  <c r="D32" i="9"/>
  <c r="D33" i="9" s="1"/>
  <c r="J160" i="41"/>
  <c r="I15" i="7"/>
  <c r="H231" i="41"/>
  <c r="D33" i="10"/>
  <c r="G13" i="9"/>
  <c r="F29" i="10"/>
  <c r="L48" i="38"/>
  <c r="J148" i="41"/>
  <c r="H148" i="41" s="1"/>
  <c r="F70" i="9"/>
  <c r="G46" i="9"/>
  <c r="A15" i="9"/>
  <c r="A16" i="9" s="1"/>
  <c r="G60" i="10"/>
  <c r="M38" i="38"/>
  <c r="N24" i="8"/>
  <c r="H38" i="38"/>
  <c r="F551" i="31" s="1"/>
  <c r="L24" i="7"/>
  <c r="F16" i="22"/>
  <c r="H196" i="41"/>
  <c r="H208" i="41"/>
  <c r="J209" i="41"/>
  <c r="H220" i="41"/>
  <c r="J221" i="41"/>
  <c r="H232" i="41"/>
  <c r="J233" i="41"/>
  <c r="G13" i="10"/>
  <c r="I41" i="7"/>
  <c r="D27" i="6"/>
  <c r="G271" i="31"/>
  <c r="C271" i="31" s="1"/>
  <c r="I50" i="8"/>
  <c r="S50" i="8" s="1"/>
  <c r="F26" i="6"/>
  <c r="H219" i="41"/>
  <c r="J16" i="41"/>
  <c r="I4" i="41"/>
  <c r="F72" i="9"/>
  <c r="D147" i="41"/>
  <c r="D62" i="6"/>
  <c r="G51" i="6" s="1"/>
  <c r="G50" i="6"/>
  <c r="H207" i="41"/>
  <c r="I196" i="41"/>
  <c r="J28" i="41"/>
  <c r="J29" i="41" s="1"/>
  <c r="K24" i="8"/>
  <c r="G52" i="9"/>
  <c r="K25" i="10"/>
  <c r="I15" i="12"/>
  <c r="I22" i="12" s="1"/>
  <c r="G12" i="22"/>
  <c r="S42" i="8"/>
  <c r="Q24" i="7"/>
  <c r="G17" i="6"/>
  <c r="S13" i="8"/>
  <c r="F28" i="12"/>
  <c r="D34" i="10"/>
  <c r="G195" i="41"/>
  <c r="J41" i="41"/>
  <c r="I38" i="8"/>
  <c r="B474" i="31"/>
  <c r="Q46" i="6"/>
  <c r="I71" i="25"/>
  <c r="L10" i="9"/>
  <c r="L41" i="9" s="1"/>
  <c r="B28" i="41"/>
  <c r="B1713" i="31"/>
  <c r="R46" i="6"/>
  <c r="I8" i="4"/>
  <c r="B528" i="31"/>
  <c r="B61" i="31"/>
  <c r="B24" i="31"/>
  <c r="H10" i="9"/>
  <c r="H41" i="9" s="1"/>
  <c r="H8" i="4"/>
  <c r="B1729" i="31"/>
  <c r="J1711" i="31"/>
  <c r="J1713" i="31"/>
  <c r="I4" i="31"/>
  <c r="G4" i="31" s="1"/>
  <c r="B4" i="31" s="1"/>
  <c r="G80" i="31"/>
  <c r="C80" i="31" s="1"/>
  <c r="F1513" i="31"/>
  <c r="G841" i="31"/>
  <c r="C841" i="31" s="1"/>
  <c r="F220" i="31"/>
  <c r="G660" i="31"/>
  <c r="C660" i="31" s="1"/>
  <c r="I535" i="31"/>
  <c r="I536" i="31" s="1"/>
  <c r="G536" i="31" s="1"/>
  <c r="B536" i="31" s="1"/>
  <c r="G1519" i="31"/>
  <c r="I547" i="31"/>
  <c r="I548" i="31" s="1"/>
  <c r="I549" i="31" s="1"/>
  <c r="I550" i="31" s="1"/>
  <c r="G550" i="31" s="1"/>
  <c r="B550" i="31" s="1"/>
  <c r="I697" i="31"/>
  <c r="I698" i="31" s="1"/>
  <c r="I523" i="31"/>
  <c r="G523" i="31" s="1"/>
  <c r="B523" i="31" s="1"/>
  <c r="G1356" i="31"/>
  <c r="C1356" i="31" s="1"/>
  <c r="I541" i="31"/>
  <c r="I542" i="31" s="1"/>
  <c r="G542" i="31" s="1"/>
  <c r="B542" i="31" s="1"/>
  <c r="G1440" i="31"/>
  <c r="C1440" i="31" s="1"/>
  <c r="H1410" i="31"/>
  <c r="H1411" i="31" s="1"/>
  <c r="F1411" i="31" s="1"/>
  <c r="I1153" i="31"/>
  <c r="G1153" i="31" s="1"/>
  <c r="C1153" i="31" s="1"/>
  <c r="G1501" i="31"/>
  <c r="I367" i="31"/>
  <c r="G367" i="31" s="1"/>
  <c r="B367" i="31" s="1"/>
  <c r="G67" i="31"/>
  <c r="C67" i="31" s="1"/>
  <c r="F239" i="31"/>
  <c r="G1422" i="31"/>
  <c r="C1422" i="31" s="1"/>
  <c r="G17" i="31"/>
  <c r="C17" i="31" s="1"/>
  <c r="I32" i="31"/>
  <c r="I33" i="31" s="1"/>
  <c r="G33" i="31" s="1"/>
  <c r="C33" i="31" s="1"/>
  <c r="G282" i="31"/>
  <c r="B282" i="31" s="1"/>
  <c r="H563" i="31"/>
  <c r="H564" i="31" s="1"/>
  <c r="H565" i="31" s="1"/>
  <c r="H566" i="31" s="1"/>
  <c r="H567" i="31" s="1"/>
  <c r="H568" i="31" s="1"/>
  <c r="F1488" i="31"/>
  <c r="I53" i="31"/>
  <c r="G53" i="31" s="1"/>
  <c r="C53" i="31" s="1"/>
  <c r="G462" i="31"/>
  <c r="B462" i="31" s="1"/>
  <c r="F1489" i="31"/>
  <c r="M10" i="38"/>
  <c r="M35" i="38" s="1"/>
  <c r="I10" i="9"/>
  <c r="I41" i="9" s="1"/>
  <c r="C47" i="47"/>
  <c r="D47" i="47"/>
  <c r="I25" i="38"/>
  <c r="H467" i="31"/>
  <c r="F467" i="31" s="1"/>
  <c r="H1643" i="31"/>
  <c r="H1644" i="31" s="1"/>
  <c r="H1645" i="31" s="1"/>
  <c r="H1646" i="31" s="1"/>
  <c r="H1647" i="31" s="1"/>
  <c r="I1033" i="31"/>
  <c r="I1034" i="31" s="1"/>
  <c r="G1034" i="31" s="1"/>
  <c r="C1034" i="31" s="1"/>
  <c r="G768" i="31"/>
  <c r="C768" i="31" s="1"/>
  <c r="G1308" i="31"/>
  <c r="C1308" i="31" s="1"/>
  <c r="I493" i="31"/>
  <c r="I494" i="31" s="1"/>
  <c r="I495" i="31" s="1"/>
  <c r="F557" i="31"/>
  <c r="G426" i="31"/>
  <c r="C426" i="31" s="1"/>
  <c r="H12" i="13"/>
  <c r="F1469" i="31" s="1"/>
  <c r="S41" i="8"/>
  <c r="N37" i="8"/>
  <c r="N54" i="8" s="1"/>
  <c r="O24" i="8"/>
  <c r="M37" i="7"/>
  <c r="R37" i="7"/>
  <c r="R54" i="7" s="1"/>
  <c r="O37" i="7"/>
  <c r="O54" i="7" s="1"/>
  <c r="L70" i="10"/>
  <c r="S40" i="7"/>
  <c r="M46" i="10"/>
  <c r="L56" i="10"/>
  <c r="H47" i="7" s="1"/>
  <c r="J46" i="10"/>
  <c r="J63" i="10" s="1"/>
  <c r="S20" i="7"/>
  <c r="I21" i="7"/>
  <c r="I18" i="7"/>
  <c r="J15" i="12"/>
  <c r="J22" i="12" s="1"/>
  <c r="P37" i="8"/>
  <c r="P54" i="8" s="1"/>
  <c r="J37" i="8"/>
  <c r="K37" i="8"/>
  <c r="K54" i="8" s="1"/>
  <c r="Q37" i="8"/>
  <c r="Q54" i="8" s="1"/>
  <c r="Q24" i="8"/>
  <c r="P24" i="8"/>
  <c r="P37" i="7"/>
  <c r="Q37" i="7"/>
  <c r="Q54" i="7" s="1"/>
  <c r="N37" i="7"/>
  <c r="J37" i="7"/>
  <c r="J54" i="7" s="1"/>
  <c r="N24" i="7"/>
  <c r="K24" i="7"/>
  <c r="R24" i="7"/>
  <c r="P24" i="7"/>
  <c r="I21" i="8"/>
  <c r="I18" i="8"/>
  <c r="L67" i="10"/>
  <c r="L75" i="10"/>
  <c r="S53" i="7"/>
  <c r="S49" i="7"/>
  <c r="I44" i="7"/>
  <c r="I37" i="7" s="1"/>
  <c r="S52" i="7"/>
  <c r="S42" i="7"/>
  <c r="I50" i="7"/>
  <c r="I47" i="7"/>
  <c r="I38" i="7"/>
  <c r="F828" i="31" s="1"/>
  <c r="K46" i="10"/>
  <c r="K63" i="10" s="1"/>
  <c r="H21" i="12"/>
  <c r="M21" i="12" s="1"/>
  <c r="L50" i="10"/>
  <c r="H41" i="7" s="1"/>
  <c r="S41" i="7" s="1"/>
  <c r="I46" i="10"/>
  <c r="I63" i="10" s="1"/>
  <c r="H18" i="12"/>
  <c r="M18" i="12" s="1"/>
  <c r="S16" i="7"/>
  <c r="M25" i="10"/>
  <c r="S22" i="7"/>
  <c r="I12" i="7"/>
  <c r="H14" i="12"/>
  <c r="M14" i="12" s="1"/>
  <c r="F671" i="31"/>
  <c r="L19" i="10"/>
  <c r="J25" i="10"/>
  <c r="L57" i="9"/>
  <c r="K44" i="9"/>
  <c r="K60" i="9" s="1"/>
  <c r="H44" i="9"/>
  <c r="N44" i="9"/>
  <c r="N60" i="9" s="1"/>
  <c r="L54" i="9"/>
  <c r="I44" i="9"/>
  <c r="F94" i="31" s="1"/>
  <c r="L45" i="9"/>
  <c r="F100" i="31"/>
  <c r="E43" i="43"/>
  <c r="N25" i="9"/>
  <c r="M25" i="9"/>
  <c r="I25" i="9"/>
  <c r="L19" i="9"/>
  <c r="I38" i="26" s="1"/>
  <c r="I49" i="26" s="1"/>
  <c r="F43" i="43"/>
  <c r="I662" i="31"/>
  <c r="G662" i="31" s="1"/>
  <c r="C662" i="31" s="1"/>
  <c r="G661" i="31"/>
  <c r="C661" i="31" s="1"/>
  <c r="G1555" i="31"/>
  <c r="F474" i="31"/>
  <c r="F1201" i="31"/>
  <c r="F1416" i="31"/>
  <c r="I482" i="31"/>
  <c r="G482" i="31" s="1"/>
  <c r="B482" i="31" s="1"/>
  <c r="G505" i="31"/>
  <c r="B505" i="31" s="1"/>
  <c r="I1453" i="31"/>
  <c r="G1453" i="31" s="1"/>
  <c r="C1453" i="31" s="1"/>
  <c r="I180" i="31"/>
  <c r="G180" i="31" s="1"/>
  <c r="C180" i="31" s="1"/>
  <c r="G480" i="31"/>
  <c r="B480" i="31" s="1"/>
  <c r="I313" i="31"/>
  <c r="G313" i="31" s="1"/>
  <c r="C313" i="31" s="1"/>
  <c r="G486" i="31"/>
  <c r="C486" i="31" s="1"/>
  <c r="I97" i="31"/>
  <c r="I98" i="31" s="1"/>
  <c r="I99" i="31" s="1"/>
  <c r="G99" i="31" s="1"/>
  <c r="B99" i="31" s="1"/>
  <c r="G463" i="31"/>
  <c r="C463" i="31" s="1"/>
  <c r="G464" i="31"/>
  <c r="B464" i="31" s="1"/>
  <c r="G136" i="31"/>
  <c r="B136" i="31" s="1"/>
  <c r="G1667" i="31"/>
  <c r="C1667" i="31" s="1"/>
  <c r="G516" i="31"/>
  <c r="B516" i="31" s="1"/>
  <c r="G504" i="31"/>
  <c r="B504" i="31" s="1"/>
  <c r="G498" i="31"/>
  <c r="C498" i="31" s="1"/>
  <c r="G1441" i="31"/>
  <c r="C1441" i="31" s="1"/>
  <c r="I1442" i="31"/>
  <c r="G1442" i="31" s="1"/>
  <c r="C1442" i="31" s="1"/>
  <c r="G987" i="31"/>
  <c r="C987" i="31" s="1"/>
  <c r="I235" i="31"/>
  <c r="I236" i="31" s="1"/>
  <c r="G236" i="31" s="1"/>
  <c r="C236" i="31" s="1"/>
  <c r="G115" i="31"/>
  <c r="B115" i="31" s="1"/>
  <c r="I1459" i="31"/>
  <c r="I1460" i="31" s="1"/>
  <c r="I1461" i="31" s="1"/>
  <c r="G164" i="31"/>
  <c r="B164" i="31" s="1"/>
  <c r="I355" i="31"/>
  <c r="I356" i="31" s="1"/>
  <c r="G356" i="31" s="1"/>
  <c r="C356" i="31" s="1"/>
  <c r="G397" i="31"/>
  <c r="B397" i="31" s="1"/>
  <c r="I1369" i="31"/>
  <c r="G1369" i="31" s="1"/>
  <c r="C1369" i="31" s="1"/>
  <c r="G396" i="31"/>
  <c r="C396" i="31" s="1"/>
  <c r="I102" i="31"/>
  <c r="G102" i="31" s="1"/>
  <c r="C102" i="31" s="1"/>
  <c r="H1626" i="31"/>
  <c r="H1630" i="31" s="1"/>
  <c r="F1630" i="31" s="1"/>
  <c r="G414" i="31"/>
  <c r="C414" i="31" s="1"/>
  <c r="I1202" i="31"/>
  <c r="G1202" i="31" s="1"/>
  <c r="C1202" i="31" s="1"/>
  <c r="G360" i="31"/>
  <c r="C360" i="31" s="1"/>
  <c r="I186" i="31"/>
  <c r="I187" i="31" s="1"/>
  <c r="G402" i="31"/>
  <c r="C402" i="31" s="1"/>
  <c r="G276" i="31"/>
  <c r="C276" i="31" s="1"/>
  <c r="G270" i="31"/>
  <c r="B270" i="31" s="1"/>
  <c r="I1321" i="31"/>
  <c r="I349" i="31"/>
  <c r="G349" i="31" s="1"/>
  <c r="C349" i="31" s="1"/>
  <c r="I949" i="31"/>
  <c r="I950" i="31" s="1"/>
  <c r="G950" i="31" s="1"/>
  <c r="C950" i="31" s="1"/>
  <c r="F1561" i="31"/>
  <c r="G792" i="31"/>
  <c r="C792" i="31" s="1"/>
  <c r="F1555" i="31"/>
  <c r="I344" i="31"/>
  <c r="I345" i="31" s="1"/>
  <c r="F234" i="31"/>
  <c r="G1092" i="31"/>
  <c r="C1092" i="31" s="1"/>
  <c r="G385" i="31"/>
  <c r="C385" i="31" s="1"/>
  <c r="H324" i="31"/>
  <c r="F324" i="31" s="1"/>
  <c r="F1531" i="31"/>
  <c r="I1394" i="31"/>
  <c r="I1395" i="31" s="1"/>
  <c r="I1396" i="31" s="1"/>
  <c r="G288" i="31"/>
  <c r="B288" i="31" s="1"/>
  <c r="K1488" i="31"/>
  <c r="K1489" i="31" s="1"/>
  <c r="K1490" i="31" s="1"/>
  <c r="K1491" i="31" s="1"/>
  <c r="K1492" i="31" s="1"/>
  <c r="K1493" i="31" s="1"/>
  <c r="G1357" i="31"/>
  <c r="C1357" i="31" s="1"/>
  <c r="I1660" i="31"/>
  <c r="G1660" i="31" s="1"/>
  <c r="C1660" i="31" s="1"/>
  <c r="G381" i="31"/>
  <c r="B381" i="31" s="1"/>
  <c r="I1620" i="31"/>
  <c r="I1621" i="31" s="1"/>
  <c r="G1621" i="31" s="1"/>
  <c r="H839" i="31"/>
  <c r="H851" i="31" s="1"/>
  <c r="H852" i="31" s="1"/>
  <c r="H853" i="31" s="1"/>
  <c r="G192" i="31"/>
  <c r="B192" i="31" s="1"/>
  <c r="H431" i="31"/>
  <c r="H432" i="31" s="1"/>
  <c r="I1129" i="31"/>
  <c r="G1129" i="31" s="1"/>
  <c r="C1129" i="31" s="1"/>
  <c r="H101" i="31"/>
  <c r="H102" i="31" s="1"/>
  <c r="G1140" i="31"/>
  <c r="C1140" i="31" s="1"/>
  <c r="G294" i="31"/>
  <c r="C294" i="31" s="1"/>
  <c r="I278" i="31"/>
  <c r="I279" i="31" s="1"/>
  <c r="G279" i="31" s="1"/>
  <c r="B279" i="31" s="1"/>
  <c r="G95" i="31"/>
  <c r="B95" i="31" s="1"/>
  <c r="G94" i="31"/>
  <c r="C94" i="31" s="1"/>
  <c r="F213" i="31"/>
  <c r="G1141" i="31"/>
  <c r="C1141" i="31" s="1"/>
  <c r="I1142" i="31"/>
  <c r="G1142" i="31" s="1"/>
  <c r="C1142" i="31" s="1"/>
  <c r="G416" i="31"/>
  <c r="C416" i="31" s="1"/>
  <c r="I417" i="31"/>
  <c r="G417" i="31" s="1"/>
  <c r="B417" i="31" s="1"/>
  <c r="G1580" i="31"/>
  <c r="I1581" i="31"/>
  <c r="I1582" i="31" s="1"/>
  <c r="I70" i="31"/>
  <c r="I71" i="31" s="1"/>
  <c r="G71" i="31" s="1"/>
  <c r="C71" i="31" s="1"/>
  <c r="G488" i="31"/>
  <c r="C488" i="31" s="1"/>
  <c r="G1044" i="31"/>
  <c r="C1044" i="31" s="1"/>
  <c r="F420" i="31"/>
  <c r="I1624" i="31"/>
  <c r="G1624" i="31" s="1"/>
  <c r="I781" i="31"/>
  <c r="G781" i="31" s="1"/>
  <c r="C781" i="31" s="1"/>
  <c r="I214" i="31"/>
  <c r="F214" i="31" s="1"/>
  <c r="I1249" i="31"/>
  <c r="I1273" i="31"/>
  <c r="G1273" i="31" s="1"/>
  <c r="C1273" i="31" s="1"/>
  <c r="I889" i="31"/>
  <c r="I890" i="31" s="1"/>
  <c r="F425" i="31"/>
  <c r="I709" i="31"/>
  <c r="I710" i="31" s="1"/>
  <c r="I711" i="31" s="1"/>
  <c r="F1754" i="31"/>
  <c r="G1579" i="31"/>
  <c r="G606" i="31"/>
  <c r="C606" i="31" s="1"/>
  <c r="G1200" i="31"/>
  <c r="C1200" i="31" s="1"/>
  <c r="G1507" i="31"/>
  <c r="G828" i="31"/>
  <c r="C828" i="31" s="1"/>
  <c r="F1507" i="31"/>
  <c r="G1296" i="31"/>
  <c r="C1296" i="31" s="1"/>
  <c r="G1404" i="31"/>
  <c r="C1404" i="31" s="1"/>
  <c r="H221" i="31"/>
  <c r="H222" i="31" s="1"/>
  <c r="H223" i="31" s="1"/>
  <c r="H224" i="31" s="1"/>
  <c r="H225" i="31" s="1"/>
  <c r="G384" i="31"/>
  <c r="B384" i="31" s="1"/>
  <c r="I1509" i="31"/>
  <c r="I1510" i="31" s="1"/>
  <c r="F1510" i="31" s="1"/>
  <c r="I865" i="31"/>
  <c r="I866" i="31" s="1"/>
  <c r="I1484" i="31"/>
  <c r="F1484" i="31" s="1"/>
  <c r="H1739" i="31"/>
  <c r="H1740" i="31" s="1"/>
  <c r="F1740" i="31" s="1"/>
  <c r="G378" i="31"/>
  <c r="B378" i="31" s="1"/>
  <c r="G380" i="31"/>
  <c r="C380" i="31" s="1"/>
  <c r="G744" i="31"/>
  <c r="C744" i="31" s="1"/>
  <c r="G1434" i="31"/>
  <c r="C1434" i="31" s="1"/>
  <c r="G756" i="31"/>
  <c r="C756" i="31" s="1"/>
  <c r="I1652" i="31"/>
  <c r="G1652" i="31" s="1"/>
  <c r="B1652" i="31" s="1"/>
  <c r="H247" i="31"/>
  <c r="H248" i="31" s="1"/>
  <c r="H249" i="31" s="1"/>
  <c r="H250" i="31" s="1"/>
  <c r="F246" i="31"/>
  <c r="F1044" i="31"/>
  <c r="H1045" i="31"/>
  <c r="H1046" i="31" s="1"/>
  <c r="H1047" i="31" s="1"/>
  <c r="I961" i="31"/>
  <c r="G961" i="31" s="1"/>
  <c r="C961" i="31" s="1"/>
  <c r="I853" i="31"/>
  <c r="I854" i="31" s="1"/>
  <c r="I877" i="31"/>
  <c r="G877" i="31" s="1"/>
  <c r="C877" i="31" s="1"/>
  <c r="I1692" i="31"/>
  <c r="G1691" i="31"/>
  <c r="B1691" i="31" s="1"/>
  <c r="I1676" i="31"/>
  <c r="G1676" i="31" s="1"/>
  <c r="B1676" i="31" s="1"/>
  <c r="G1675" i="31"/>
  <c r="C1675" i="31" s="1"/>
  <c r="I1636" i="31"/>
  <c r="G1635" i="31"/>
  <c r="C1635" i="31" s="1"/>
  <c r="G1585" i="31"/>
  <c r="I1586" i="31"/>
  <c r="H1568" i="31"/>
  <c r="H1569" i="31" s="1"/>
  <c r="H1570" i="31" s="1"/>
  <c r="H1571" i="31" s="1"/>
  <c r="F1567" i="31"/>
  <c r="I1557" i="31"/>
  <c r="F1557" i="31" s="1"/>
  <c r="G1556" i="31"/>
  <c r="H1405" i="31"/>
  <c r="H1406" i="31" s="1"/>
  <c r="H1407" i="31" s="1"/>
  <c r="H1408" i="31" s="1"/>
  <c r="F1404" i="31"/>
  <c r="G1380" i="31"/>
  <c r="C1380" i="31" s="1"/>
  <c r="I1381" i="31"/>
  <c r="G1381" i="31" s="1"/>
  <c r="C1381" i="31" s="1"/>
  <c r="I1165" i="31"/>
  <c r="G1165" i="31" s="1"/>
  <c r="C1165" i="31" s="1"/>
  <c r="G1164" i="31"/>
  <c r="C1164" i="31" s="1"/>
  <c r="I337" i="31"/>
  <c r="I338" i="31" s="1"/>
  <c r="G336" i="31"/>
  <c r="B336" i="31" s="1"/>
  <c r="I331" i="31"/>
  <c r="G330" i="31"/>
  <c r="B330" i="31" s="1"/>
  <c r="I200" i="31"/>
  <c r="G199" i="31"/>
  <c r="B199" i="31" s="1"/>
  <c r="G157" i="31"/>
  <c r="B157" i="31" s="1"/>
  <c r="I158" i="31"/>
  <c r="I159" i="31" s="1"/>
  <c r="G143" i="31"/>
  <c r="B143" i="31" s="1"/>
  <c r="I144" i="31"/>
  <c r="I145" i="31" s="1"/>
  <c r="H108" i="31"/>
  <c r="H109" i="31" s="1"/>
  <c r="F107" i="31"/>
  <c r="I1189" i="31"/>
  <c r="G1188" i="31"/>
  <c r="C1188" i="31" s="1"/>
  <c r="G1080" i="31"/>
  <c r="C1080" i="31" s="1"/>
  <c r="I1081" i="31"/>
  <c r="I1082" i="31" s="1"/>
  <c r="I1083" i="31" s="1"/>
  <c r="G1068" i="31"/>
  <c r="C1068" i="31" s="1"/>
  <c r="I1069" i="31"/>
  <c r="I1070" i="31" s="1"/>
  <c r="G1020" i="31"/>
  <c r="C1020" i="31" s="1"/>
  <c r="I1021" i="31"/>
  <c r="G732" i="31"/>
  <c r="C732" i="31" s="1"/>
  <c r="I733" i="31"/>
  <c r="G733" i="31" s="1"/>
  <c r="C733" i="31" s="1"/>
  <c r="H661" i="31"/>
  <c r="H662" i="31" s="1"/>
  <c r="H663" i="31" s="1"/>
  <c r="H664" i="31" s="1"/>
  <c r="H665" i="31" s="1"/>
  <c r="H666" i="31" s="1"/>
  <c r="I655" i="31"/>
  <c r="G654" i="31"/>
  <c r="C654" i="31" s="1"/>
  <c r="I589" i="31"/>
  <c r="I590" i="31" s="1"/>
  <c r="G588" i="31"/>
  <c r="B588" i="31" s="1"/>
  <c r="I559" i="31"/>
  <c r="I560" i="31" s="1"/>
  <c r="G558" i="31"/>
  <c r="B558" i="31" s="1"/>
  <c r="I650" i="31"/>
  <c r="G650" i="31" s="1"/>
  <c r="C650" i="31" s="1"/>
  <c r="G936" i="31"/>
  <c r="C936" i="31" s="1"/>
  <c r="H683" i="31"/>
  <c r="H695" i="31" s="1"/>
  <c r="G648" i="31"/>
  <c r="C648" i="31" s="1"/>
  <c r="G984" i="31"/>
  <c r="C984" i="31" s="1"/>
  <c r="H1211" i="31"/>
  <c r="F1211" i="31" s="1"/>
  <c r="G985" i="31"/>
  <c r="C985" i="31" s="1"/>
  <c r="I601" i="31"/>
  <c r="I602" i="31" s="1"/>
  <c r="G602" i="31" s="1"/>
  <c r="C602" i="31" s="1"/>
  <c r="G986" i="31"/>
  <c r="C986" i="31" s="1"/>
  <c r="I1117" i="31"/>
  <c r="I1118" i="31" s="1"/>
  <c r="H672" i="31"/>
  <c r="H673" i="31" s="1"/>
  <c r="I997" i="31"/>
  <c r="I998" i="31" s="1"/>
  <c r="I721" i="31"/>
  <c r="F1501" i="31"/>
  <c r="G289" i="31"/>
  <c r="B289" i="31" s="1"/>
  <c r="I1105" i="31"/>
  <c r="I1106" i="31" s="1"/>
  <c r="H318" i="31"/>
  <c r="I325" i="31"/>
  <c r="I326" i="31" s="1"/>
  <c r="G326" i="31" s="1"/>
  <c r="C326" i="31" s="1"/>
  <c r="I1345" i="31"/>
  <c r="I1346" i="31" s="1"/>
  <c r="G1346" i="31" s="1"/>
  <c r="C1346" i="31" s="1"/>
  <c r="I1532" i="31"/>
  <c r="F1532" i="31" s="1"/>
  <c r="I913" i="31"/>
  <c r="G1392" i="31"/>
  <c r="C1392" i="31" s="1"/>
  <c r="I973" i="31"/>
  <c r="I207" i="31"/>
  <c r="G207" i="31" s="1"/>
  <c r="C207" i="31" s="1"/>
  <c r="G178" i="31"/>
  <c r="B178" i="31" s="1"/>
  <c r="F558" i="31"/>
  <c r="F1635" i="31"/>
  <c r="G1627" i="31"/>
  <c r="I1628" i="31"/>
  <c r="G1628" i="31" s="1"/>
  <c r="G1561" i="31"/>
  <c r="I1562" i="31"/>
  <c r="F1525" i="31"/>
  <c r="I1496" i="31"/>
  <c r="G1496" i="31" s="1"/>
  <c r="F1495" i="31"/>
  <c r="I466" i="31"/>
  <c r="G466" i="31" s="1"/>
  <c r="B466" i="31" s="1"/>
  <c r="G465" i="31"/>
  <c r="B465" i="31" s="1"/>
  <c r="I421" i="31"/>
  <c r="F421" i="31" s="1"/>
  <c r="G420" i="31"/>
  <c r="C420" i="31" s="1"/>
  <c r="I259" i="31"/>
  <c r="G258" i="31"/>
  <c r="B258" i="31" s="1"/>
  <c r="F240" i="31"/>
  <c r="F1199" i="31"/>
  <c r="F1519" i="31"/>
  <c r="F3" i="31"/>
  <c r="I1406" i="31"/>
  <c r="I1407" i="31" s="1"/>
  <c r="H829" i="31"/>
  <c r="F829" i="31" s="1"/>
  <c r="I387" i="31"/>
  <c r="F456" i="31"/>
  <c r="G470" i="31"/>
  <c r="B470" i="31" s="1"/>
  <c r="I471" i="31"/>
  <c r="G471" i="31" s="1"/>
  <c r="C471" i="31" s="1"/>
  <c r="I512" i="31"/>
  <c r="G511" i="31"/>
  <c r="C511" i="31" s="1"/>
  <c r="I500" i="31"/>
  <c r="G499" i="31"/>
  <c r="I794" i="31"/>
  <c r="G456" i="31"/>
  <c r="C456" i="31" s="1"/>
  <c r="H1202" i="31"/>
  <c r="H1203" i="31" s="1"/>
  <c r="H1204" i="31" s="1"/>
  <c r="I938" i="31"/>
  <c r="G433" i="31"/>
  <c r="C433" i="31" s="1"/>
  <c r="I1094" i="31"/>
  <c r="G1094" i="31" s="1"/>
  <c r="C1094" i="31" s="1"/>
  <c r="G1093" i="31"/>
  <c r="C1093" i="31" s="1"/>
  <c r="G116" i="31"/>
  <c r="I117" i="31"/>
  <c r="I118" i="31" s="1"/>
  <c r="I119" i="31" s="1"/>
  <c r="G119" i="31" s="1"/>
  <c r="B119" i="31" s="1"/>
  <c r="F245" i="31"/>
  <c r="H251" i="31"/>
  <c r="I1632" i="31"/>
  <c r="G1631" i="31"/>
  <c r="I1574" i="31"/>
  <c r="F1573" i="31"/>
  <c r="G1573" i="31"/>
  <c r="I1465" i="31"/>
  <c r="I1466" i="31" s="1"/>
  <c r="G1464" i="31"/>
  <c r="C1464" i="31" s="1"/>
  <c r="I1447" i="31"/>
  <c r="I1448" i="31" s="1"/>
  <c r="G1446" i="31"/>
  <c r="C1446" i="31" s="1"/>
  <c r="I1429" i="31"/>
  <c r="G1428" i="31"/>
  <c r="C1428" i="31" s="1"/>
  <c r="I1333" i="31"/>
  <c r="G1332" i="31"/>
  <c r="C1332" i="31" s="1"/>
  <c r="I1177" i="31"/>
  <c r="G1176" i="31"/>
  <c r="C1176" i="31" s="1"/>
  <c r="I685" i="31"/>
  <c r="I686" i="31" s="1"/>
  <c r="G686" i="31" s="1"/>
  <c r="C686" i="31" s="1"/>
  <c r="G684" i="31"/>
  <c r="C684" i="31" s="1"/>
  <c r="I673" i="31"/>
  <c r="G673" i="31" s="1"/>
  <c r="C673" i="31" s="1"/>
  <c r="G672" i="31"/>
  <c r="C672" i="31" s="1"/>
  <c r="G642" i="31"/>
  <c r="B642" i="31" s="1"/>
  <c r="I643" i="31"/>
  <c r="G636" i="31"/>
  <c r="C636" i="31" s="1"/>
  <c r="I637" i="31"/>
  <c r="I631" i="31"/>
  <c r="G630" i="31"/>
  <c r="C630" i="31" s="1"/>
  <c r="I625" i="31"/>
  <c r="G624" i="31"/>
  <c r="B624" i="31" s="1"/>
  <c r="I619" i="31"/>
  <c r="G618" i="31"/>
  <c r="B618" i="31" s="1"/>
  <c r="G612" i="31"/>
  <c r="C612" i="31" s="1"/>
  <c r="I613" i="31"/>
  <c r="G613" i="31" s="1"/>
  <c r="B613" i="31" s="1"/>
  <c r="G607" i="31"/>
  <c r="B607" i="31" s="1"/>
  <c r="I608" i="31"/>
  <c r="I595" i="31"/>
  <c r="G594" i="31"/>
  <c r="G582" i="31"/>
  <c r="B582" i="31" s="1"/>
  <c r="I583" i="31"/>
  <c r="G576" i="31"/>
  <c r="I577" i="31"/>
  <c r="I571" i="31"/>
  <c r="G570" i="31"/>
  <c r="C570" i="31" s="1"/>
  <c r="I565" i="31"/>
  <c r="G564" i="31"/>
  <c r="I553" i="31"/>
  <c r="G552" i="31"/>
  <c r="C552" i="31" s="1"/>
  <c r="F1549" i="31"/>
  <c r="I1490" i="31"/>
  <c r="F1490" i="31" s="1"/>
  <c r="G1489" i="31"/>
  <c r="I1261" i="31"/>
  <c r="G1261" i="31" s="1"/>
  <c r="C1261" i="31" s="1"/>
  <c r="G1260" i="31"/>
  <c r="C1260" i="31" s="1"/>
  <c r="G1224" i="31"/>
  <c r="C1224" i="31" s="1"/>
  <c r="I1225" i="31"/>
  <c r="I1226" i="31" s="1"/>
  <c r="G804" i="31"/>
  <c r="C804" i="31" s="1"/>
  <c r="I805" i="31"/>
  <c r="G757" i="31"/>
  <c r="C757" i="31" s="1"/>
  <c r="I758" i="31"/>
  <c r="G444" i="31"/>
  <c r="C444" i="31" s="1"/>
  <c r="I445" i="31"/>
  <c r="I446" i="31" s="1"/>
  <c r="H226" i="31"/>
  <c r="F219" i="31"/>
  <c r="G38" i="31"/>
  <c r="C38" i="31" s="1"/>
  <c r="I39" i="31"/>
  <c r="I40" i="31" s="1"/>
  <c r="I11" i="31"/>
  <c r="F11" i="31" s="1"/>
  <c r="G10" i="31"/>
  <c r="C10" i="31" s="1"/>
  <c r="F1483" i="31"/>
  <c r="F10" i="31"/>
  <c r="G1297" i="31"/>
  <c r="C1297" i="31" s="1"/>
  <c r="I1299" i="31"/>
  <c r="G842" i="31"/>
  <c r="C842" i="31" s="1"/>
  <c r="I1237" i="31"/>
  <c r="G1237" i="31" s="1"/>
  <c r="C1237" i="31" s="1"/>
  <c r="H16" i="31"/>
  <c r="D219" i="31"/>
  <c r="D220" i="31" s="1"/>
  <c r="D221" i="31" s="1"/>
  <c r="D222" i="31" s="1"/>
  <c r="D223" i="31" s="1"/>
  <c r="D224" i="31" s="1"/>
  <c r="D225" i="31" s="1"/>
  <c r="G1416" i="31"/>
  <c r="C1416" i="31" s="1"/>
  <c r="I25" i="31"/>
  <c r="G25" i="31" s="1"/>
  <c r="B25" i="31" s="1"/>
  <c r="G840" i="31"/>
  <c r="C840" i="31" s="1"/>
  <c r="I1684" i="31"/>
  <c r="I88" i="31"/>
  <c r="G1212" i="31"/>
  <c r="C1212" i="31" s="1"/>
  <c r="G391" i="31"/>
  <c r="I392" i="31"/>
  <c r="G392" i="31" s="1"/>
  <c r="B392" i="31" s="1"/>
  <c r="I830" i="31"/>
  <c r="I831" i="31" s="1"/>
  <c r="I439" i="31"/>
  <c r="G439" i="31" s="1"/>
  <c r="C439" i="31" s="1"/>
  <c r="I46" i="31"/>
  <c r="H1055" i="31"/>
  <c r="F1043" i="31"/>
  <c r="G1008" i="31"/>
  <c r="C1008" i="31" s="1"/>
  <c r="I1009" i="31"/>
  <c r="I925" i="31"/>
  <c r="I926" i="31" s="1"/>
  <c r="G924" i="31"/>
  <c r="C924" i="31" s="1"/>
  <c r="I518" i="31"/>
  <c r="G517" i="31"/>
  <c r="F479" i="31"/>
  <c r="H480" i="31"/>
  <c r="H481" i="31" s="1"/>
  <c r="H313" i="31"/>
  <c r="H314" i="31" s="1"/>
  <c r="H315" i="31" s="1"/>
  <c r="H316" i="31" s="1"/>
  <c r="G306" i="31"/>
  <c r="B306" i="31" s="1"/>
  <c r="I307" i="31"/>
  <c r="G307" i="31" s="1"/>
  <c r="B307" i="31" s="1"/>
  <c r="G283" i="31"/>
  <c r="C283" i="31" s="1"/>
  <c r="I284" i="31"/>
  <c r="G252" i="31"/>
  <c r="C252" i="31" s="1"/>
  <c r="I253" i="31"/>
  <c r="G253" i="31" s="1"/>
  <c r="B253" i="31" s="1"/>
  <c r="G240" i="31"/>
  <c r="C240" i="31" s="1"/>
  <c r="I241" i="31"/>
  <c r="F241" i="31" s="1"/>
  <c r="G171" i="31"/>
  <c r="C171" i="31" s="1"/>
  <c r="I172" i="31"/>
  <c r="G172" i="31" s="1"/>
  <c r="C172" i="31" s="1"/>
  <c r="I151" i="31"/>
  <c r="G150" i="31"/>
  <c r="I130" i="31"/>
  <c r="G129" i="31"/>
  <c r="C129" i="31" s="1"/>
  <c r="I123" i="31"/>
  <c r="G122" i="31"/>
  <c r="C122" i="31" s="1"/>
  <c r="F1622" i="31"/>
  <c r="H12" i="31"/>
  <c r="F1758" i="31"/>
  <c r="F1691" i="31"/>
  <c r="H491" i="31"/>
  <c r="F485" i="31"/>
  <c r="G457" i="31"/>
  <c r="C457" i="31" s="1"/>
  <c r="F457" i="31"/>
  <c r="F1417" i="31"/>
  <c r="F426" i="31"/>
  <c r="H427" i="31"/>
  <c r="H428" i="31" s="1"/>
  <c r="I404" i="31"/>
  <c r="G403" i="31"/>
  <c r="B403" i="31" s="1"/>
  <c r="I62" i="31"/>
  <c r="I1538" i="31"/>
  <c r="F1538" i="31" s="1"/>
  <c r="G1537" i="31"/>
  <c r="F1537" i="31"/>
  <c r="H1756" i="31"/>
  <c r="F1756" i="31" s="1"/>
  <c r="F1755" i="31"/>
  <c r="I248" i="31"/>
  <c r="G247" i="31"/>
  <c r="B247" i="31" s="1"/>
  <c r="G427" i="31"/>
  <c r="B427" i="31" s="1"/>
  <c r="I428" i="31"/>
  <c r="K1705" i="31"/>
  <c r="I478" i="31"/>
  <c r="G478" i="31" s="1"/>
  <c r="B478" i="31" s="1"/>
  <c r="I1545" i="31"/>
  <c r="F1545" i="31" s="1"/>
  <c r="F1415" i="31"/>
  <c r="G475" i="31"/>
  <c r="B475" i="31" s="1"/>
  <c r="H1658" i="31"/>
  <c r="H1666" i="31" s="1"/>
  <c r="K1702" i="31"/>
  <c r="F323" i="31"/>
  <c r="F476" i="31"/>
  <c r="G228" i="31"/>
  <c r="C228" i="31" s="1"/>
  <c r="I229" i="31"/>
  <c r="G229" i="31" s="1"/>
  <c r="B229" i="31" s="1"/>
  <c r="G451" i="31"/>
  <c r="C451" i="31" s="1"/>
  <c r="I399" i="31"/>
  <c r="G398" i="31"/>
  <c r="C398" i="31" s="1"/>
  <c r="I1310" i="31"/>
  <c r="G1309" i="31"/>
  <c r="C1309" i="31" s="1"/>
  <c r="K1701" i="31"/>
  <c r="K1703" i="31" s="1"/>
  <c r="I1214" i="31"/>
  <c r="I1669" i="31"/>
  <c r="I1670" i="31" s="1"/>
  <c r="G361" i="31"/>
  <c r="C361" i="31" s="1"/>
  <c r="I362" i="31"/>
  <c r="F475" i="31"/>
  <c r="I291" i="31"/>
  <c r="I292" i="31" s="1"/>
  <c r="G292" i="31" s="1"/>
  <c r="C292" i="31" s="1"/>
  <c r="G290" i="31"/>
  <c r="C290" i="31" s="1"/>
  <c r="G60" i="31"/>
  <c r="C60" i="31" s="1"/>
  <c r="H561" i="31"/>
  <c r="H562" i="31" s="1"/>
  <c r="G165" i="31"/>
  <c r="B165" i="31" s="1"/>
  <c r="I166" i="31"/>
  <c r="G1643" i="31"/>
  <c r="B1643" i="31" s="1"/>
  <c r="I1644" i="31"/>
  <c r="H1620" i="31"/>
  <c r="F1619" i="31"/>
  <c r="I302" i="31"/>
  <c r="G301" i="31"/>
  <c r="B301" i="31" s="1"/>
  <c r="I296" i="31"/>
  <c r="G295" i="31"/>
  <c r="B295" i="31" s="1"/>
  <c r="I989" i="31"/>
  <c r="G374" i="31"/>
  <c r="B374" i="31" s="1"/>
  <c r="I490" i="31"/>
  <c r="G490" i="31" s="1"/>
  <c r="C490" i="31" s="1"/>
  <c r="G82" i="31"/>
  <c r="B82" i="31" s="1"/>
  <c r="I273" i="31"/>
  <c r="F1544" i="31"/>
  <c r="H1760" i="31"/>
  <c r="F1760" i="31" s="1"/>
  <c r="G769" i="31"/>
  <c r="C769" i="31" s="1"/>
  <c r="I770" i="31"/>
  <c r="I771" i="31" s="1"/>
  <c r="I844" i="31"/>
  <c r="G843" i="31"/>
  <c r="C843" i="31" s="1"/>
  <c r="I1286" i="31"/>
  <c r="G1285" i="31"/>
  <c r="C1285" i="31" s="1"/>
  <c r="I453" i="31"/>
  <c r="G452" i="31"/>
  <c r="B452" i="31" s="1"/>
  <c r="H1516" i="31"/>
  <c r="G1411" i="31"/>
  <c r="C1411" i="31" s="1"/>
  <c r="I1412" i="31"/>
  <c r="G900" i="31"/>
  <c r="C900" i="31" s="1"/>
  <c r="I901" i="31"/>
  <c r="I376" i="31"/>
  <c r="G376" i="31" s="1"/>
  <c r="B376" i="31" s="1"/>
  <c r="G373" i="31"/>
  <c r="C373" i="31" s="1"/>
  <c r="G81" i="31"/>
  <c r="B81" i="31" s="1"/>
  <c r="H242" i="31"/>
  <c r="G469" i="31"/>
  <c r="B469" i="31" s="1"/>
  <c r="I1503" i="31"/>
  <c r="H1034" i="31"/>
  <c r="H1563" i="31"/>
  <c r="H1564" i="31" s="1"/>
  <c r="H1472" i="31"/>
  <c r="H1473" i="31" s="1"/>
  <c r="F1473" i="31" s="1"/>
  <c r="H1607" i="31"/>
  <c r="F1502" i="31"/>
  <c r="I34" i="31"/>
  <c r="G1410" i="31"/>
  <c r="C1410" i="31" s="1"/>
  <c r="H1586" i="31"/>
  <c r="F1585" i="31"/>
  <c r="I1550" i="31"/>
  <c r="G1549" i="31"/>
  <c r="I1057" i="31"/>
  <c r="G816" i="31"/>
  <c r="C816" i="31" s="1"/>
  <c r="I817" i="31"/>
  <c r="G108" i="31"/>
  <c r="C108" i="31" s="1"/>
  <c r="I109" i="31"/>
  <c r="I110" i="31" s="1"/>
  <c r="H1421" i="31"/>
  <c r="I194" i="31"/>
  <c r="G193" i="31"/>
  <c r="B193" i="31" s="1"/>
  <c r="G1543" i="31"/>
  <c r="F1543" i="31"/>
  <c r="G1513" i="31"/>
  <c r="I1514" i="31"/>
  <c r="G745" i="31"/>
  <c r="C745" i="31" s="1"/>
  <c r="I746" i="31"/>
  <c r="F1556" i="31"/>
  <c r="F1623" i="31"/>
  <c r="K181" i="41"/>
  <c r="D44" i="47"/>
  <c r="K106" i="41"/>
  <c r="D41" i="47"/>
  <c r="J1684" i="31"/>
  <c r="D39" i="47"/>
  <c r="J1632" i="31"/>
  <c r="D37" i="47"/>
  <c r="J1499" i="31"/>
  <c r="D33" i="47"/>
  <c r="J1477" i="31"/>
  <c r="D31" i="47"/>
  <c r="F4" i="12"/>
  <c r="C29" i="47" s="1"/>
  <c r="D29" i="47"/>
  <c r="F4" i="8"/>
  <c r="C27" i="47" s="1"/>
  <c r="D27" i="47"/>
  <c r="F4" i="7"/>
  <c r="C25" i="47" s="1"/>
  <c r="D25" i="47"/>
  <c r="J418" i="31"/>
  <c r="D21" i="47"/>
  <c r="C2" i="42"/>
  <c r="D17" i="47"/>
  <c r="F4" i="11"/>
  <c r="C15" i="47" s="1"/>
  <c r="D15" i="47"/>
  <c r="F4" i="4"/>
  <c r="C13" i="47" s="1"/>
  <c r="I27" i="44"/>
  <c r="D11" i="47"/>
  <c r="B823" i="31"/>
  <c r="B1554" i="31"/>
  <c r="B1718" i="31"/>
  <c r="B673" i="31"/>
  <c r="B725" i="31"/>
  <c r="B796" i="31"/>
  <c r="B875" i="31"/>
  <c r="B929" i="31"/>
  <c r="B993" i="31"/>
  <c r="B1125" i="31"/>
  <c r="B1337" i="31"/>
  <c r="B1550" i="31"/>
  <c r="B172" i="41"/>
  <c r="B745" i="31"/>
  <c r="B1025" i="31"/>
  <c r="B546" i="31"/>
  <c r="B1719" i="31"/>
  <c r="B1717" i="31"/>
  <c r="B73" i="31"/>
  <c r="B693" i="31"/>
  <c r="B772" i="31"/>
  <c r="B827" i="31"/>
  <c r="B879" i="31"/>
  <c r="B949" i="31"/>
  <c r="B1080" i="31"/>
  <c r="B1185" i="31"/>
  <c r="B1350" i="31"/>
  <c r="B12" i="41"/>
  <c r="B877" i="31"/>
  <c r="B1345" i="31"/>
  <c r="E22" i="39"/>
  <c r="B1732" i="31"/>
  <c r="B87" i="31"/>
  <c r="B721" i="31"/>
  <c r="B775" i="31"/>
  <c r="B828" i="31"/>
  <c r="B899" i="31"/>
  <c r="B987" i="31"/>
  <c r="B1083" i="31"/>
  <c r="B1189" i="31"/>
  <c r="B1426" i="31"/>
  <c r="B156" i="41"/>
  <c r="B675" i="31"/>
  <c r="B931" i="31"/>
  <c r="B1183" i="31"/>
  <c r="B600" i="31"/>
  <c r="B649" i="31"/>
  <c r="B408" i="31"/>
  <c r="B179" i="31"/>
  <c r="B1728" i="31"/>
  <c r="B492" i="31"/>
  <c r="B669" i="31"/>
  <c r="B724" i="31"/>
  <c r="B777" i="31"/>
  <c r="B847" i="31"/>
  <c r="B925" i="31"/>
  <c r="B992" i="31"/>
  <c r="B1087" i="31"/>
  <c r="B1235" i="31"/>
  <c r="B1542" i="31"/>
  <c r="B166" i="41"/>
  <c r="K53" i="14"/>
  <c r="F1590" i="31" s="1"/>
  <c r="H37" i="8"/>
  <c r="H54" i="8" s="1"/>
  <c r="O24" i="7"/>
  <c r="S23" i="8"/>
  <c r="S21" i="8" s="1"/>
  <c r="M55" i="38"/>
  <c r="B3" i="15"/>
  <c r="Y3" i="15" s="1"/>
  <c r="Q48" i="6"/>
  <c r="J48" i="6"/>
  <c r="I49" i="6"/>
  <c r="I37" i="25"/>
  <c r="K80" i="14"/>
  <c r="K73" i="14"/>
  <c r="F1604" i="31" s="1"/>
  <c r="F1605" i="31"/>
  <c r="K60" i="14"/>
  <c r="F1470" i="31"/>
  <c r="K15" i="12"/>
  <c r="K22" i="12" s="1"/>
  <c r="M37" i="8"/>
  <c r="M54" i="8" s="1"/>
  <c r="M24" i="8"/>
  <c r="S18" i="8"/>
  <c r="S12" i="8"/>
  <c r="K37" i="7"/>
  <c r="K54" i="7" s="1"/>
  <c r="I38" i="38"/>
  <c r="H17" i="12"/>
  <c r="M17" i="12" s="1"/>
  <c r="M16" i="12" s="1"/>
  <c r="H39" i="7"/>
  <c r="S39" i="7" s="1"/>
  <c r="H13" i="12"/>
  <c r="H12" i="12" s="1"/>
  <c r="L13" i="10"/>
  <c r="H12" i="7" s="1"/>
  <c r="L63" i="9"/>
  <c r="F1642" i="31"/>
  <c r="L16" i="38"/>
  <c r="J25" i="38"/>
  <c r="G1045" i="31"/>
  <c r="C1045" i="31" s="1"/>
  <c r="I1046" i="31"/>
  <c r="I507" i="31"/>
  <c r="G506" i="31"/>
  <c r="B506" i="31" s="1"/>
  <c r="F1592" i="31"/>
  <c r="H1593" i="31"/>
  <c r="I435" i="31"/>
  <c r="G434" i="31"/>
  <c r="B434" i="31" s="1"/>
  <c r="H1533" i="31"/>
  <c r="I1436" i="31"/>
  <c r="G1435" i="31"/>
  <c r="C1435" i="31" s="1"/>
  <c r="H1511" i="31"/>
  <c r="H820" i="31"/>
  <c r="K1500" i="31"/>
  <c r="K1501" i="31" s="1"/>
  <c r="K1502" i="31" s="1"/>
  <c r="K1503" i="31" s="1"/>
  <c r="K1504" i="31" s="1"/>
  <c r="K1505" i="31" s="1"/>
  <c r="K1506" i="31"/>
  <c r="K1507" i="31" s="1"/>
  <c r="K1508" i="31" s="1"/>
  <c r="K1509" i="31" s="1"/>
  <c r="K1510" i="31" s="1"/>
  <c r="K1511" i="31" s="1"/>
  <c r="K1512" i="31" s="1"/>
  <c r="K1513" i="31" s="1"/>
  <c r="K1514" i="31" s="1"/>
  <c r="K1515" i="31" s="1"/>
  <c r="K1516" i="31" s="1"/>
  <c r="K1517" i="31" s="1"/>
  <c r="I320" i="31"/>
  <c r="G18" i="31"/>
  <c r="C18" i="31" s="1"/>
  <c r="I19" i="31"/>
  <c r="G16" i="10"/>
  <c r="F34" i="10"/>
  <c r="G83" i="31"/>
  <c r="C83" i="31" s="1"/>
  <c r="I84" i="31"/>
  <c r="H99" i="31"/>
  <c r="I1521" i="31"/>
  <c r="G1520" i="31"/>
  <c r="F1032" i="31"/>
  <c r="H1193" i="31"/>
  <c r="H1539" i="31"/>
  <c r="F1520" i="31"/>
  <c r="H1485" i="31"/>
  <c r="I1359" i="31"/>
  <c r="G1358" i="31"/>
  <c r="C1358" i="31" s="1"/>
  <c r="H330" i="31"/>
  <c r="H335" i="31"/>
  <c r="H478" i="31"/>
  <c r="H1651" i="31"/>
  <c r="H121" i="31"/>
  <c r="F93" i="31"/>
  <c r="H60" i="9"/>
  <c r="G415" i="31"/>
  <c r="B415" i="31" s="1"/>
  <c r="H115" i="31"/>
  <c r="G1423" i="31"/>
  <c r="C1423" i="31" s="1"/>
  <c r="I1424" i="31"/>
  <c r="G137" i="31"/>
  <c r="C137" i="31" s="1"/>
  <c r="I138" i="31"/>
  <c r="A14" i="26"/>
  <c r="A15" i="26" s="1"/>
  <c r="A120" i="25"/>
  <c r="H487" i="31"/>
  <c r="F486" i="31"/>
  <c r="H1551" i="31"/>
  <c r="H1695" i="31"/>
  <c r="F1508" i="31"/>
  <c r="G1417" i="31"/>
  <c r="C1417" i="31" s="1"/>
  <c r="I1418" i="31"/>
  <c r="I458" i="31"/>
  <c r="F458" i="31" s="1"/>
  <c r="L53" i="10"/>
  <c r="H44" i="7" s="1"/>
  <c r="S44" i="7" s="1"/>
  <c r="H46" i="10"/>
  <c r="J38" i="38"/>
  <c r="L39" i="38"/>
  <c r="I614" i="31"/>
  <c r="S10" i="8"/>
  <c r="S35" i="8" s="1"/>
  <c r="S35" i="7"/>
  <c r="K25" i="38"/>
  <c r="G476" i="31"/>
  <c r="B476" i="31" s="1"/>
  <c r="J44" i="9"/>
  <c r="J25" i="9"/>
  <c r="L13" i="9"/>
  <c r="I14" i="26" s="1"/>
  <c r="G15" i="10"/>
  <c r="G21" i="10"/>
  <c r="F33" i="10"/>
  <c r="G18" i="10"/>
  <c r="G24" i="10"/>
  <c r="L19" i="38"/>
  <c r="E34" i="17"/>
  <c r="I8" i="17"/>
  <c r="M44" i="9"/>
  <c r="M60" i="9" s="1"/>
  <c r="L16" i="10"/>
  <c r="H25" i="10"/>
  <c r="S47" i="7"/>
  <c r="P54" i="7"/>
  <c r="L37" i="8"/>
  <c r="L54" i="8" s="1"/>
  <c r="G24" i="9"/>
  <c r="F33" i="9"/>
  <c r="G21" i="9"/>
  <c r="G18" i="9"/>
  <c r="G15" i="9"/>
  <c r="D2" i="31"/>
  <c r="D3" i="31" s="1"/>
  <c r="D4" i="31" s="1"/>
  <c r="D5" i="31" s="1"/>
  <c r="D6" i="31" s="1"/>
  <c r="D7" i="31" s="1"/>
  <c r="D8" i="31" s="1"/>
  <c r="D14" i="26"/>
  <c r="M54" i="7"/>
  <c r="J24" i="7"/>
  <c r="R24" i="8"/>
  <c r="J24" i="8"/>
  <c r="F17" i="22"/>
  <c r="D18" i="22"/>
  <c r="D19" i="22" s="1"/>
  <c r="G6" i="42"/>
  <c r="F2" i="43" s="1"/>
  <c r="F7" i="43"/>
  <c r="F32" i="9"/>
  <c r="G23" i="9"/>
  <c r="G14" i="9"/>
  <c r="G17" i="9"/>
  <c r="L51" i="38"/>
  <c r="K38" i="38"/>
  <c r="N54" i="7"/>
  <c r="G13" i="22"/>
  <c r="F6" i="42"/>
  <c r="E2" i="43" s="1"/>
  <c r="I60" i="9"/>
  <c r="S48" i="7"/>
  <c r="H43" i="7"/>
  <c r="S43" i="7" s="1"/>
  <c r="H20" i="12"/>
  <c r="M24" i="7"/>
  <c r="D51" i="41"/>
  <c r="D50" i="41"/>
  <c r="G56" i="9"/>
  <c r="G53" i="9"/>
  <c r="F71" i="9"/>
  <c r="G65" i="9"/>
  <c r="L48" i="9"/>
  <c r="L22" i="9"/>
  <c r="I50" i="26" s="1"/>
  <c r="I61" i="26" s="1"/>
  <c r="K25" i="9"/>
  <c r="L47" i="10"/>
  <c r="H38" i="7" s="1"/>
  <c r="D35" i="10"/>
  <c r="D36" i="10" s="1"/>
  <c r="G14" i="10"/>
  <c r="G20" i="10"/>
  <c r="F32" i="10"/>
  <c r="L45" i="38"/>
  <c r="L42" i="38"/>
  <c r="L22" i="38"/>
  <c r="M25" i="38"/>
  <c r="L37" i="7"/>
  <c r="L54" i="7" s="1"/>
  <c r="S45" i="8"/>
  <c r="I44" i="8"/>
  <c r="S44" i="8" s="1"/>
  <c r="F1187" i="31"/>
  <c r="R37" i="8"/>
  <c r="R54" i="8" s="1"/>
  <c r="G2" i="41"/>
  <c r="I25" i="25"/>
  <c r="I39" i="17"/>
  <c r="L51" i="9"/>
  <c r="G68" i="10"/>
  <c r="G71" i="10"/>
  <c r="G76" i="10"/>
  <c r="F82" i="10"/>
  <c r="G51" i="10"/>
  <c r="G57" i="10"/>
  <c r="D83" i="10"/>
  <c r="S51" i="7"/>
  <c r="L59" i="10"/>
  <c r="H50" i="7" s="1"/>
  <c r="S50" i="7" s="1"/>
  <c r="S46" i="7"/>
  <c r="L22" i="10"/>
  <c r="S13" i="7"/>
  <c r="I47" i="8"/>
  <c r="S47" i="8" s="1"/>
  <c r="S38" i="8"/>
  <c r="O16" i="6"/>
  <c r="L16" i="9"/>
  <c r="I26" i="26" s="1"/>
  <c r="I37" i="26" s="1"/>
  <c r="H25" i="9"/>
  <c r="M63" i="10"/>
  <c r="O37" i="8"/>
  <c r="O54" i="8" s="1"/>
  <c r="S15" i="8"/>
  <c r="D73" i="9"/>
  <c r="D74" i="9" s="1"/>
  <c r="G47" i="9"/>
  <c r="I25" i="10"/>
  <c r="F473" i="31"/>
  <c r="L13" i="38"/>
  <c r="F477" i="31" s="1"/>
  <c r="H25" i="38"/>
  <c r="H14" i="7"/>
  <c r="L24" i="8"/>
  <c r="H24" i="8"/>
  <c r="G55" i="9"/>
  <c r="D34" i="9"/>
  <c r="D35" i="9" s="1"/>
  <c r="I15" i="8"/>
  <c r="I24" i="8" s="1"/>
  <c r="L15" i="12"/>
  <c r="L22" i="12" s="1"/>
  <c r="H48" i="6"/>
  <c r="F1690" i="31" s="1"/>
  <c r="F1579" i="31"/>
  <c r="H1580" i="31"/>
  <c r="F317" i="31"/>
  <c r="G51" i="41"/>
  <c r="J84" i="25"/>
  <c r="F147" i="41"/>
  <c r="G147" i="41"/>
  <c r="I148" i="41"/>
  <c r="H1526" i="31"/>
  <c r="G54" i="41"/>
  <c r="D54" i="41"/>
  <c r="F54" i="41"/>
  <c r="I55" i="41"/>
  <c r="I56" i="41"/>
  <c r="H184" i="41"/>
  <c r="J185" i="41"/>
  <c r="D9" i="31"/>
  <c r="D10" i="31" s="1"/>
  <c r="D11" i="31" s="1"/>
  <c r="D12" i="31" s="1"/>
  <c r="D13" i="31" s="1"/>
  <c r="D14" i="31" s="1"/>
  <c r="D15" i="31" s="1"/>
  <c r="F52" i="41"/>
  <c r="D52" i="41"/>
  <c r="I53" i="41"/>
  <c r="G4" i="41"/>
  <c r="H4" i="41"/>
  <c r="J5" i="41"/>
  <c r="B695" i="31"/>
  <c r="B747" i="31"/>
  <c r="B797" i="31"/>
  <c r="B849" i="31"/>
  <c r="B900" i="31"/>
  <c r="B951" i="31"/>
  <c r="B1029" i="31"/>
  <c r="B1131" i="31"/>
  <c r="B1243" i="31"/>
  <c r="B1440" i="31"/>
  <c r="A52" i="43"/>
  <c r="A44" i="43"/>
  <c r="A36" i="43"/>
  <c r="A28" i="43"/>
  <c r="A20" i="43"/>
  <c r="A12" i="43"/>
  <c r="A4" i="43"/>
  <c r="B240" i="41"/>
  <c r="B232" i="41"/>
  <c r="B224" i="41"/>
  <c r="B216" i="41"/>
  <c r="B208" i="41"/>
  <c r="B200" i="41"/>
  <c r="B192" i="41"/>
  <c r="B184" i="41"/>
  <c r="B176" i="41"/>
  <c r="B168" i="41"/>
  <c r="B160" i="41"/>
  <c r="B152" i="41"/>
  <c r="B144" i="41"/>
  <c r="B136" i="41"/>
  <c r="B128" i="41"/>
  <c r="B120" i="41"/>
  <c r="B112" i="41"/>
  <c r="B104" i="41"/>
  <c r="B96" i="41"/>
  <c r="B88" i="41"/>
  <c r="B80" i="41"/>
  <c r="B72" i="41"/>
  <c r="B64" i="41"/>
  <c r="B56" i="41"/>
  <c r="B48" i="41"/>
  <c r="B40" i="41"/>
  <c r="B32" i="41"/>
  <c r="B24" i="41"/>
  <c r="B16" i="41"/>
  <c r="B8" i="41"/>
  <c r="B1632" i="31"/>
  <c r="B1624" i="31"/>
  <c r="B1616" i="31"/>
  <c r="B1608" i="31"/>
  <c r="B1600" i="31"/>
  <c r="B1592" i="31"/>
  <c r="B1584" i="31"/>
  <c r="A59" i="43"/>
  <c r="A51" i="43"/>
  <c r="A43" i="43"/>
  <c r="A35" i="43"/>
  <c r="A27" i="43"/>
  <c r="A19" i="43"/>
  <c r="A11" i="43"/>
  <c r="A3" i="43"/>
  <c r="B239" i="41"/>
  <c r="B231" i="41"/>
  <c r="B223" i="41"/>
  <c r="B215" i="41"/>
  <c r="B207" i="41"/>
  <c r="B199" i="41"/>
  <c r="B191" i="41"/>
  <c r="B183" i="41"/>
  <c r="B175" i="41"/>
  <c r="B167" i="41"/>
  <c r="B159" i="41"/>
  <c r="B151" i="41"/>
  <c r="B143" i="41"/>
  <c r="B135" i="41"/>
  <c r="B127" i="41"/>
  <c r="B119" i="41"/>
  <c r="B111" i="41"/>
  <c r="B103" i="41"/>
  <c r="B95" i="41"/>
  <c r="B87" i="41"/>
  <c r="B79" i="41"/>
  <c r="B71" i="41"/>
  <c r="B63" i="41"/>
  <c r="B55" i="41"/>
  <c r="B47" i="41"/>
  <c r="B39" i="41"/>
  <c r="B31" i="41"/>
  <c r="B23" i="41"/>
  <c r="B15" i="41"/>
  <c r="B7" i="41"/>
  <c r="B1631" i="31"/>
  <c r="B1623" i="31"/>
  <c r="B1615" i="31"/>
  <c r="B1607" i="31"/>
  <c r="B1599" i="31"/>
  <c r="B1591" i="31"/>
  <c r="B1583" i="31"/>
  <c r="B1575" i="31"/>
  <c r="B1567" i="31"/>
  <c r="B1559" i="31"/>
  <c r="B1551" i="31"/>
  <c r="B1543" i="31"/>
  <c r="B1535" i="31"/>
  <c r="B1527" i="31"/>
  <c r="B1519" i="31"/>
  <c r="B1511" i="31"/>
  <c r="B1503" i="31"/>
  <c r="B1495" i="31"/>
  <c r="B1487" i="31"/>
  <c r="B1479" i="31"/>
  <c r="B1471" i="31"/>
  <c r="B1463" i="31"/>
  <c r="B1455" i="31"/>
  <c r="B1447" i="31"/>
  <c r="B1439" i="31"/>
  <c r="B1431" i="31"/>
  <c r="B1423" i="31"/>
  <c r="B1415" i="31"/>
  <c r="B1407" i="31"/>
  <c r="B1399" i="31"/>
  <c r="B1391" i="31"/>
  <c r="B1383" i="31"/>
  <c r="B1375" i="31"/>
  <c r="B1367" i="31"/>
  <c r="B1359" i="31"/>
  <c r="B1351" i="31"/>
  <c r="B1343" i="31"/>
  <c r="B1335" i="31"/>
  <c r="B1327" i="31"/>
  <c r="B1319" i="31"/>
  <c r="B1311" i="31"/>
  <c r="B1303" i="31"/>
  <c r="B1295" i="31"/>
  <c r="B1287" i="31"/>
  <c r="B1279" i="31"/>
  <c r="B1271" i="31"/>
  <c r="B1263" i="31"/>
  <c r="A57" i="43"/>
  <c r="A49" i="43"/>
  <c r="A41" i="43"/>
  <c r="A33" i="43"/>
  <c r="A25" i="43"/>
  <c r="A17" i="43"/>
  <c r="A9" i="43"/>
  <c r="B237" i="41"/>
  <c r="B229" i="41"/>
  <c r="B221" i="41"/>
  <c r="B213" i="41"/>
  <c r="B205" i="41"/>
  <c r="B197" i="41"/>
  <c r="B189" i="41"/>
  <c r="B181" i="41"/>
  <c r="B173" i="41"/>
  <c r="B165" i="41"/>
  <c r="B157" i="41"/>
  <c r="B149" i="41"/>
  <c r="B141" i="41"/>
  <c r="B133" i="41"/>
  <c r="B125" i="41"/>
  <c r="B117" i="41"/>
  <c r="B109" i="41"/>
  <c r="B101" i="41"/>
  <c r="B93" i="41"/>
  <c r="B85" i="41"/>
  <c r="B77" i="41"/>
  <c r="B69" i="41"/>
  <c r="B61" i="41"/>
  <c r="B53" i="41"/>
  <c r="B45" i="41"/>
  <c r="B37" i="41"/>
  <c r="B29" i="41"/>
  <c r="B21" i="41"/>
  <c r="B13" i="41"/>
  <c r="B5" i="41"/>
  <c r="B1629" i="31"/>
  <c r="B1621" i="31"/>
  <c r="B1613" i="31"/>
  <c r="B1605" i="31"/>
  <c r="B1597" i="31"/>
  <c r="B1589" i="31"/>
  <c r="B1581" i="31"/>
  <c r="B1573" i="31"/>
  <c r="B1565" i="31"/>
  <c r="B1557" i="31"/>
  <c r="B1549" i="31"/>
  <c r="B1541" i="31"/>
  <c r="B1533" i="31"/>
  <c r="B1525" i="31"/>
  <c r="B1517" i="31"/>
  <c r="B1509" i="31"/>
  <c r="B1501" i="31"/>
  <c r="B1493" i="31"/>
  <c r="B1485" i="31"/>
  <c r="B1477" i="31"/>
  <c r="B1469" i="31"/>
  <c r="B1461" i="31"/>
  <c r="B1453" i="31"/>
  <c r="B1445" i="31"/>
  <c r="B1437" i="31"/>
  <c r="B1429" i="31"/>
  <c r="B1421" i="31"/>
  <c r="B1413" i="31"/>
  <c r="B1405" i="31"/>
  <c r="B1397" i="31"/>
  <c r="B1389" i="31"/>
  <c r="B1381" i="31"/>
  <c r="B1373" i="31"/>
  <c r="B1365" i="31"/>
  <c r="B1357" i="31"/>
  <c r="B1349" i="31"/>
  <c r="B1341" i="31"/>
  <c r="B1333" i="31"/>
  <c r="B1325" i="31"/>
  <c r="B1317" i="31"/>
  <c r="B1309" i="31"/>
  <c r="B1301" i="31"/>
  <c r="B1293" i="31"/>
  <c r="B1285" i="31"/>
  <c r="B1277" i="31"/>
  <c r="B1269" i="31"/>
  <c r="B1261" i="31"/>
  <c r="A55" i="43"/>
  <c r="A47" i="43"/>
  <c r="A39" i="43"/>
  <c r="A31" i="43"/>
  <c r="A23" i="43"/>
  <c r="A15" i="43"/>
  <c r="A7" i="43"/>
  <c r="B235" i="41"/>
  <c r="B227" i="41"/>
  <c r="B219" i="41"/>
  <c r="B211" i="41"/>
  <c r="B203" i="41"/>
  <c r="B195" i="41"/>
  <c r="B187" i="41"/>
  <c r="B179" i="41"/>
  <c r="B171" i="41"/>
  <c r="B163" i="41"/>
  <c r="B155" i="41"/>
  <c r="B147" i="41"/>
  <c r="B139" i="41"/>
  <c r="B131" i="41"/>
  <c r="B123" i="41"/>
  <c r="B115" i="41"/>
  <c r="B107" i="41"/>
  <c r="B99" i="41"/>
  <c r="B91" i="41"/>
  <c r="B83" i="41"/>
  <c r="B75" i="41"/>
  <c r="B67" i="41"/>
  <c r="B59" i="41"/>
  <c r="B51" i="41"/>
  <c r="B43" i="41"/>
  <c r="B35" i="41"/>
  <c r="B27" i="41"/>
  <c r="B19" i="41"/>
  <c r="B11" i="41"/>
  <c r="B3" i="41"/>
  <c r="B1627" i="31"/>
  <c r="B1619" i="31"/>
  <c r="B1611" i="31"/>
  <c r="B1603" i="31"/>
  <c r="B1595" i="31"/>
  <c r="B1587" i="31"/>
  <c r="B1579" i="31"/>
  <c r="B1571" i="31"/>
  <c r="B1563" i="31"/>
  <c r="B1555" i="31"/>
  <c r="B1547" i="31"/>
  <c r="B1539" i="31"/>
  <c r="B1531" i="31"/>
  <c r="B1523" i="31"/>
  <c r="B1515" i="31"/>
  <c r="B1507" i="31"/>
  <c r="B1499" i="31"/>
  <c r="B1491" i="31"/>
  <c r="B1483" i="31"/>
  <c r="B1475" i="31"/>
  <c r="B1467" i="31"/>
  <c r="B1459" i="31"/>
  <c r="B1451" i="31"/>
  <c r="B1443" i="31"/>
  <c r="B1435" i="31"/>
  <c r="B1427" i="31"/>
  <c r="B1419" i="31"/>
  <c r="B1411" i="31"/>
  <c r="B1403" i="31"/>
  <c r="B1395" i="31"/>
  <c r="B1387" i="31"/>
  <c r="B1379" i="31"/>
  <c r="B1371" i="31"/>
  <c r="B1363" i="31"/>
  <c r="B1355" i="31"/>
  <c r="B1347" i="31"/>
  <c r="B1339" i="31"/>
  <c r="B1331" i="31"/>
  <c r="B1323" i="31"/>
  <c r="B1315" i="31"/>
  <c r="B1307" i="31"/>
  <c r="B1299" i="31"/>
  <c r="B1291" i="31"/>
  <c r="B1283" i="31"/>
  <c r="B1275" i="31"/>
  <c r="B1267" i="31"/>
  <c r="B1259" i="31"/>
  <c r="A45" i="43"/>
  <c r="A29" i="43"/>
  <c r="A13" i="43"/>
  <c r="B228" i="41"/>
  <c r="B212" i="41"/>
  <c r="B196" i="41"/>
  <c r="B180" i="41"/>
  <c r="B164" i="41"/>
  <c r="B148" i="41"/>
  <c r="B132" i="41"/>
  <c r="B116" i="41"/>
  <c r="B100" i="41"/>
  <c r="B84" i="41"/>
  <c r="B68" i="41"/>
  <c r="B52" i="41"/>
  <c r="B36" i="41"/>
  <c r="B20" i="41"/>
  <c r="B4" i="41"/>
  <c r="B1620" i="31"/>
  <c r="B1604" i="31"/>
  <c r="B1588" i="31"/>
  <c r="B1574" i="31"/>
  <c r="B1561" i="31"/>
  <c r="B1548" i="31"/>
  <c r="B1536" i="31"/>
  <c r="B1522" i="31"/>
  <c r="B1510" i="31"/>
  <c r="B1497" i="31"/>
  <c r="B1484" i="31"/>
  <c r="B1472" i="31"/>
  <c r="B1458" i="31"/>
  <c r="B1446" i="31"/>
  <c r="B1433" i="31"/>
  <c r="B1420" i="31"/>
  <c r="B1408" i="31"/>
  <c r="B1394" i="31"/>
  <c r="B1382" i="31"/>
  <c r="B1369" i="31"/>
  <c r="B1356" i="31"/>
  <c r="B1344" i="31"/>
  <c r="B1330" i="31"/>
  <c r="B1318" i="31"/>
  <c r="B1305" i="31"/>
  <c r="B1292" i="31"/>
  <c r="B1280" i="31"/>
  <c r="B1266" i="31"/>
  <c r="B1255" i="31"/>
  <c r="B1247" i="31"/>
  <c r="B1239" i="31"/>
  <c r="B1231" i="31"/>
  <c r="B1223" i="31"/>
  <c r="B1215" i="31"/>
  <c r="B1207" i="31"/>
  <c r="B1199" i="31"/>
  <c r="A58" i="43"/>
  <c r="A42" i="43"/>
  <c r="A26" i="43"/>
  <c r="A10" i="43"/>
  <c r="B226" i="41"/>
  <c r="B210" i="41"/>
  <c r="B194" i="41"/>
  <c r="B178" i="41"/>
  <c r="B162" i="41"/>
  <c r="B146" i="41"/>
  <c r="B130" i="41"/>
  <c r="B114" i="41"/>
  <c r="B98" i="41"/>
  <c r="B82" i="41"/>
  <c r="B66" i="41"/>
  <c r="B50" i="41"/>
  <c r="B34" i="41"/>
  <c r="B18" i="41"/>
  <c r="B2" i="41"/>
  <c r="B1618" i="31"/>
  <c r="B1602" i="31"/>
  <c r="B1586" i="31"/>
  <c r="B1572" i="31"/>
  <c r="B1560" i="31"/>
  <c r="B1546" i="31"/>
  <c r="B1534" i="31"/>
  <c r="B1521" i="31"/>
  <c r="B1508" i="31"/>
  <c r="B1496" i="31"/>
  <c r="B1482" i="31"/>
  <c r="B1470" i="31"/>
  <c r="B1457" i="31"/>
  <c r="B1444" i="31"/>
  <c r="B1432" i="31"/>
  <c r="B1418" i="31"/>
  <c r="B1406" i="31"/>
  <c r="B1393" i="31"/>
  <c r="B1380" i="31"/>
  <c r="B1368" i="31"/>
  <c r="B1354" i="31"/>
  <c r="B1342" i="31"/>
  <c r="B1329" i="31"/>
  <c r="B1316" i="31"/>
  <c r="B1304" i="31"/>
  <c r="B1290" i="31"/>
  <c r="B1278" i="31"/>
  <c r="B1265" i="31"/>
  <c r="B1254" i="31"/>
  <c r="B1246" i="31"/>
  <c r="B1238" i="31"/>
  <c r="B1230" i="31"/>
  <c r="B1222" i="31"/>
  <c r="B1214" i="31"/>
  <c r="B1206" i="31"/>
  <c r="B1198" i="31"/>
  <c r="B1190" i="31"/>
  <c r="B1182" i="31"/>
  <c r="B1174" i="31"/>
  <c r="B1166" i="31"/>
  <c r="B1158" i="31"/>
  <c r="B1150" i="31"/>
  <c r="B1142" i="31"/>
  <c r="B1134" i="31"/>
  <c r="B1126" i="31"/>
  <c r="B1118" i="31"/>
  <c r="B1110" i="31"/>
  <c r="B1102" i="31"/>
  <c r="B1094" i="31"/>
  <c r="B1086" i="31"/>
  <c r="B1078" i="31"/>
  <c r="B1070" i="31"/>
  <c r="B1062" i="31"/>
  <c r="B1054" i="31"/>
  <c r="B1046" i="31"/>
  <c r="B1038" i="31"/>
  <c r="B1030" i="31"/>
  <c r="B1022" i="31"/>
  <c r="B1014" i="31"/>
  <c r="B1006" i="31"/>
  <c r="B998" i="31"/>
  <c r="B990" i="31"/>
  <c r="B982" i="31"/>
  <c r="B974" i="31"/>
  <c r="B966" i="31"/>
  <c r="B958" i="31"/>
  <c r="A54" i="43"/>
  <c r="A38" i="43"/>
  <c r="A22" i="43"/>
  <c r="A6" i="43"/>
  <c r="B238" i="41"/>
  <c r="B222" i="41"/>
  <c r="B206" i="41"/>
  <c r="B190" i="41"/>
  <c r="B174" i="41"/>
  <c r="B158" i="41"/>
  <c r="B142" i="41"/>
  <c r="B126" i="41"/>
  <c r="B110" i="41"/>
  <c r="B94" i="41"/>
  <c r="B78" i="41"/>
  <c r="B62" i="41"/>
  <c r="B46" i="41"/>
  <c r="B30" i="41"/>
  <c r="B14" i="41"/>
  <c r="B1630" i="31"/>
  <c r="B1614" i="31"/>
  <c r="B1598" i="31"/>
  <c r="B1582" i="31"/>
  <c r="B1569" i="31"/>
  <c r="B1556" i="31"/>
  <c r="B1544" i="31"/>
  <c r="B1530" i="31"/>
  <c r="B1518" i="31"/>
  <c r="B1505" i="31"/>
  <c r="B1492" i="31"/>
  <c r="B1480" i="31"/>
  <c r="B1466" i="31"/>
  <c r="B1454" i="31"/>
  <c r="B1441" i="31"/>
  <c r="B1428" i="31"/>
  <c r="B1416" i="31"/>
  <c r="B1402" i="31"/>
  <c r="B1390" i="31"/>
  <c r="B1377" i="31"/>
  <c r="B1364" i="31"/>
  <c r="B1352" i="31"/>
  <c r="B1338" i="31"/>
  <c r="B1326" i="31"/>
  <c r="B1313" i="31"/>
  <c r="B1300" i="31"/>
  <c r="B1288" i="31"/>
  <c r="B1274" i="31"/>
  <c r="B1262" i="31"/>
  <c r="B1252" i="31"/>
  <c r="B1244" i="31"/>
  <c r="B1236" i="31"/>
  <c r="B1228" i="31"/>
  <c r="B1220" i="31"/>
  <c r="B1212" i="31"/>
  <c r="B1204" i="31"/>
  <c r="B1196" i="31"/>
  <c r="B1188" i="31"/>
  <c r="B1180" i="31"/>
  <c r="B1172" i="31"/>
  <c r="B1164" i="31"/>
  <c r="B1156" i="31"/>
  <c r="B1148" i="31"/>
  <c r="B1140" i="31"/>
  <c r="B1132" i="31"/>
  <c r="B1124" i="31"/>
  <c r="B1116" i="31"/>
  <c r="B1108" i="31"/>
  <c r="B1100" i="31"/>
  <c r="B1092" i="31"/>
  <c r="B1084" i="31"/>
  <c r="B1076" i="31"/>
  <c r="B1068" i="31"/>
  <c r="B1060" i="31"/>
  <c r="B1052" i="31"/>
  <c r="B1044" i="31"/>
  <c r="B1036" i="31"/>
  <c r="B1028" i="31"/>
  <c r="B1020" i="31"/>
  <c r="B1012" i="31"/>
  <c r="B1004" i="31"/>
  <c r="B996" i="31"/>
  <c r="B988" i="31"/>
  <c r="B980" i="31"/>
  <c r="B972" i="31"/>
  <c r="A50" i="43"/>
  <c r="A34" i="43"/>
  <c r="A18" i="43"/>
  <c r="A2" i="43"/>
  <c r="B234" i="41"/>
  <c r="B218" i="41"/>
  <c r="B202" i="41"/>
  <c r="B186" i="41"/>
  <c r="B170" i="41"/>
  <c r="B154" i="41"/>
  <c r="B138" i="41"/>
  <c r="B122" i="41"/>
  <c r="B106" i="41"/>
  <c r="B90" i="41"/>
  <c r="B74" i="41"/>
  <c r="B58" i="41"/>
  <c r="B42" i="41"/>
  <c r="B26" i="41"/>
  <c r="B10" i="41"/>
  <c r="B1626" i="31"/>
  <c r="B1610" i="31"/>
  <c r="B1594" i="31"/>
  <c r="B1578" i="31"/>
  <c r="B1566" i="31"/>
  <c r="B1553" i="31"/>
  <c r="B1540" i="31"/>
  <c r="B1528" i="31"/>
  <c r="B1514" i="31"/>
  <c r="B1502" i="31"/>
  <c r="B1489" i="31"/>
  <c r="B1476" i="31"/>
  <c r="B1464" i="31"/>
  <c r="B1450" i="31"/>
  <c r="B1438" i="31"/>
  <c r="B1425" i="31"/>
  <c r="B1412" i="31"/>
  <c r="B1400" i="31"/>
  <c r="B1386" i="31"/>
  <c r="B1374" i="31"/>
  <c r="B1361" i="31"/>
  <c r="B1348" i="31"/>
  <c r="B1336" i="31"/>
  <c r="B1322" i="31"/>
  <c r="B1310" i="31"/>
  <c r="B1297" i="31"/>
  <c r="B1284" i="31"/>
  <c r="B1272" i="31"/>
  <c r="B1258" i="31"/>
  <c r="B1250" i="31"/>
  <c r="B1242" i="31"/>
  <c r="B1234" i="31"/>
  <c r="B1226" i="31"/>
  <c r="B1218" i="31"/>
  <c r="B1210" i="31"/>
  <c r="B1202" i="31"/>
  <c r="B1194" i="31"/>
  <c r="B1186" i="31"/>
  <c r="B1178" i="31"/>
  <c r="B1170" i="31"/>
  <c r="B1162" i="31"/>
  <c r="B1154" i="31"/>
  <c r="B1146" i="31"/>
  <c r="B1138" i="31"/>
  <c r="B1130" i="31"/>
  <c r="B1122" i="31"/>
  <c r="B1114" i="31"/>
  <c r="B1106" i="31"/>
  <c r="B1098" i="31"/>
  <c r="B1090" i="31"/>
  <c r="B1082" i="31"/>
  <c r="B1074" i="31"/>
  <c r="B1066" i="31"/>
  <c r="B1058" i="31"/>
  <c r="B1050" i="31"/>
  <c r="B1042" i="31"/>
  <c r="B1034" i="31"/>
  <c r="B1026" i="31"/>
  <c r="B1018" i="31"/>
  <c r="B1010" i="31"/>
  <c r="B1002" i="31"/>
  <c r="B994" i="31"/>
  <c r="B986" i="31"/>
  <c r="B978" i="31"/>
  <c r="B970" i="31"/>
  <c r="B962" i="31"/>
  <c r="A56" i="43"/>
  <c r="A24" i="43"/>
  <c r="B217" i="41"/>
  <c r="B185" i="41"/>
  <c r="B153" i="41"/>
  <c r="B121" i="41"/>
  <c r="B89" i="41"/>
  <c r="B57" i="41"/>
  <c r="B25" i="41"/>
  <c r="B1625" i="31"/>
  <c r="B1593" i="31"/>
  <c r="B1564" i="31"/>
  <c r="B1538" i="31"/>
  <c r="B1513" i="31"/>
  <c r="B1488" i="31"/>
  <c r="B1462" i="31"/>
  <c r="B1436" i="31"/>
  <c r="B1410" i="31"/>
  <c r="B1385" i="31"/>
  <c r="B1360" i="31"/>
  <c r="B1334" i="31"/>
  <c r="B1308" i="31"/>
  <c r="B1282" i="31"/>
  <c r="B1257" i="31"/>
  <c r="B1241" i="31"/>
  <c r="B1225" i="31"/>
  <c r="B1209" i="31"/>
  <c r="B1193" i="31"/>
  <c r="B1181" i="31"/>
  <c r="B1168" i="31"/>
  <c r="B1155" i="31"/>
  <c r="B1143" i="31"/>
  <c r="B1129" i="31"/>
  <c r="B1117" i="31"/>
  <c r="B1104" i="31"/>
  <c r="B1091" i="31"/>
  <c r="B1079" i="31"/>
  <c r="B1065" i="31"/>
  <c r="B1053" i="31"/>
  <c r="B1040" i="31"/>
  <c r="B1027" i="31"/>
  <c r="B1015" i="31"/>
  <c r="B1001" i="31"/>
  <c r="B989" i="31"/>
  <c r="B976" i="31"/>
  <c r="B964" i="31"/>
  <c r="B954" i="31"/>
  <c r="B946" i="31"/>
  <c r="B938" i="31"/>
  <c r="B930" i="31"/>
  <c r="B922" i="31"/>
  <c r="B914" i="31"/>
  <c r="B906" i="31"/>
  <c r="B898" i="31"/>
  <c r="B890" i="31"/>
  <c r="B882" i="31"/>
  <c r="B874" i="31"/>
  <c r="B866" i="31"/>
  <c r="B858" i="31"/>
  <c r="B850" i="31"/>
  <c r="B842" i="31"/>
  <c r="B834" i="31"/>
  <c r="B826" i="31"/>
  <c r="B818" i="31"/>
  <c r="B810" i="31"/>
  <c r="B802" i="31"/>
  <c r="B794" i="31"/>
  <c r="B786" i="31"/>
  <c r="B778" i="31"/>
  <c r="B770" i="31"/>
  <c r="B762" i="31"/>
  <c r="B754" i="31"/>
  <c r="B746" i="31"/>
  <c r="B738" i="31"/>
  <c r="B730" i="31"/>
  <c r="B722" i="31"/>
  <c r="B714" i="31"/>
  <c r="B706" i="31"/>
  <c r="B698" i="31"/>
  <c r="B690" i="31"/>
  <c r="B682" i="31"/>
  <c r="B674" i="31"/>
  <c r="B666" i="31"/>
  <c r="A53" i="43"/>
  <c r="A21" i="43"/>
  <c r="B214" i="41"/>
  <c r="B182" i="41"/>
  <c r="B150" i="41"/>
  <c r="B118" i="41"/>
  <c r="B86" i="41"/>
  <c r="B54" i="41"/>
  <c r="B22" i="41"/>
  <c r="B1622" i="31"/>
  <c r="B1590" i="31"/>
  <c r="B1562" i="31"/>
  <c r="B1537" i="31"/>
  <c r="B1512" i="31"/>
  <c r="B1486" i="31"/>
  <c r="B1460" i="31"/>
  <c r="B1434" i="31"/>
  <c r="B1409" i="31"/>
  <c r="B1384" i="31"/>
  <c r="B1358" i="31"/>
  <c r="B1332" i="31"/>
  <c r="B1306" i="31"/>
  <c r="B1281" i="31"/>
  <c r="B1256" i="31"/>
  <c r="B1240" i="31"/>
  <c r="B1224" i="31"/>
  <c r="B1208" i="31"/>
  <c r="B1192" i="31"/>
  <c r="B1179" i="31"/>
  <c r="B1167" i="31"/>
  <c r="B1153" i="31"/>
  <c r="B1141" i="31"/>
  <c r="B1128" i="31"/>
  <c r="B1115" i="31"/>
  <c r="B1103" i="31"/>
  <c r="B1089" i="31"/>
  <c r="B1077" i="31"/>
  <c r="B1064" i="31"/>
  <c r="B1051" i="31"/>
  <c r="B1039" i="31"/>
  <c r="A48" i="43"/>
  <c r="A16" i="43"/>
  <c r="B241" i="41"/>
  <c r="B209" i="41"/>
  <c r="B177" i="41"/>
  <c r="B145" i="41"/>
  <c r="B113" i="41"/>
  <c r="B81" i="41"/>
  <c r="B49" i="41"/>
  <c r="B17" i="41"/>
  <c r="B1617" i="31"/>
  <c r="B1585" i="31"/>
  <c r="B1558" i="31"/>
  <c r="B1532" i="31"/>
  <c r="B1506" i="31"/>
  <c r="B1481" i="31"/>
  <c r="B1456" i="31"/>
  <c r="B1430" i="31"/>
  <c r="B1404" i="31"/>
  <c r="B1378" i="31"/>
  <c r="B1353" i="31"/>
  <c r="B1328" i="31"/>
  <c r="B1302" i="31"/>
  <c r="B1276" i="31"/>
  <c r="B1253" i="31"/>
  <c r="B1237" i="31"/>
  <c r="B1221" i="31"/>
  <c r="B1205" i="31"/>
  <c r="B1191" i="31"/>
  <c r="B1177" i="31"/>
  <c r="B1165" i="31"/>
  <c r="B1152" i="31"/>
  <c r="B1139" i="31"/>
  <c r="B1127" i="31"/>
  <c r="B1113" i="31"/>
  <c r="B1101" i="31"/>
  <c r="B1088" i="31"/>
  <c r="B1075" i="31"/>
  <c r="B1063" i="31"/>
  <c r="B1049" i="31"/>
  <c r="B1037" i="31"/>
  <c r="B1024" i="31"/>
  <c r="B1011" i="31"/>
  <c r="B999" i="31"/>
  <c r="B985" i="31"/>
  <c r="B973" i="31"/>
  <c r="B961" i="31"/>
  <c r="B952" i="31"/>
  <c r="B944" i="31"/>
  <c r="B936" i="31"/>
  <c r="B928" i="31"/>
  <c r="B920" i="31"/>
  <c r="B912" i="31"/>
  <c r="B904" i="31"/>
  <c r="B896" i="31"/>
  <c r="B888" i="31"/>
  <c r="B880" i="31"/>
  <c r="B872" i="31"/>
  <c r="B864" i="31"/>
  <c r="B856" i="31"/>
  <c r="B848" i="31"/>
  <c r="B840" i="31"/>
  <c r="B832" i="31"/>
  <c r="B824" i="31"/>
  <c r="B816" i="31"/>
  <c r="B808" i="31"/>
  <c r="B800" i="31"/>
  <c r="B792" i="31"/>
  <c r="B784" i="31"/>
  <c r="B776" i="31"/>
  <c r="B768" i="31"/>
  <c r="B760" i="31"/>
  <c r="B752" i="31"/>
  <c r="B744" i="31"/>
  <c r="B736" i="31"/>
  <c r="B728" i="31"/>
  <c r="B720" i="31"/>
  <c r="B712" i="31"/>
  <c r="B704" i="31"/>
  <c r="B696" i="31"/>
  <c r="B688" i="31"/>
  <c r="B680" i="31"/>
  <c r="B672" i="31"/>
  <c r="B664" i="31"/>
  <c r="A40" i="43"/>
  <c r="A8" i="43"/>
  <c r="B233" i="41"/>
  <c r="B201" i="41"/>
  <c r="B169" i="41"/>
  <c r="B137" i="41"/>
  <c r="B105" i="41"/>
  <c r="B73" i="41"/>
  <c r="B41" i="41"/>
  <c r="B9" i="41"/>
  <c r="B1609" i="31"/>
  <c r="B1577" i="31"/>
  <c r="B1552" i="31"/>
  <c r="B1526" i="31"/>
  <c r="B1500" i="31"/>
  <c r="B1474" i="31"/>
  <c r="B1449" i="31"/>
  <c r="B1424" i="31"/>
  <c r="B1398" i="31"/>
  <c r="B1372" i="31"/>
  <c r="B1346" i="31"/>
  <c r="B1321" i="31"/>
  <c r="B1296" i="31"/>
  <c r="B1270" i="31"/>
  <c r="B1249" i="31"/>
  <c r="B1233" i="31"/>
  <c r="B1217" i="31"/>
  <c r="B1201" i="31"/>
  <c r="B1187" i="31"/>
  <c r="B1175" i="31"/>
  <c r="B1161" i="31"/>
  <c r="B1149" i="31"/>
  <c r="B1136" i="31"/>
  <c r="B1123" i="31"/>
  <c r="B1111" i="31"/>
  <c r="B1097" i="31"/>
  <c r="B1085" i="31"/>
  <c r="B1072" i="31"/>
  <c r="B1059" i="31"/>
  <c r="B1047" i="31"/>
  <c r="B1033" i="31"/>
  <c r="B1021" i="31"/>
  <c r="B1008" i="31"/>
  <c r="B995" i="31"/>
  <c r="B983" i="31"/>
  <c r="B969" i="31"/>
  <c r="B959" i="31"/>
  <c r="B950" i="31"/>
  <c r="B942" i="31"/>
  <c r="B934" i="31"/>
  <c r="B926" i="31"/>
  <c r="B918" i="31"/>
  <c r="B910" i="31"/>
  <c r="B902" i="31"/>
  <c r="B894" i="31"/>
  <c r="B886" i="31"/>
  <c r="B878" i="31"/>
  <c r="B870" i="31"/>
  <c r="B862" i="31"/>
  <c r="B854" i="31"/>
  <c r="B846" i="31"/>
  <c r="B838" i="31"/>
  <c r="B830" i="31"/>
  <c r="B822" i="31"/>
  <c r="B814" i="31"/>
  <c r="B806" i="31"/>
  <c r="B798" i="31"/>
  <c r="B790" i="31"/>
  <c r="B782" i="31"/>
  <c r="B774" i="31"/>
  <c r="B766" i="31"/>
  <c r="B758" i="31"/>
  <c r="B750" i="31"/>
  <c r="B742" i="31"/>
  <c r="B734" i="31"/>
  <c r="B726" i="31"/>
  <c r="B718" i="31"/>
  <c r="B710" i="31"/>
  <c r="B702" i="31"/>
  <c r="B694" i="31"/>
  <c r="B686" i="31"/>
  <c r="B678" i="31"/>
  <c r="B670" i="31"/>
  <c r="B662" i="31"/>
  <c r="B198" i="41"/>
  <c r="B134" i="41"/>
  <c r="B70" i="41"/>
  <c r="B6" i="41"/>
  <c r="B1576" i="31"/>
  <c r="B1524" i="31"/>
  <c r="B1473" i="31"/>
  <c r="B1422" i="31"/>
  <c r="B1370" i="31"/>
  <c r="B1320" i="31"/>
  <c r="B1268" i="31"/>
  <c r="B1232" i="31"/>
  <c r="B1200" i="31"/>
  <c r="B1173" i="31"/>
  <c r="B1147" i="31"/>
  <c r="B1121" i="31"/>
  <c r="B1096" i="31"/>
  <c r="B1071" i="31"/>
  <c r="B1045" i="31"/>
  <c r="B1023" i="31"/>
  <c r="B1003" i="31"/>
  <c r="B981" i="31"/>
  <c r="B963" i="31"/>
  <c r="B948" i="31"/>
  <c r="B935" i="31"/>
  <c r="B923" i="31"/>
  <c r="B909" i="31"/>
  <c r="B897" i="31"/>
  <c r="B884" i="31"/>
  <c r="B871" i="31"/>
  <c r="B859" i="31"/>
  <c r="B845" i="31"/>
  <c r="B833" i="31"/>
  <c r="B820" i="31"/>
  <c r="B807" i="31"/>
  <c r="B795" i="31"/>
  <c r="B781" i="31"/>
  <c r="B769" i="31"/>
  <c r="B756" i="31"/>
  <c r="B743" i="31"/>
  <c r="B731" i="31"/>
  <c r="B717" i="31"/>
  <c r="B705" i="31"/>
  <c r="B692" i="31"/>
  <c r="B679" i="31"/>
  <c r="B667" i="31"/>
  <c r="A46" i="43"/>
  <c r="B193" i="41"/>
  <c r="B129" i="41"/>
  <c r="B65" i="41"/>
  <c r="B1633" i="31"/>
  <c r="B1570" i="31"/>
  <c r="B1520" i="31"/>
  <c r="B1468" i="31"/>
  <c r="B1417" i="31"/>
  <c r="B1366" i="31"/>
  <c r="B1314" i="31"/>
  <c r="B1264" i="31"/>
  <c r="B1229" i="31"/>
  <c r="B1197" i="31"/>
  <c r="B1171" i="31"/>
  <c r="B1145" i="31"/>
  <c r="B1120" i="31"/>
  <c r="B1095" i="31"/>
  <c r="B1069" i="31"/>
  <c r="B1043" i="31"/>
  <c r="B1019" i="31"/>
  <c r="B1000" i="31"/>
  <c r="B979" i="31"/>
  <c r="B960" i="31"/>
  <c r="B947" i="31"/>
  <c r="B933" i="31"/>
  <c r="B921" i="31"/>
  <c r="B908" i="31"/>
  <c r="B895" i="31"/>
  <c r="B883" i="31"/>
  <c r="B869" i="31"/>
  <c r="B857" i="31"/>
  <c r="B844" i="31"/>
  <c r="B831" i="31"/>
  <c r="B819" i="31"/>
  <c r="B805" i="31"/>
  <c r="B793" i="31"/>
  <c r="B780" i="31"/>
  <c r="B767" i="31"/>
  <c r="B755" i="31"/>
  <c r="B741" i="31"/>
  <c r="B729" i="31"/>
  <c r="B716" i="31"/>
  <c r="B703" i="31"/>
  <c r="B691" i="31"/>
  <c r="B677" i="31"/>
  <c r="B665" i="31"/>
  <c r="A37" i="43"/>
  <c r="B188" i="41"/>
  <c r="B124" i="41"/>
  <c r="B60" i="41"/>
  <c r="B1628" i="31"/>
  <c r="B1568" i="31"/>
  <c r="B1516" i="31"/>
  <c r="B1465" i="31"/>
  <c r="B1414" i="31"/>
  <c r="B1362" i="31"/>
  <c r="B1312" i="31"/>
  <c r="B1260" i="31"/>
  <c r="B1227" i="31"/>
  <c r="B1195" i="31"/>
  <c r="B1169" i="31"/>
  <c r="B1144" i="31"/>
  <c r="B1119" i="31"/>
  <c r="B1093" i="31"/>
  <c r="B1067" i="31"/>
  <c r="B1041" i="31"/>
  <c r="B1017" i="31"/>
  <c r="B997" i="31"/>
  <c r="B977" i="31"/>
  <c r="B957" i="31"/>
  <c r="B945" i="31"/>
  <c r="B932" i="31"/>
  <c r="B919" i="31"/>
  <c r="B907" i="31"/>
  <c r="B893" i="31"/>
  <c r="B881" i="31"/>
  <c r="B868" i="31"/>
  <c r="B855" i="31"/>
  <c r="B843" i="31"/>
  <c r="B829" i="31"/>
  <c r="B817" i="31"/>
  <c r="B804" i="31"/>
  <c r="B791" i="31"/>
  <c r="B779" i="31"/>
  <c r="B765" i="31"/>
  <c r="B753" i="31"/>
  <c r="B740" i="31"/>
  <c r="B727" i="31"/>
  <c r="B715" i="31"/>
  <c r="B701" i="31"/>
  <c r="B689" i="31"/>
  <c r="B676" i="31"/>
  <c r="B663" i="31"/>
  <c r="A14" i="43"/>
  <c r="B225" i="41"/>
  <c r="B161" i="41"/>
  <c r="B97" i="41"/>
  <c r="B33" i="41"/>
  <c r="B1601" i="31"/>
  <c r="B1545" i="31"/>
  <c r="B1494" i="31"/>
  <c r="B1442" i="31"/>
  <c r="B1392" i="31"/>
  <c r="B1340" i="31"/>
  <c r="B1289" i="31"/>
  <c r="B1245" i="31"/>
  <c r="B1213" i="31"/>
  <c r="B1184" i="31"/>
  <c r="B1159" i="31"/>
  <c r="B1133" i="31"/>
  <c r="B1107" i="31"/>
  <c r="B1081" i="31"/>
  <c r="B1056" i="31"/>
  <c r="B1031" i="31"/>
  <c r="B1009" i="31"/>
  <c r="B991" i="31"/>
  <c r="B968" i="31"/>
  <c r="B953" i="31"/>
  <c r="B940" i="31"/>
  <c r="B927" i="31"/>
  <c r="B915" i="31"/>
  <c r="B901" i="31"/>
  <c r="B889" i="31"/>
  <c r="B876" i="31"/>
  <c r="B863" i="31"/>
  <c r="B851" i="31"/>
  <c r="B837" i="31"/>
  <c r="B825" i="31"/>
  <c r="B812" i="31"/>
  <c r="B799" i="31"/>
  <c r="B787" i="31"/>
  <c r="B773" i="31"/>
  <c r="B761" i="31"/>
  <c r="B748" i="31"/>
  <c r="B735" i="31"/>
  <c r="B723" i="31"/>
  <c r="B709" i="31"/>
  <c r="B697" i="31"/>
  <c r="B684" i="31"/>
  <c r="B671" i="31"/>
  <c r="B659" i="31"/>
  <c r="B236" i="41"/>
  <c r="B108" i="41"/>
  <c r="B1612" i="31"/>
  <c r="B1504" i="31"/>
  <c r="B1401" i="31"/>
  <c r="B1298" i="31"/>
  <c r="B1219" i="31"/>
  <c r="B1163" i="31"/>
  <c r="B1112" i="31"/>
  <c r="B1061" i="31"/>
  <c r="B1016" i="31"/>
  <c r="B975" i="31"/>
  <c r="B943" i="31"/>
  <c r="B917" i="31"/>
  <c r="B892" i="31"/>
  <c r="B867" i="31"/>
  <c r="B841" i="31"/>
  <c r="B815" i="31"/>
  <c r="B789" i="31"/>
  <c r="B764" i="31"/>
  <c r="B739" i="31"/>
  <c r="B713" i="31"/>
  <c r="B687" i="31"/>
  <c r="B661" i="31"/>
  <c r="A32" i="43"/>
  <c r="B230" i="41"/>
  <c r="B102" i="41"/>
  <c r="B1606" i="31"/>
  <c r="B1498" i="31"/>
  <c r="B1396" i="31"/>
  <c r="B1294" i="31"/>
  <c r="B1216" i="31"/>
  <c r="B1160" i="31"/>
  <c r="B1109" i="31"/>
  <c r="B1057" i="31"/>
  <c r="B1013" i="31"/>
  <c r="B971" i="31"/>
  <c r="B941" i="31"/>
  <c r="B916" i="31"/>
  <c r="B891" i="31"/>
  <c r="B865" i="31"/>
  <c r="B839" i="31"/>
  <c r="B813" i="31"/>
  <c r="B788" i="31"/>
  <c r="B763" i="31"/>
  <c r="B737" i="31"/>
  <c r="B711" i="31"/>
  <c r="B685" i="31"/>
  <c r="B660" i="31"/>
  <c r="A30" i="43"/>
  <c r="B220" i="41"/>
  <c r="B92" i="41"/>
  <c r="B1596" i="31"/>
  <c r="B1490" i="31"/>
  <c r="B1388" i="31"/>
  <c r="B1286" i="31"/>
  <c r="B1211" i="31"/>
  <c r="B1157" i="31"/>
  <c r="B1105" i="31"/>
  <c r="B1055" i="31"/>
  <c r="B1007" i="31"/>
  <c r="B967" i="31"/>
  <c r="B939" i="31"/>
  <c r="B913" i="31"/>
  <c r="B887" i="31"/>
  <c r="B861" i="31"/>
  <c r="B836" i="31"/>
  <c r="B811" i="31"/>
  <c r="B785" i="31"/>
  <c r="B759" i="31"/>
  <c r="B733" i="31"/>
  <c r="B708" i="31"/>
  <c r="B683" i="31"/>
  <c r="A5" i="43"/>
  <c r="B204" i="41"/>
  <c r="B76" i="41"/>
  <c r="B1580" i="31"/>
  <c r="B1478" i="31"/>
  <c r="B1376" i="31"/>
  <c r="B1273" i="31"/>
  <c r="B1203" i="31"/>
  <c r="B1151" i="31"/>
  <c r="B1099" i="31"/>
  <c r="B1048" i="31"/>
  <c r="B1005" i="31"/>
  <c r="B965" i="31"/>
  <c r="B937" i="31"/>
  <c r="B911" i="31"/>
  <c r="B885" i="31"/>
  <c r="B860" i="31"/>
  <c r="B835" i="31"/>
  <c r="B809" i="31"/>
  <c r="B783" i="31"/>
  <c r="B757" i="31"/>
  <c r="B732" i="31"/>
  <c r="B707" i="31"/>
  <c r="B681" i="31"/>
  <c r="G3" i="41"/>
  <c r="H3" i="41"/>
  <c r="F4" i="42"/>
  <c r="J44" i="6"/>
  <c r="B699" i="31"/>
  <c r="B749" i="31"/>
  <c r="B801" i="31"/>
  <c r="B852" i="31"/>
  <c r="B903" i="31"/>
  <c r="B955" i="31"/>
  <c r="B1032" i="31"/>
  <c r="B1135" i="31"/>
  <c r="B1248" i="31"/>
  <c r="B1448" i="31"/>
  <c r="B38" i="41"/>
  <c r="B700" i="31"/>
  <c r="B751" i="31"/>
  <c r="B803" i="31"/>
  <c r="B853" i="31"/>
  <c r="B905" i="31"/>
  <c r="B956" i="31"/>
  <c r="B1035" i="31"/>
  <c r="B1137" i="31"/>
  <c r="B1251" i="31"/>
  <c r="B1452" i="31"/>
  <c r="B44" i="41"/>
  <c r="B668" i="31"/>
  <c r="B719" i="31"/>
  <c r="B771" i="31"/>
  <c r="B821" i="31"/>
  <c r="B873" i="31"/>
  <c r="B924" i="31"/>
  <c r="B984" i="31"/>
  <c r="B1073" i="31"/>
  <c r="B1176" i="31"/>
  <c r="B1324" i="31"/>
  <c r="B1529" i="31"/>
  <c r="B140" i="41"/>
  <c r="F22" i="39"/>
  <c r="P8" i="24"/>
  <c r="P7" i="24"/>
  <c r="J8" i="24"/>
  <c r="D8" i="24"/>
  <c r="D7" i="24"/>
  <c r="D6" i="24"/>
  <c r="J3" i="15"/>
  <c r="AG3" i="15" s="1"/>
  <c r="G3" i="15"/>
  <c r="AD3" i="15" s="1"/>
  <c r="F3" i="15"/>
  <c r="AC3" i="15" s="1"/>
  <c r="I3" i="15"/>
  <c r="AF3" i="15" s="1"/>
  <c r="H3" i="15"/>
  <c r="AE3" i="15" s="1"/>
  <c r="E3" i="15"/>
  <c r="AB3" i="15" s="1"/>
  <c r="L3" i="15"/>
  <c r="D3" i="15"/>
  <c r="AA3" i="15" s="1"/>
  <c r="K3" i="15"/>
  <c r="AH3" i="15" s="1"/>
  <c r="J730" i="31"/>
  <c r="B277" i="31"/>
  <c r="J781" i="31"/>
  <c r="C37" i="31"/>
  <c r="J1691" i="31"/>
  <c r="B521" i="31"/>
  <c r="B205" i="31"/>
  <c r="C87" i="31"/>
  <c r="C528" i="31"/>
  <c r="J1706" i="31"/>
  <c r="C473" i="31"/>
  <c r="J765" i="31"/>
  <c r="K12" i="41"/>
  <c r="J409" i="31"/>
  <c r="J456" i="31"/>
  <c r="J905" i="31"/>
  <c r="J669" i="31"/>
  <c r="C61" i="31"/>
  <c r="C611" i="31"/>
  <c r="J1636" i="31"/>
  <c r="C413" i="31"/>
  <c r="C257" i="31"/>
  <c r="C24" i="31"/>
  <c r="J712" i="31"/>
  <c r="J887" i="31"/>
  <c r="J1650" i="31"/>
  <c r="J1422" i="31"/>
  <c r="J1734" i="31"/>
  <c r="J1680" i="31"/>
  <c r="J827" i="31"/>
  <c r="J727" i="31"/>
  <c r="B353" i="31"/>
  <c r="B2" i="31"/>
  <c r="J909" i="31"/>
  <c r="J679" i="31"/>
  <c r="C1736" i="31"/>
  <c r="J1023" i="31"/>
  <c r="J810" i="31"/>
  <c r="J1633" i="31"/>
  <c r="J1631" i="31"/>
  <c r="J1618" i="31"/>
  <c r="J1621" i="31"/>
  <c r="J1656" i="31"/>
  <c r="J1655" i="31"/>
  <c r="J1675" i="31"/>
  <c r="C1715" i="31"/>
  <c r="J1725" i="31"/>
  <c r="J1668" i="31"/>
  <c r="J1671" i="31"/>
  <c r="J1701" i="31"/>
  <c r="K14" i="41"/>
  <c r="B477" i="31"/>
  <c r="C1729" i="31"/>
  <c r="C545" i="31"/>
  <c r="K17" i="41"/>
  <c r="C623" i="31"/>
  <c r="J1397" i="31"/>
  <c r="B185" i="31"/>
  <c r="C1735" i="31"/>
  <c r="C593" i="31"/>
  <c r="B1725" i="31"/>
  <c r="J1717" i="31"/>
  <c r="J1266" i="31"/>
  <c r="C635" i="31"/>
  <c r="K219" i="41"/>
  <c r="C299" i="31"/>
  <c r="J1756" i="31"/>
  <c r="C474" i="31"/>
  <c r="K197" i="41"/>
  <c r="C1706" i="31"/>
  <c r="K155" i="41"/>
  <c r="B128" i="31"/>
  <c r="C479" i="31"/>
  <c r="C1717" i="31"/>
  <c r="J1699" i="31"/>
  <c r="K95" i="41"/>
  <c r="J1534" i="31"/>
  <c r="J1072" i="31"/>
  <c r="J1228" i="31"/>
  <c r="J1705" i="31"/>
  <c r="K3" i="41"/>
  <c r="C198" i="31"/>
  <c r="J1610" i="31"/>
  <c r="J1188" i="31"/>
  <c r="J1623" i="31"/>
  <c r="J1733" i="31"/>
  <c r="J1686" i="31"/>
  <c r="J1619" i="31"/>
  <c r="J1101" i="31"/>
  <c r="K217" i="41"/>
  <c r="K32" i="41"/>
  <c r="K5" i="41"/>
  <c r="J1714" i="31"/>
  <c r="J1639" i="31"/>
  <c r="K70" i="41"/>
  <c r="J1086" i="31"/>
  <c r="C401" i="31"/>
  <c r="J885" i="31"/>
  <c r="C1642" i="31"/>
  <c r="J913" i="31"/>
  <c r="J1630" i="31"/>
  <c r="J1728" i="31"/>
  <c r="J1730" i="31"/>
  <c r="J1665" i="31"/>
  <c r="B382" i="31"/>
  <c r="J1716" i="31"/>
  <c r="J1340" i="31"/>
  <c r="K238" i="41"/>
  <c r="K55" i="41"/>
  <c r="K119" i="41"/>
  <c r="J1395" i="31"/>
  <c r="C437" i="31"/>
  <c r="J1268" i="31"/>
  <c r="J1280" i="31"/>
  <c r="K97" i="41"/>
  <c r="J1604" i="31"/>
  <c r="C492" i="31"/>
  <c r="J1681" i="31"/>
  <c r="G4" i="26"/>
  <c r="C44" i="47" s="1"/>
  <c r="K103" i="41"/>
  <c r="J1167" i="31"/>
  <c r="C557" i="31"/>
  <c r="J1034" i="31"/>
  <c r="J1053" i="31"/>
  <c r="J1676" i="31"/>
  <c r="J1709" i="31"/>
  <c r="J1693" i="31"/>
  <c r="B1650" i="31"/>
  <c r="C425" i="31"/>
  <c r="C191" i="31"/>
  <c r="K232" i="41"/>
  <c r="J1576" i="31"/>
  <c r="J1712" i="31"/>
  <c r="K234" i="41"/>
  <c r="B1726" i="31"/>
  <c r="B617" i="31"/>
  <c r="J458" i="31"/>
  <c r="I57" i="44"/>
  <c r="K171" i="41"/>
  <c r="J1155" i="31"/>
  <c r="J310" i="31"/>
  <c r="J659" i="31"/>
  <c r="J284" i="31"/>
  <c r="J1628" i="31"/>
  <c r="J734" i="31"/>
  <c r="J1718" i="31"/>
  <c r="J1659" i="31"/>
  <c r="J1652" i="31"/>
  <c r="K212" i="41"/>
  <c r="K91" i="41"/>
  <c r="J1156" i="31"/>
  <c r="J1715" i="31"/>
  <c r="J1301" i="31"/>
  <c r="J1638" i="31"/>
  <c r="J1727" i="31"/>
  <c r="J1660" i="31"/>
  <c r="J1209" i="31"/>
  <c r="J1218" i="31"/>
  <c r="J225" i="31"/>
  <c r="J35" i="31"/>
  <c r="J5" i="31"/>
  <c r="J1185" i="31"/>
  <c r="J1232" i="31"/>
  <c r="J1342" i="31"/>
  <c r="J684" i="31"/>
  <c r="J138" i="31"/>
  <c r="J1071" i="31"/>
  <c r="C390" i="31"/>
  <c r="B390" i="31"/>
  <c r="B1716" i="31"/>
  <c r="C1716" i="31"/>
  <c r="B1666" i="31"/>
  <c r="C1666" i="31"/>
  <c r="J1559" i="31"/>
  <c r="J1574" i="31"/>
  <c r="J1506" i="31"/>
  <c r="J1490" i="31"/>
  <c r="J1489" i="31"/>
  <c r="J1525" i="31"/>
  <c r="J1528" i="31"/>
  <c r="J1116" i="31"/>
  <c r="J1050" i="31"/>
  <c r="J1283" i="31"/>
  <c r="J1051" i="31"/>
  <c r="J248" i="31"/>
  <c r="J290" i="31"/>
  <c r="J470" i="31"/>
  <c r="J377" i="31"/>
  <c r="J281" i="31"/>
  <c r="J346" i="31"/>
  <c r="J323" i="31"/>
  <c r="J415" i="31"/>
  <c r="J270" i="31"/>
  <c r="J253" i="31"/>
  <c r="J386" i="31"/>
  <c r="J436" i="31"/>
  <c r="J405" i="31"/>
  <c r="J312" i="31"/>
  <c r="F4" i="10"/>
  <c r="C21" i="47" s="1"/>
  <c r="J309" i="31"/>
  <c r="J367" i="31"/>
  <c r="J1009" i="31"/>
  <c r="J888" i="31"/>
  <c r="J754" i="31"/>
  <c r="J982" i="31"/>
  <c r="J783" i="31"/>
  <c r="J762" i="31"/>
  <c r="J945" i="31"/>
  <c r="J683" i="31"/>
  <c r="J752" i="31"/>
  <c r="J920" i="31"/>
  <c r="J717" i="31"/>
  <c r="J681" i="31"/>
  <c r="J742" i="31"/>
  <c r="J670" i="31"/>
  <c r="J872" i="31"/>
  <c r="J970" i="31"/>
  <c r="J1026" i="31"/>
  <c r="J698" i="31"/>
  <c r="J830" i="31"/>
  <c r="J862" i="31"/>
  <c r="J710" i="31"/>
  <c r="J660" i="31"/>
  <c r="J991" i="31"/>
  <c r="J878" i="31"/>
  <c r="J831" i="31"/>
  <c r="J854" i="31"/>
  <c r="J865" i="31"/>
  <c r="J864" i="31"/>
  <c r="J965" i="31"/>
  <c r="J956" i="31"/>
  <c r="J1017" i="31"/>
  <c r="J664" i="31"/>
  <c r="J662" i="31"/>
  <c r="J824" i="31"/>
  <c r="J723" i="31"/>
  <c r="J700" i="31"/>
  <c r="J884" i="31"/>
  <c r="J732" i="31"/>
  <c r="J776" i="31"/>
  <c r="J877" i="31"/>
  <c r="J959" i="31"/>
  <c r="C1752" i="31"/>
  <c r="B515" i="31"/>
  <c r="C515" i="31"/>
  <c r="C1740" i="31"/>
  <c r="C1702" i="31"/>
  <c r="B1702" i="31"/>
  <c r="J1385" i="31"/>
  <c r="J1281" i="31"/>
  <c r="J255" i="31"/>
  <c r="J739" i="31"/>
  <c r="J1758" i="31"/>
  <c r="J891" i="31"/>
  <c r="J770" i="31"/>
  <c r="C443" i="31"/>
  <c r="C348" i="31"/>
  <c r="B348" i="31"/>
  <c r="C1712" i="31"/>
  <c r="B1712" i="31"/>
  <c r="B509" i="31"/>
  <c r="C509" i="31"/>
  <c r="I59" i="44"/>
  <c r="I5" i="44"/>
  <c r="I11" i="44"/>
  <c r="J648" i="31"/>
  <c r="J563" i="31"/>
  <c r="J1215" i="31"/>
  <c r="J1119" i="31"/>
  <c r="J1359" i="31"/>
  <c r="J1294" i="31"/>
  <c r="J1238" i="31"/>
  <c r="J1174" i="31"/>
  <c r="J1231" i="31"/>
  <c r="J1295" i="31"/>
  <c r="J1401" i="31"/>
  <c r="J1327" i="31"/>
  <c r="J1045" i="31"/>
  <c r="J1386" i="31"/>
  <c r="J1196" i="31"/>
  <c r="J1337" i="31"/>
  <c r="J1109" i="31"/>
  <c r="J1203" i="31"/>
  <c r="J1363" i="31"/>
  <c r="J1352" i="31"/>
  <c r="J1202" i="31"/>
  <c r="J1206" i="31"/>
  <c r="J1331" i="31"/>
  <c r="J1375" i="31"/>
  <c r="J1201" i="31"/>
  <c r="J1351" i="31"/>
  <c r="J1090" i="31"/>
  <c r="J1178" i="31"/>
  <c r="J1213" i="31"/>
  <c r="J1345" i="31"/>
  <c r="J1235" i="31"/>
  <c r="J1344" i="31"/>
  <c r="J1049" i="31"/>
  <c r="J1265" i="31"/>
  <c r="J1038" i="31"/>
  <c r="J1260" i="31"/>
  <c r="J1136" i="31"/>
  <c r="J1134" i="31"/>
  <c r="J1097" i="31"/>
  <c r="J1239" i="31"/>
  <c r="J1070" i="31"/>
  <c r="J1234" i="31"/>
  <c r="J1348" i="31"/>
  <c r="J1287" i="31"/>
  <c r="J1144" i="31"/>
  <c r="J1208" i="31"/>
  <c r="J1085" i="31"/>
  <c r="J1334" i="31"/>
  <c r="J1154" i="31"/>
  <c r="J1389" i="31"/>
  <c r="J1095" i="31"/>
  <c r="J1042" i="31"/>
  <c r="J1253" i="31"/>
  <c r="J1293" i="31"/>
  <c r="J1225" i="31"/>
  <c r="J1309" i="31"/>
  <c r="J1311" i="31"/>
  <c r="J1099" i="31"/>
  <c r="C1719" i="31"/>
  <c r="J1094" i="31"/>
  <c r="J1297" i="31"/>
  <c r="J404" i="31"/>
  <c r="J908" i="31"/>
  <c r="J1011" i="31"/>
  <c r="J1054" i="31"/>
  <c r="J9" i="31"/>
  <c r="J903" i="31"/>
  <c r="J462" i="31"/>
  <c r="J772" i="31"/>
  <c r="J1141" i="31"/>
  <c r="J1077" i="31"/>
  <c r="B605" i="31"/>
  <c r="C587" i="31"/>
  <c r="J1427" i="31"/>
  <c r="J1444" i="31"/>
  <c r="J1721" i="31"/>
  <c r="J1695" i="31"/>
  <c r="C1674" i="31"/>
  <c r="B1724" i="31"/>
  <c r="J1669" i="31"/>
  <c r="J1637" i="31"/>
  <c r="J1643" i="31"/>
  <c r="J1641" i="31"/>
  <c r="J1664" i="31"/>
  <c r="F4" i="6"/>
  <c r="C39" i="47" s="1"/>
  <c r="J1627" i="31"/>
  <c r="J1732" i="31"/>
  <c r="J1731" i="31"/>
  <c r="J1724" i="31"/>
  <c r="J1625" i="31"/>
  <c r="J1653" i="31"/>
  <c r="B1727" i="31"/>
  <c r="J1696" i="31"/>
  <c r="J1667" i="31"/>
  <c r="J1644" i="31"/>
  <c r="J1622" i="31"/>
  <c r="J1700" i="31"/>
  <c r="J1661" i="31"/>
  <c r="J1467" i="31"/>
  <c r="B383" i="31"/>
  <c r="C383" i="31"/>
  <c r="J1466" i="31"/>
  <c r="J1452" i="31"/>
  <c r="B522" i="31"/>
  <c r="C522" i="31"/>
  <c r="C408" i="31"/>
  <c r="B377" i="31"/>
  <c r="J1438" i="31"/>
  <c r="J1451" i="31"/>
  <c r="J856" i="31"/>
  <c r="J963" i="31"/>
  <c r="J924" i="31"/>
  <c r="J897" i="31"/>
  <c r="J1004" i="31"/>
  <c r="J737" i="31"/>
  <c r="J904" i="31"/>
  <c r="J912" i="31"/>
  <c r="J774" i="31"/>
  <c r="J680" i="31"/>
  <c r="J879" i="31"/>
  <c r="J875" i="31"/>
  <c r="J936" i="31"/>
  <c r="J825" i="31"/>
  <c r="J886" i="31"/>
  <c r="J917" i="31"/>
  <c r="J981" i="31"/>
  <c r="J933" i="31"/>
  <c r="J694" i="31"/>
  <c r="J911" i="31"/>
  <c r="J806" i="31"/>
  <c r="J1006" i="31"/>
  <c r="J853" i="31"/>
  <c r="J914" i="31"/>
  <c r="J997" i="31"/>
  <c r="J1030" i="31"/>
  <c r="J898" i="31"/>
  <c r="J957" i="31"/>
  <c r="J947" i="31"/>
  <c r="J867" i="31"/>
  <c r="J702" i="31"/>
  <c r="J894" i="31"/>
  <c r="J949" i="31"/>
  <c r="J666" i="31"/>
  <c r="J881" i="31"/>
  <c r="J819" i="31"/>
  <c r="J1014" i="31"/>
  <c r="J764" i="31"/>
  <c r="J815" i="31"/>
  <c r="J858" i="31"/>
  <c r="J846" i="31"/>
  <c r="J1000" i="31"/>
  <c r="J716" i="31"/>
  <c r="J839" i="31"/>
  <c r="J811" i="31"/>
  <c r="J915" i="31"/>
  <c r="J1002" i="31"/>
  <c r="J671" i="31"/>
  <c r="J960" i="31"/>
  <c r="J705" i="31"/>
  <c r="J966" i="31"/>
  <c r="J798" i="31"/>
  <c r="J1007" i="31"/>
  <c r="J869" i="31"/>
  <c r="J835" i="31"/>
  <c r="J838" i="31"/>
  <c r="J889" i="31"/>
  <c r="J1025" i="31"/>
  <c r="J784" i="31"/>
  <c r="J876" i="31"/>
  <c r="J804" i="31"/>
  <c r="J721" i="31"/>
  <c r="J1028" i="31"/>
  <c r="J954" i="31"/>
  <c r="J870" i="31"/>
  <c r="J1022" i="31"/>
  <c r="J993" i="31"/>
  <c r="J663" i="31"/>
  <c r="J817" i="31"/>
  <c r="J857" i="31"/>
  <c r="J859" i="31"/>
  <c r="J919" i="31"/>
  <c r="J731" i="31"/>
  <c r="J704" i="31"/>
  <c r="J695" i="31"/>
  <c r="J929" i="31"/>
  <c r="J748" i="31"/>
  <c r="J687" i="31"/>
  <c r="J720" i="31"/>
  <c r="J847" i="31"/>
  <c r="J971" i="31"/>
  <c r="J766" i="31"/>
  <c r="J1013" i="31"/>
  <c r="J986" i="31"/>
  <c r="J843" i="31"/>
  <c r="J690" i="31"/>
  <c r="J750" i="31"/>
  <c r="J722" i="31"/>
  <c r="J708" i="31"/>
  <c r="J937" i="31"/>
  <c r="J755" i="31"/>
  <c r="J832" i="31"/>
  <c r="J689" i="31"/>
  <c r="J902" i="31"/>
  <c r="J805" i="31"/>
  <c r="J736" i="31"/>
  <c r="J873" i="31"/>
  <c r="J976" i="31"/>
  <c r="J756" i="31"/>
  <c r="J979" i="31"/>
  <c r="J901" i="31"/>
  <c r="J745" i="31"/>
  <c r="J707" i="31"/>
  <c r="J757" i="31"/>
  <c r="J1019" i="31"/>
  <c r="J803" i="31"/>
  <c r="B1721" i="31"/>
  <c r="C1721" i="31"/>
  <c r="C1710" i="31"/>
  <c r="B1710" i="31"/>
  <c r="C305" i="31"/>
  <c r="B305" i="31"/>
  <c r="C58" i="31"/>
  <c r="J1462" i="31"/>
  <c r="J1407" i="31"/>
  <c r="C234" i="31"/>
  <c r="B234" i="31"/>
  <c r="J1405" i="31"/>
  <c r="K7" i="41"/>
  <c r="K29" i="41"/>
  <c r="K59" i="41"/>
  <c r="K25" i="41"/>
  <c r="K120" i="41"/>
  <c r="K130" i="41"/>
  <c r="K108" i="41"/>
  <c r="K75" i="41"/>
  <c r="K39" i="41"/>
  <c r="K30" i="41"/>
  <c r="K46" i="41"/>
  <c r="K121" i="41"/>
  <c r="K88" i="41"/>
  <c r="K27" i="41"/>
  <c r="K23" i="41"/>
  <c r="K110" i="41"/>
  <c r="K51" i="41"/>
  <c r="C1709" i="31"/>
  <c r="B1709" i="31"/>
  <c r="J1425" i="31"/>
  <c r="J1404" i="31"/>
  <c r="J1448" i="31"/>
  <c r="J1429" i="31"/>
  <c r="J1442" i="31"/>
  <c r="J1415" i="31"/>
  <c r="J1439" i="31"/>
  <c r="J1445" i="31"/>
  <c r="J1410" i="31"/>
  <c r="J1457" i="31"/>
  <c r="J1461" i="31"/>
  <c r="J1468" i="31"/>
  <c r="J1430" i="31"/>
  <c r="C1742" i="31"/>
  <c r="B354" i="31"/>
  <c r="C287" i="31"/>
  <c r="K208" i="41"/>
  <c r="J582" i="31"/>
  <c r="B539" i="31"/>
  <c r="J624" i="31"/>
  <c r="K187" i="41"/>
  <c r="K192" i="41"/>
  <c r="C1700" i="31"/>
  <c r="I19" i="44"/>
  <c r="C1732" i="31"/>
  <c r="K169" i="41"/>
  <c r="B65" i="31"/>
  <c r="K199" i="41"/>
  <c r="K195" i="41"/>
  <c r="C1728" i="31"/>
  <c r="I54" i="44"/>
  <c r="B317" i="31"/>
  <c r="C293" i="31"/>
  <c r="C179" i="31"/>
  <c r="B281" i="31"/>
  <c r="C281" i="31"/>
  <c r="B264" i="31"/>
  <c r="C264" i="31"/>
  <c r="B1722" i="31"/>
  <c r="I15" i="44"/>
  <c r="J477" i="31"/>
  <c r="C1744" i="31"/>
  <c r="C407" i="31"/>
  <c r="F4" i="13"/>
  <c r="C31" i="47" s="1"/>
  <c r="J1476" i="31"/>
  <c r="C1734" i="31"/>
  <c r="B1734" i="31"/>
  <c r="J526" i="31"/>
  <c r="C461" i="31"/>
  <c r="C1731" i="31"/>
  <c r="I16" i="44"/>
  <c r="I14" i="44"/>
  <c r="J1479" i="31"/>
  <c r="J1475" i="31"/>
  <c r="J1098" i="31"/>
  <c r="J1125" i="31"/>
  <c r="J1205" i="31"/>
  <c r="J1058" i="31"/>
  <c r="J1122" i="31"/>
  <c r="J1062" i="31"/>
  <c r="J1372" i="31"/>
  <c r="J1118" i="31"/>
  <c r="J1147" i="31"/>
  <c r="J1274" i="31"/>
  <c r="J1207" i="31"/>
  <c r="J1197" i="31"/>
  <c r="J1299" i="31"/>
  <c r="J1307" i="31"/>
  <c r="J1378" i="31"/>
  <c r="J1379" i="31"/>
  <c r="J1180" i="31"/>
  <c r="J1166" i="31"/>
  <c r="J1078" i="31"/>
  <c r="J1320" i="31"/>
  <c r="J1036" i="31"/>
  <c r="J1380" i="31"/>
  <c r="J1326" i="31"/>
  <c r="J1269" i="31"/>
  <c r="J1230" i="31"/>
  <c r="J1046" i="31"/>
  <c r="J1270" i="31"/>
  <c r="J1066" i="31"/>
  <c r="J1063" i="31"/>
  <c r="J1262" i="31"/>
  <c r="J1282" i="31"/>
  <c r="J1249" i="31"/>
  <c r="J1047" i="31"/>
  <c r="J1240" i="31"/>
  <c r="J1516" i="31"/>
  <c r="J1557" i="31"/>
  <c r="J1531" i="31"/>
  <c r="J1556" i="31"/>
  <c r="B1708" i="31"/>
  <c r="C1708" i="31"/>
  <c r="C1705" i="31"/>
  <c r="B1705" i="31"/>
  <c r="B527" i="31"/>
  <c r="C527" i="31"/>
  <c r="C546" i="31"/>
  <c r="J588" i="31"/>
  <c r="C449" i="31"/>
  <c r="E3" i="17"/>
  <c r="C11" i="47" s="1"/>
  <c r="I53" i="44"/>
  <c r="C600" i="31"/>
  <c r="C485" i="31"/>
  <c r="J1481" i="31"/>
  <c r="J1471" i="31"/>
  <c r="J321" i="31"/>
  <c r="J429" i="31"/>
  <c r="J242" i="31"/>
  <c r="J466" i="31"/>
  <c r="J343" i="31"/>
  <c r="J402" i="31"/>
  <c r="J439" i="31"/>
  <c r="J416" i="31"/>
  <c r="J1666" i="31"/>
  <c r="J1677" i="31"/>
  <c r="J1634" i="31"/>
  <c r="J1692" i="31"/>
  <c r="J1657" i="31"/>
  <c r="J1726" i="31"/>
  <c r="J1690" i="31"/>
  <c r="J1670" i="31"/>
  <c r="J1647" i="31"/>
  <c r="J1629" i="31"/>
  <c r="J1620" i="31"/>
  <c r="J1624" i="31"/>
  <c r="F4" i="22"/>
  <c r="C37" i="47" s="1"/>
  <c r="J1626" i="31"/>
  <c r="C1746" i="31"/>
  <c r="I44" i="44"/>
  <c r="I37" i="44"/>
  <c r="I12" i="44"/>
  <c r="I3" i="44"/>
  <c r="I20" i="44"/>
  <c r="J27" i="31"/>
  <c r="J145" i="31"/>
  <c r="C1750" i="31"/>
  <c r="C135" i="31"/>
  <c r="I45" i="44"/>
  <c r="I25" i="44"/>
  <c r="J53" i="31"/>
  <c r="J1478" i="31"/>
  <c r="J719" i="31"/>
  <c r="J685" i="31"/>
  <c r="J942" i="31"/>
  <c r="J931" i="31"/>
  <c r="J943" i="31"/>
  <c r="J834" i="31"/>
  <c r="J789" i="31"/>
  <c r="J1008" i="31"/>
  <c r="J787" i="31"/>
  <c r="J974" i="31"/>
  <c r="J932" i="31"/>
  <c r="J678" i="31"/>
  <c r="J697" i="31"/>
  <c r="J882" i="31"/>
  <c r="J738" i="31"/>
  <c r="J778" i="31"/>
  <c r="J994" i="31"/>
  <c r="J980" i="31"/>
  <c r="J786" i="31"/>
  <c r="J812" i="31"/>
  <c r="J851" i="31"/>
  <c r="J673" i="31"/>
  <c r="J725" i="31"/>
  <c r="J794" i="31"/>
  <c r="J777" i="31"/>
  <c r="J895" i="31"/>
  <c r="J935" i="31"/>
  <c r="J1027" i="31"/>
  <c r="J1010" i="31"/>
  <c r="J1018" i="31"/>
  <c r="J735" i="31"/>
  <c r="J797" i="31"/>
  <c r="J807" i="31"/>
  <c r="J709" i="31"/>
  <c r="J953" i="31"/>
  <c r="J675" i="31"/>
  <c r="J848" i="31"/>
  <c r="J791" i="31"/>
  <c r="J978" i="31"/>
  <c r="J883" i="31"/>
  <c r="J951" i="31"/>
  <c r="J916" i="31"/>
  <c r="J753" i="31"/>
  <c r="J728" i="31"/>
  <c r="J962" i="31"/>
  <c r="J818" i="31"/>
  <c r="J711" i="31"/>
  <c r="J688" i="31"/>
  <c r="J759" i="31"/>
  <c r="J863" i="31"/>
  <c r="J893" i="31"/>
  <c r="J925" i="31"/>
  <c r="J927" i="31"/>
  <c r="J968" i="31"/>
  <c r="J715" i="31"/>
  <c r="J823" i="31"/>
  <c r="J677" i="31"/>
  <c r="J1015" i="31"/>
  <c r="J855" i="31"/>
  <c r="J907" i="31"/>
  <c r="J395" i="31"/>
  <c r="J333" i="31"/>
  <c r="J280" i="31"/>
  <c r="J374" i="31"/>
  <c r="J259" i="31"/>
  <c r="J424" i="31"/>
  <c r="J344" i="31"/>
  <c r="J302" i="31"/>
  <c r="J241" i="31"/>
  <c r="J373" i="31"/>
  <c r="J328" i="31"/>
  <c r="J383" i="31"/>
  <c r="J440" i="31"/>
  <c r="J444" i="31"/>
  <c r="J445" i="31"/>
  <c r="J380" i="31"/>
  <c r="J239" i="31"/>
  <c r="J306" i="31"/>
  <c r="J450" i="31"/>
  <c r="J285" i="31"/>
  <c r="J292" i="31"/>
  <c r="J336" i="31"/>
  <c r="J414" i="31"/>
  <c r="J330" i="31"/>
  <c r="J315" i="31"/>
  <c r="J382" i="31"/>
  <c r="J273" i="31"/>
  <c r="J410" i="31"/>
  <c r="J433" i="31"/>
  <c r="J467" i="31"/>
  <c r="J288" i="31"/>
  <c r="J359" i="31"/>
  <c r="J407" i="31"/>
  <c r="J238" i="31"/>
  <c r="J469" i="31"/>
  <c r="J264" i="31"/>
  <c r="J279" i="31"/>
  <c r="J276" i="31"/>
  <c r="J365" i="31"/>
  <c r="J362" i="31"/>
  <c r="J419" i="31"/>
  <c r="J356" i="31"/>
  <c r="J390" i="31"/>
  <c r="J459" i="31"/>
  <c r="J325" i="31"/>
  <c r="J393" i="31"/>
  <c r="J300" i="31"/>
  <c r="J420" i="31"/>
  <c r="J257" i="31"/>
  <c r="J337" i="31"/>
  <c r="J327" i="31"/>
  <c r="J342" i="31"/>
  <c r="J299" i="31"/>
  <c r="J311" i="31"/>
  <c r="J442" i="31"/>
  <c r="J446" i="31"/>
  <c r="J394" i="31"/>
  <c r="J376" i="31"/>
  <c r="J412" i="31"/>
  <c r="J345" i="31"/>
  <c r="J251" i="31"/>
  <c r="J428" i="31"/>
  <c r="J324" i="31"/>
  <c r="J272" i="31"/>
  <c r="J341" i="31"/>
  <c r="J360" i="31"/>
  <c r="J258" i="31"/>
  <c r="J293" i="31"/>
  <c r="J243" i="31"/>
  <c r="J245" i="31"/>
  <c r="J400" i="31"/>
  <c r="J235" i="31"/>
  <c r="J282" i="31"/>
  <c r="J339" i="31"/>
  <c r="J438" i="31"/>
  <c r="J1513" i="31"/>
  <c r="J1535" i="31"/>
  <c r="J1526" i="31"/>
  <c r="J1543" i="31"/>
  <c r="J1617" i="31"/>
  <c r="J1484" i="31"/>
  <c r="J1558" i="31"/>
  <c r="J1517" i="31"/>
  <c r="J1585" i="31"/>
  <c r="J1566" i="31"/>
  <c r="J1512" i="31"/>
  <c r="J1572" i="31"/>
  <c r="J1529" i="31"/>
  <c r="J1495" i="31"/>
  <c r="J1575" i="31"/>
  <c r="J1590" i="31"/>
  <c r="J1561" i="31"/>
  <c r="J1523" i="31"/>
  <c r="J1592" i="31"/>
  <c r="J1482" i="31"/>
  <c r="J1593" i="31"/>
  <c r="J1555" i="31"/>
  <c r="J1608" i="31"/>
  <c r="J1519" i="31"/>
  <c r="J1545" i="31"/>
  <c r="J1544" i="31"/>
  <c r="J1547" i="31"/>
  <c r="J1510" i="31"/>
  <c r="J1599" i="31"/>
  <c r="B563" i="31"/>
  <c r="C563" i="31"/>
  <c r="B251" i="31"/>
  <c r="C251" i="31"/>
  <c r="B100" i="31"/>
  <c r="C100" i="31"/>
  <c r="B324" i="31"/>
  <c r="C324" i="31"/>
  <c r="B347" i="31"/>
  <c r="C347" i="31"/>
  <c r="J372" i="31"/>
  <c r="J397" i="31"/>
  <c r="J314" i="31"/>
  <c r="B323" i="31"/>
  <c r="J1508" i="31"/>
  <c r="J317" i="31"/>
  <c r="J316" i="31"/>
  <c r="J331" i="31"/>
  <c r="J334" i="31"/>
  <c r="J332" i="31"/>
  <c r="J260" i="31"/>
  <c r="J363" i="31"/>
  <c r="J304" i="31"/>
  <c r="J1518" i="31"/>
  <c r="J1579" i="31"/>
  <c r="C468" i="31"/>
  <c r="B468" i="31"/>
  <c r="B1683" i="31"/>
  <c r="C1683" i="31"/>
  <c r="J1416" i="31"/>
  <c r="J1459" i="31"/>
  <c r="J1458" i="31"/>
  <c r="J1453" i="31"/>
  <c r="J1431" i="31"/>
  <c r="J1406" i="31"/>
  <c r="J1449" i="31"/>
  <c r="J1440" i="31"/>
  <c r="J1446" i="31"/>
  <c r="J1419" i="31"/>
  <c r="J1464" i="31"/>
  <c r="J1456" i="31"/>
  <c r="J1460" i="31"/>
  <c r="J1437" i="31"/>
  <c r="J1436" i="31"/>
  <c r="J1441" i="31"/>
  <c r="J1403" i="31"/>
  <c r="J1420" i="31"/>
  <c r="J1424" i="31"/>
  <c r="J1463" i="31"/>
  <c r="J1411" i="31"/>
  <c r="J1433" i="31"/>
  <c r="J1455" i="31"/>
  <c r="J1423" i="31"/>
  <c r="J1412" i="31"/>
  <c r="J1414" i="31"/>
  <c r="J1426" i="31"/>
  <c r="J1409" i="31"/>
  <c r="J1413" i="31"/>
  <c r="J1447" i="31"/>
  <c r="J1421" i="31"/>
  <c r="C1749" i="31"/>
  <c r="C1737" i="31"/>
  <c r="B551" i="31"/>
  <c r="C551" i="31"/>
  <c r="B497" i="31"/>
  <c r="C497" i="31"/>
  <c r="C263" i="31"/>
  <c r="B263" i="31"/>
  <c r="B163" i="31"/>
  <c r="C163" i="31"/>
  <c r="J457" i="31"/>
  <c r="J236" i="31"/>
  <c r="J460" i="31"/>
  <c r="J266" i="31"/>
  <c r="C93" i="31"/>
  <c r="B93" i="31"/>
  <c r="B72" i="31"/>
  <c r="C72" i="31"/>
  <c r="B272" i="31"/>
  <c r="C272" i="31"/>
  <c r="B366" i="31"/>
  <c r="J1562" i="31"/>
  <c r="J287" i="31"/>
  <c r="J335" i="31"/>
  <c r="J283" i="31"/>
  <c r="J305" i="31"/>
  <c r="J396" i="31"/>
  <c r="J369" i="31"/>
  <c r="J371" i="31"/>
  <c r="B245" i="31"/>
  <c r="J447" i="31"/>
  <c r="J233" i="31"/>
  <c r="J1494" i="31"/>
  <c r="J1527" i="31"/>
  <c r="J1583" i="31"/>
  <c r="C23" i="31"/>
  <c r="B1707" i="31"/>
  <c r="C1707" i="31"/>
  <c r="C647" i="31"/>
  <c r="B647" i="31"/>
  <c r="B226" i="31"/>
  <c r="C114" i="31"/>
  <c r="J1549" i="31"/>
  <c r="J385" i="31"/>
  <c r="J461" i="31"/>
  <c r="B170" i="31"/>
  <c r="J297" i="31"/>
  <c r="J388" i="31"/>
  <c r="J398" i="31"/>
  <c r="J454" i="31"/>
  <c r="J271" i="31"/>
  <c r="J1450" i="31"/>
  <c r="J286" i="31"/>
  <c r="J1532" i="31"/>
  <c r="J1597" i="31"/>
  <c r="J1408" i="31"/>
  <c r="C142" i="31"/>
  <c r="B213" i="31"/>
  <c r="K178" i="41"/>
  <c r="K209" i="41"/>
  <c r="K173" i="41"/>
  <c r="K227" i="41"/>
  <c r="K221" i="41"/>
  <c r="K148" i="41"/>
  <c r="K184" i="41"/>
  <c r="K229" i="41"/>
  <c r="K149" i="41"/>
  <c r="K167" i="41"/>
  <c r="K179" i="41"/>
  <c r="K163" i="41"/>
  <c r="K198" i="41"/>
  <c r="K228" i="41"/>
  <c r="K207" i="41"/>
  <c r="K203" i="41"/>
  <c r="K160" i="41"/>
  <c r="K159" i="41"/>
  <c r="K147" i="41"/>
  <c r="K215" i="41"/>
  <c r="K190" i="41"/>
  <c r="K158" i="41"/>
  <c r="K211" i="41"/>
  <c r="C1745" i="31"/>
  <c r="C1723" i="31"/>
  <c r="B1723" i="31"/>
  <c r="C1714" i="31"/>
  <c r="B1714" i="31"/>
  <c r="B359" i="31"/>
  <c r="C359" i="31"/>
  <c r="B79" i="31"/>
  <c r="C79" i="31"/>
  <c r="B3" i="31"/>
  <c r="C3" i="31"/>
  <c r="K90" i="41"/>
  <c r="K33" i="41"/>
  <c r="K136" i="41"/>
  <c r="K71" i="41"/>
  <c r="K145" i="41"/>
  <c r="K36" i="41"/>
  <c r="K86" i="41"/>
  <c r="K72" i="41"/>
  <c r="K73" i="41"/>
  <c r="K68" i="41"/>
  <c r="B534" i="31"/>
  <c r="C534" i="31"/>
  <c r="I7" i="44"/>
  <c r="I50" i="44"/>
  <c r="I35" i="44"/>
  <c r="I42" i="44"/>
  <c r="I24" i="44"/>
  <c r="I9" i="44"/>
  <c r="I13" i="44"/>
  <c r="J87" i="31"/>
  <c r="J86" i="31"/>
  <c r="J95" i="31"/>
  <c r="J109" i="31"/>
  <c r="J473" i="31"/>
  <c r="J635" i="31"/>
  <c r="J599" i="31"/>
  <c r="J630" i="31"/>
  <c r="J551" i="31"/>
  <c r="J547" i="31"/>
  <c r="J611" i="31"/>
  <c r="J569" i="31"/>
  <c r="J486" i="31"/>
  <c r="J515" i="31"/>
  <c r="J638" i="31"/>
  <c r="J642" i="31"/>
  <c r="J567" i="31"/>
  <c r="J493" i="31"/>
  <c r="J554" i="31"/>
  <c r="J511" i="31"/>
  <c r="J566" i="31"/>
  <c r="J494" i="31"/>
  <c r="J559" i="31"/>
  <c r="J587" i="31"/>
  <c r="J534" i="31"/>
  <c r="J592" i="31"/>
  <c r="J564" i="31"/>
  <c r="J621" i="31"/>
  <c r="J489" i="31"/>
  <c r="J626" i="31"/>
  <c r="J608" i="31"/>
  <c r="J636" i="31"/>
  <c r="J602" i="31"/>
  <c r="J496" i="31"/>
  <c r="J653" i="31"/>
  <c r="J628" i="31"/>
  <c r="J520" i="31"/>
  <c r="J572" i="31"/>
  <c r="J504" i="31"/>
  <c r="J479" i="31"/>
  <c r="J481" i="31"/>
  <c r="J562" i="31"/>
  <c r="J656" i="31"/>
  <c r="J519" i="31"/>
  <c r="J570" i="31"/>
  <c r="J639" i="31"/>
  <c r="J632" i="31"/>
  <c r="J613" i="31"/>
  <c r="J595" i="31"/>
  <c r="J607" i="31"/>
  <c r="J529" i="31"/>
  <c r="J475" i="31"/>
  <c r="J657" i="31"/>
  <c r="J541" i="31"/>
  <c r="F4" i="38"/>
  <c r="C23" i="47" s="1"/>
  <c r="J497" i="31"/>
  <c r="J601" i="31"/>
  <c r="J623" i="31"/>
  <c r="J508" i="31"/>
  <c r="J568" i="31"/>
  <c r="J492" i="31"/>
  <c r="J474" i="31"/>
  <c r="J542" i="31"/>
  <c r="J549" i="31"/>
  <c r="J593" i="31"/>
  <c r="J502" i="31"/>
  <c r="J514" i="31"/>
  <c r="J612" i="31"/>
  <c r="J556" i="31"/>
  <c r="J536" i="31"/>
  <c r="J643" i="31"/>
  <c r="J609" i="31"/>
  <c r="J589" i="31"/>
  <c r="J658" i="31"/>
  <c r="J553" i="31"/>
  <c r="J574" i="31"/>
  <c r="J586" i="31"/>
  <c r="J522" i="31"/>
  <c r="J537" i="31"/>
  <c r="J483" i="31"/>
  <c r="J521" i="31"/>
  <c r="J627" i="31"/>
  <c r="J633" i="31"/>
  <c r="J533" i="31"/>
  <c r="J605" i="31"/>
  <c r="J557" i="31"/>
  <c r="J507" i="31"/>
  <c r="J539" i="31"/>
  <c r="J565" i="31"/>
  <c r="J524" i="31"/>
  <c r="J650" i="31"/>
  <c r="J560" i="31"/>
  <c r="J488" i="31"/>
  <c r="J596" i="31"/>
  <c r="J527" i="31"/>
  <c r="J645" i="31"/>
  <c r="J550" i="31"/>
  <c r="J476" i="31"/>
  <c r="J499" i="31"/>
  <c r="J482" i="31"/>
  <c r="J505" i="31"/>
  <c r="J590" i="31"/>
  <c r="J619" i="31"/>
  <c r="J581" i="31"/>
  <c r="J535" i="31"/>
  <c r="J546" i="31"/>
  <c r="J510" i="31"/>
  <c r="J487" i="31"/>
  <c r="J503" i="31"/>
  <c r="J509" i="31"/>
  <c r="J615" i="31"/>
  <c r="J518" i="31"/>
  <c r="J604" i="31"/>
  <c r="J655" i="31"/>
  <c r="J528" i="31"/>
  <c r="J629" i="31"/>
  <c r="J532" i="31"/>
  <c r="J598" i="31"/>
  <c r="J614" i="31"/>
  <c r="J552" i="31"/>
  <c r="J530" i="31"/>
  <c r="J516" i="31"/>
  <c r="J506" i="31"/>
  <c r="J484" i="31"/>
  <c r="J634" i="31"/>
  <c r="J478" i="31"/>
  <c r="J561" i="31"/>
  <c r="J584" i="31"/>
  <c r="J610" i="31"/>
  <c r="J583" i="31"/>
  <c r="C1703" i="31"/>
  <c r="B1703" i="31"/>
  <c r="B1690" i="31"/>
  <c r="C1690" i="31"/>
  <c r="J640" i="31"/>
  <c r="J544" i="31"/>
  <c r="J573" i="31"/>
  <c r="J77" i="31"/>
  <c r="J201" i="31"/>
  <c r="J26" i="31"/>
  <c r="J139" i="31"/>
  <c r="J580" i="31"/>
  <c r="J618" i="31"/>
  <c r="J204" i="31"/>
  <c r="J179" i="31"/>
  <c r="J79" i="31"/>
  <c r="J7" i="31"/>
  <c r="J647" i="31"/>
  <c r="J571" i="31"/>
  <c r="J555" i="31"/>
  <c r="J600" i="31"/>
  <c r="J1738" i="31"/>
  <c r="C540" i="31"/>
  <c r="B540" i="31"/>
  <c r="J491" i="31"/>
  <c r="J548" i="31"/>
  <c r="J644" i="31"/>
  <c r="J55" i="31"/>
  <c r="J157" i="31"/>
  <c r="J85" i="31"/>
  <c r="J54" i="31"/>
  <c r="J646" i="31"/>
  <c r="J523" i="31"/>
  <c r="J104" i="31"/>
  <c r="J229" i="31"/>
  <c r="J72" i="31"/>
  <c r="J498" i="31"/>
  <c r="J540" i="31"/>
  <c r="J577" i="31"/>
  <c r="B31" i="31"/>
  <c r="C31" i="31"/>
  <c r="J606" i="31"/>
  <c r="J543" i="31"/>
  <c r="J603" i="31"/>
  <c r="I40" i="44"/>
  <c r="I33" i="44"/>
  <c r="J191" i="31"/>
  <c r="J175" i="31"/>
  <c r="J21" i="31"/>
  <c r="J78" i="31"/>
  <c r="J649" i="31"/>
  <c r="J591" i="31"/>
  <c r="J517" i="31"/>
  <c r="J116" i="31"/>
  <c r="J124" i="31"/>
  <c r="J65" i="31"/>
  <c r="J71" i="31"/>
  <c r="J177" i="31"/>
  <c r="J631" i="31"/>
  <c r="C569" i="31"/>
  <c r="J651" i="31"/>
  <c r="C365" i="31"/>
  <c r="C269" i="31"/>
  <c r="B269" i="31"/>
  <c r="B52" i="31"/>
  <c r="C52" i="31"/>
  <c r="B30" i="31"/>
  <c r="C30" i="31"/>
  <c r="J123" i="31"/>
  <c r="J190" i="31"/>
  <c r="J115" i="31"/>
  <c r="J110" i="31"/>
  <c r="J188" i="31"/>
  <c r="J214" i="31"/>
  <c r="J15" i="31"/>
  <c r="J210" i="31"/>
  <c r="J187" i="31"/>
  <c r="J159" i="31"/>
  <c r="J6" i="31"/>
  <c r="J3" i="31"/>
  <c r="J19" i="31"/>
  <c r="J37" i="31"/>
  <c r="J153" i="31"/>
  <c r="J30" i="31"/>
  <c r="J25" i="31"/>
  <c r="J32" i="31"/>
  <c r="J134" i="31"/>
  <c r="J29" i="31"/>
  <c r="J160" i="31"/>
  <c r="J224" i="31"/>
  <c r="J58" i="31"/>
  <c r="J166" i="31"/>
  <c r="J173" i="31"/>
  <c r="J122" i="31"/>
  <c r="J88" i="31"/>
  <c r="J8" i="31"/>
  <c r="J12" i="31"/>
  <c r="J61" i="31"/>
  <c r="J127" i="31"/>
  <c r="J31" i="31"/>
  <c r="J146" i="31"/>
  <c r="J182" i="31"/>
  <c r="J203" i="31"/>
  <c r="J219" i="31"/>
  <c r="J151" i="31"/>
  <c r="J70" i="31"/>
  <c r="J223" i="31"/>
  <c r="J56" i="31"/>
  <c r="J161" i="31"/>
  <c r="J49" i="31"/>
  <c r="J69" i="31"/>
  <c r="J226" i="31"/>
  <c r="J67" i="31"/>
  <c r="J220" i="31"/>
  <c r="J209" i="31"/>
  <c r="J82" i="31"/>
  <c r="J206" i="31"/>
  <c r="J103" i="31"/>
  <c r="J155" i="31"/>
  <c r="J81" i="31"/>
  <c r="J148" i="31"/>
  <c r="J181" i="31"/>
  <c r="J216" i="31"/>
  <c r="J119" i="31"/>
  <c r="J68" i="31"/>
  <c r="J64" i="31"/>
  <c r="J73" i="31"/>
  <c r="J140" i="31"/>
  <c r="J196" i="31"/>
  <c r="J33" i="31"/>
  <c r="J162" i="31"/>
  <c r="J59" i="31"/>
  <c r="J90" i="31"/>
  <c r="J40" i="31"/>
  <c r="J92" i="31"/>
  <c r="J208" i="31"/>
  <c r="J193" i="31"/>
  <c r="J129" i="31"/>
  <c r="J189" i="31"/>
  <c r="J218" i="31"/>
  <c r="J121" i="31"/>
  <c r="J28" i="31"/>
  <c r="J93" i="31"/>
  <c r="J101" i="31"/>
  <c r="J195" i="31"/>
  <c r="J200" i="31"/>
  <c r="J108" i="31"/>
  <c r="J13" i="31"/>
  <c r="J75" i="31"/>
  <c r="J128" i="31"/>
  <c r="J207" i="31"/>
  <c r="J34" i="31"/>
  <c r="J156" i="31"/>
  <c r="J230" i="31"/>
  <c r="J131" i="31"/>
  <c r="J198" i="31"/>
  <c r="J20" i="31"/>
  <c r="J18" i="31"/>
  <c r="J66" i="31"/>
  <c r="J41" i="31"/>
  <c r="J217" i="31"/>
  <c r="J57" i="31"/>
  <c r="J2" i="31"/>
  <c r="J39" i="31"/>
  <c r="J143" i="31"/>
  <c r="J45" i="31"/>
  <c r="J163" i="31"/>
  <c r="J106" i="31"/>
  <c r="J24" i="31"/>
  <c r="J98" i="31"/>
  <c r="J14" i="31"/>
  <c r="J43" i="31"/>
  <c r="J212" i="31"/>
  <c r="J147" i="31"/>
  <c r="J22" i="31"/>
  <c r="J135" i="31"/>
  <c r="J51" i="31"/>
  <c r="J227" i="31"/>
  <c r="J221" i="31"/>
  <c r="J114" i="31"/>
  <c r="J205" i="31"/>
  <c r="J60" i="31"/>
  <c r="J11" i="31"/>
  <c r="J232" i="31"/>
  <c r="J23" i="31"/>
  <c r="J96" i="31"/>
  <c r="J228" i="31"/>
  <c r="J48" i="31"/>
  <c r="J42" i="31"/>
  <c r="J176" i="31"/>
  <c r="J80" i="31"/>
  <c r="J150" i="31"/>
  <c r="J184" i="31"/>
  <c r="J158" i="31"/>
  <c r="J16" i="31"/>
  <c r="J171" i="31"/>
  <c r="J126" i="31"/>
  <c r="J178" i="31"/>
  <c r="J186" i="31"/>
  <c r="J118" i="31"/>
  <c r="J141" i="31"/>
  <c r="J117" i="31"/>
  <c r="J170" i="31"/>
  <c r="J185" i="31"/>
  <c r="J222" i="31"/>
  <c r="J62" i="31"/>
  <c r="J154" i="31"/>
  <c r="J63" i="31"/>
  <c r="J213" i="31"/>
  <c r="J231" i="31"/>
  <c r="J202" i="31"/>
  <c r="J136" i="31"/>
  <c r="J76" i="31"/>
  <c r="J120" i="31"/>
  <c r="J44" i="31"/>
  <c r="J94" i="31"/>
  <c r="J130" i="31"/>
  <c r="J89" i="31"/>
  <c r="J17" i="31"/>
  <c r="J84" i="31"/>
  <c r="J47" i="31"/>
  <c r="J165" i="31"/>
  <c r="J91" i="31"/>
  <c r="J133" i="31"/>
  <c r="J513" i="31"/>
  <c r="J1747" i="31"/>
  <c r="J152" i="31"/>
  <c r="J149" i="31"/>
  <c r="J495" i="31"/>
  <c r="J512" i="31"/>
  <c r="J52" i="31"/>
  <c r="J211" i="31"/>
  <c r="J107" i="31"/>
  <c r="J99" i="31"/>
  <c r="J111" i="31"/>
  <c r="J620" i="31"/>
  <c r="J500" i="31"/>
  <c r="J1742" i="31"/>
  <c r="J167" i="31"/>
  <c r="J215" i="31"/>
  <c r="J97" i="31"/>
  <c r="J74" i="31"/>
  <c r="J531" i="31"/>
  <c r="J144" i="31"/>
  <c r="J575" i="31"/>
  <c r="C372" i="31"/>
  <c r="B372" i="31"/>
  <c r="B1704" i="31"/>
  <c r="C1704" i="31"/>
  <c r="C1701" i="31"/>
  <c r="B1701" i="31"/>
  <c r="C1668" i="31"/>
  <c r="B1668" i="31"/>
  <c r="B86" i="31"/>
  <c r="C86" i="31"/>
  <c r="B45" i="31"/>
  <c r="C45" i="31"/>
  <c r="J578" i="31"/>
  <c r="J525" i="31"/>
  <c r="J180" i="31"/>
  <c r="J169" i="31"/>
  <c r="J194" i="31"/>
  <c r="J113" i="31"/>
  <c r="J622" i="31"/>
  <c r="J617" i="31"/>
  <c r="J46" i="31"/>
  <c r="J199" i="31"/>
  <c r="J10" i="31"/>
  <c r="J137" i="31"/>
  <c r="J625" i="31"/>
  <c r="J538" i="31"/>
  <c r="J585" i="31"/>
  <c r="J4" i="31"/>
  <c r="J597" i="31"/>
  <c r="B432" i="31"/>
  <c r="C432" i="31"/>
  <c r="B1659" i="31"/>
  <c r="C1659" i="31"/>
  <c r="B371" i="31"/>
  <c r="C371" i="31"/>
  <c r="J1746" i="31"/>
  <c r="J1743" i="31"/>
  <c r="J1736" i="31"/>
  <c r="J1744" i="31"/>
  <c r="J1739" i="31"/>
  <c r="J1748" i="31"/>
  <c r="J1741" i="31"/>
  <c r="J1749" i="31"/>
  <c r="J1750" i="31"/>
  <c r="J1752" i="31"/>
  <c r="J1745" i="31"/>
  <c r="J1751" i="31"/>
  <c r="J490" i="31"/>
  <c r="F4" i="9"/>
  <c r="C19" i="47" s="1"/>
  <c r="J125" i="31"/>
  <c r="J1740" i="31"/>
  <c r="J142" i="31"/>
  <c r="J164" i="31"/>
  <c r="J168" i="31"/>
  <c r="J183" i="31"/>
  <c r="J485" i="31"/>
  <c r="J36" i="31"/>
  <c r="J102" i="31"/>
  <c r="J579" i="31"/>
  <c r="B335" i="31"/>
  <c r="C335" i="31"/>
  <c r="J576" i="31"/>
  <c r="J1737" i="31"/>
  <c r="J641" i="31"/>
  <c r="J654" i="31"/>
  <c r="J545" i="31"/>
  <c r="C491" i="31"/>
  <c r="J594" i="31"/>
  <c r="C73" i="31"/>
  <c r="J100" i="31"/>
  <c r="J172" i="31"/>
  <c r="J83" i="31"/>
  <c r="J197" i="31"/>
  <c r="J637" i="31"/>
  <c r="J616" i="31"/>
  <c r="J132" i="31"/>
  <c r="J174" i="31"/>
  <c r="J38" i="31"/>
  <c r="J192" i="31"/>
  <c r="J112" i="31"/>
  <c r="J480" i="31"/>
  <c r="J652" i="31"/>
  <c r="J50" i="31"/>
  <c r="J501" i="31"/>
  <c r="J105" i="31"/>
  <c r="C212" i="31"/>
  <c r="J558" i="31"/>
  <c r="B481" i="31"/>
  <c r="C481" i="31"/>
  <c r="I4" i="44"/>
  <c r="I21" i="44"/>
  <c r="I52" i="44"/>
  <c r="I30" i="44"/>
  <c r="I55" i="44"/>
  <c r="I43" i="44"/>
  <c r="I22" i="44"/>
  <c r="I36" i="44"/>
  <c r="I23" i="44"/>
  <c r="I31" i="44"/>
  <c r="I41" i="44"/>
  <c r="I2" i="44"/>
  <c r="I58" i="44"/>
  <c r="I32" i="44"/>
  <c r="I49" i="44"/>
  <c r="I18" i="44"/>
  <c r="I26" i="44"/>
  <c r="I60" i="44"/>
  <c r="I10" i="44"/>
  <c r="I61" i="44"/>
  <c r="I39" i="44"/>
  <c r="I56" i="44"/>
  <c r="I48" i="44"/>
  <c r="I34" i="44"/>
  <c r="I51" i="44"/>
  <c r="I46" i="44"/>
  <c r="I8" i="44"/>
  <c r="I38" i="44"/>
  <c r="I28" i="44"/>
  <c r="I29" i="44"/>
  <c r="J1754" i="31"/>
  <c r="J1760" i="31"/>
  <c r="J1759" i="31"/>
  <c r="J1755" i="31"/>
  <c r="J1753" i="31"/>
  <c r="K100" i="41"/>
  <c r="K38" i="41"/>
  <c r="K63" i="41"/>
  <c r="K66" i="41"/>
  <c r="K115" i="41"/>
  <c r="K61" i="41"/>
  <c r="K2" i="41"/>
  <c r="K99" i="41"/>
  <c r="K74" i="41"/>
  <c r="K144" i="41"/>
  <c r="K48" i="41"/>
  <c r="K142" i="41"/>
  <c r="K127" i="41"/>
  <c r="K26" i="41"/>
  <c r="K67" i="41"/>
  <c r="K124" i="41"/>
  <c r="K58" i="41"/>
  <c r="K49" i="41"/>
  <c r="K13" i="41"/>
  <c r="K131" i="41"/>
  <c r="K132" i="41"/>
  <c r="K111" i="41"/>
  <c r="K98" i="41"/>
  <c r="K138" i="41"/>
  <c r="K87" i="41"/>
  <c r="K41" i="41"/>
  <c r="K20" i="41"/>
  <c r="K8" i="41"/>
  <c r="K139" i="41"/>
  <c r="K77" i="41"/>
  <c r="K83" i="41"/>
  <c r="K141" i="41"/>
  <c r="K53" i="41"/>
  <c r="K43" i="41"/>
  <c r="K31" i="41"/>
  <c r="K135" i="41"/>
  <c r="K42" i="41"/>
  <c r="K40" i="41"/>
  <c r="K37" i="41"/>
  <c r="K60" i="41"/>
  <c r="K76" i="41"/>
  <c r="K104" i="41"/>
  <c r="K101" i="41"/>
  <c r="K18" i="41"/>
  <c r="K15" i="41"/>
  <c r="K129" i="41"/>
  <c r="K107" i="41"/>
  <c r="K85" i="41"/>
  <c r="K11" i="41"/>
  <c r="K117" i="41"/>
  <c r="K118" i="41"/>
  <c r="K84" i="41"/>
  <c r="K82" i="41"/>
  <c r="K56" i="41"/>
  <c r="K93" i="41"/>
  <c r="K105" i="41"/>
  <c r="K113" i="41"/>
  <c r="K19" i="41"/>
  <c r="K109" i="41"/>
  <c r="K94" i="41"/>
  <c r="K10" i="41"/>
  <c r="K50" i="41"/>
  <c r="K16" i="41"/>
  <c r="K4" i="41"/>
  <c r="K22" i="41"/>
  <c r="K35" i="41"/>
  <c r="K102" i="41"/>
  <c r="K137" i="41"/>
  <c r="K52" i="41"/>
  <c r="K134" i="41"/>
  <c r="K123" i="41"/>
  <c r="K9" i="41"/>
  <c r="K133" i="41"/>
  <c r="K24" i="41"/>
  <c r="K28" i="41"/>
  <c r="K79" i="41"/>
  <c r="K126" i="41"/>
  <c r="K64" i="41"/>
  <c r="G4" i="25"/>
  <c r="C41" i="47" s="1"/>
  <c r="K6" i="41"/>
  <c r="K157" i="41"/>
  <c r="K164" i="41"/>
  <c r="K193" i="41"/>
  <c r="K233" i="41"/>
  <c r="K194" i="41"/>
  <c r="K204" i="41"/>
  <c r="K200" i="41"/>
  <c r="K202" i="41"/>
  <c r="K237" i="41"/>
  <c r="K226" i="41"/>
  <c r="K206" i="41"/>
  <c r="K186" i="41"/>
  <c r="K177" i="41"/>
  <c r="K168" i="41"/>
  <c r="K196" i="41"/>
  <c r="K216" i="41"/>
  <c r="K235" i="41"/>
  <c r="K170" i="41"/>
  <c r="K230" i="41"/>
  <c r="K240" i="41"/>
  <c r="K161" i="41"/>
  <c r="K205" i="41"/>
  <c r="K210" i="41"/>
  <c r="K175" i="41"/>
  <c r="K154" i="41"/>
  <c r="K225" i="41"/>
  <c r="K218" i="41"/>
  <c r="K183" i="41"/>
  <c r="K152" i="41"/>
  <c r="K172" i="41"/>
  <c r="K182" i="41"/>
  <c r="K236" i="41"/>
  <c r="K174" i="41"/>
  <c r="K239" i="41"/>
  <c r="K220" i="41"/>
  <c r="K151" i="41"/>
  <c r="K188" i="41"/>
  <c r="K162" i="41"/>
  <c r="K231" i="41"/>
  <c r="K180" i="41"/>
  <c r="K222" i="41"/>
  <c r="K146" i="41"/>
  <c r="K213" i="41"/>
  <c r="K191" i="41"/>
  <c r="B1720" i="31"/>
  <c r="C1720" i="31"/>
  <c r="C575" i="31"/>
  <c r="B575" i="31"/>
  <c r="J1217" i="31"/>
  <c r="J1192" i="31"/>
  <c r="J1369" i="31"/>
  <c r="J1165" i="31"/>
  <c r="J1289" i="31"/>
  <c r="J1133" i="31"/>
  <c r="J1302" i="31"/>
  <c r="J1255" i="31"/>
  <c r="J1043" i="31"/>
  <c r="J1349" i="31"/>
  <c r="J1123" i="31"/>
  <c r="J1261" i="31"/>
  <c r="J1263" i="31"/>
  <c r="J1264" i="31"/>
  <c r="J1303" i="31"/>
  <c r="J1318" i="31"/>
  <c r="J1044" i="31"/>
  <c r="J1324" i="31"/>
  <c r="J1300" i="31"/>
  <c r="J1075" i="31"/>
  <c r="J1106" i="31"/>
  <c r="J1371" i="31"/>
  <c r="J1126" i="31"/>
  <c r="J1400" i="31"/>
  <c r="J1316" i="31"/>
  <c r="J1313" i="31"/>
  <c r="J1387" i="31"/>
  <c r="J1092" i="31"/>
  <c r="J1346" i="31"/>
  <c r="J1319" i="31"/>
  <c r="J1227" i="31"/>
  <c r="J1173" i="31"/>
  <c r="J1132" i="31"/>
  <c r="J1035" i="31"/>
  <c r="J1121" i="31"/>
  <c r="J1073" i="31"/>
  <c r="J1358" i="31"/>
  <c r="J1055" i="31"/>
  <c r="J1087" i="31"/>
  <c r="J1039" i="31"/>
  <c r="J1108" i="31"/>
  <c r="J1365" i="31"/>
  <c r="J1064" i="31"/>
  <c r="J1298" i="31"/>
  <c r="J1338" i="31"/>
  <c r="J1068" i="31"/>
  <c r="J1223" i="31"/>
  <c r="J1271" i="31"/>
  <c r="J1242" i="31"/>
  <c r="J1388" i="31"/>
  <c r="J1103" i="31"/>
  <c r="J1221" i="31"/>
  <c r="J1279" i="31"/>
  <c r="J1080" i="31"/>
  <c r="J1048" i="31"/>
  <c r="J1296" i="31"/>
  <c r="J1219" i="31"/>
  <c r="J1100" i="31"/>
  <c r="J1204" i="31"/>
  <c r="J1310" i="31"/>
  <c r="J1391" i="31"/>
  <c r="J1258" i="31"/>
  <c r="J1248" i="31"/>
  <c r="J1367" i="31"/>
  <c r="J1137" i="31"/>
  <c r="J1152" i="31"/>
  <c r="J1292" i="31"/>
  <c r="J1182" i="31"/>
  <c r="J1083" i="31"/>
  <c r="J1151" i="31"/>
  <c r="J1181" i="31"/>
  <c r="J1067" i="31"/>
  <c r="J1200" i="31"/>
  <c r="J1037" i="31"/>
  <c r="J1060" i="31"/>
  <c r="J1179" i="31"/>
  <c r="J1187" i="31"/>
  <c r="J1102" i="31"/>
  <c r="J1233" i="31"/>
  <c r="J1214" i="31"/>
  <c r="J1149" i="31"/>
  <c r="J1273" i="31"/>
  <c r="J1245" i="31"/>
  <c r="J1153" i="31"/>
  <c r="J1059" i="31"/>
  <c r="J1065" i="31"/>
  <c r="J1332" i="31"/>
  <c r="J1041" i="31"/>
  <c r="J1184" i="31"/>
  <c r="J1323" i="31"/>
  <c r="J1244" i="31"/>
  <c r="J1150" i="31"/>
  <c r="J1124" i="31"/>
  <c r="J1291" i="31"/>
  <c r="J1212" i="31"/>
  <c r="J1171" i="31"/>
  <c r="J1148" i="31"/>
  <c r="J1089" i="31"/>
  <c r="J1093" i="31"/>
  <c r="J1114" i="31"/>
  <c r="J1314" i="31"/>
  <c r="J1286" i="31"/>
  <c r="J1183" i="31"/>
  <c r="J1393" i="31"/>
  <c r="J1306" i="31"/>
  <c r="J1343" i="31"/>
  <c r="J1257" i="31"/>
  <c r="J1211" i="31"/>
  <c r="J1241" i="31"/>
  <c r="J1278" i="31"/>
  <c r="J1347" i="31"/>
  <c r="J1341" i="31"/>
  <c r="J1033" i="31"/>
  <c r="J1322" i="31"/>
  <c r="J1143" i="31"/>
  <c r="J1474" i="31"/>
  <c r="J1470" i="31"/>
  <c r="C239" i="31"/>
  <c r="B239" i="31"/>
  <c r="J355" i="31"/>
  <c r="J252" i="31"/>
  <c r="J437" i="31"/>
  <c r="J449" i="31"/>
  <c r="J1614" i="31"/>
  <c r="J1537" i="31"/>
  <c r="J1582" i="31"/>
  <c r="J1515" i="31"/>
  <c r="J1486" i="31"/>
  <c r="J1588" i="31"/>
  <c r="J1550" i="31"/>
  <c r="J1551" i="31"/>
  <c r="J1511" i="31"/>
  <c r="J1565" i="31"/>
  <c r="J1492" i="31"/>
  <c r="J1553" i="31"/>
  <c r="J1563" i="31"/>
  <c r="J1570" i="31"/>
  <c r="B51" i="31"/>
  <c r="C51" i="31"/>
  <c r="C1733" i="31"/>
  <c r="B1733" i="31"/>
  <c r="C44" i="31"/>
  <c r="B44" i="31"/>
  <c r="B329" i="31"/>
  <c r="C329" i="31"/>
  <c r="B311" i="31"/>
  <c r="C311" i="31"/>
  <c r="B246" i="31"/>
  <c r="C246" i="31"/>
  <c r="B318" i="31"/>
  <c r="C318" i="31"/>
  <c r="B438" i="31"/>
  <c r="C438" i="31"/>
  <c r="B1658" i="31"/>
  <c r="C1658" i="31"/>
  <c r="B341" i="31"/>
  <c r="C341" i="31"/>
  <c r="C386" i="31"/>
  <c r="B386" i="31"/>
  <c r="C1718" i="31"/>
  <c r="C177" i="31"/>
  <c r="C1682" i="31"/>
  <c r="C233" i="31"/>
  <c r="B233" i="31"/>
  <c r="B101" i="31"/>
  <c r="C1634" i="31"/>
  <c r="C1739" i="31"/>
  <c r="B431" i="31"/>
  <c r="C431" i="31"/>
  <c r="B489" i="31"/>
  <c r="C489" i="31"/>
  <c r="B342" i="31"/>
  <c r="C342" i="31"/>
  <c r="B121" i="31"/>
  <c r="C121" i="31"/>
  <c r="C503" i="31"/>
  <c r="B389" i="31"/>
  <c r="J267" i="31"/>
  <c r="J357" i="31"/>
  <c r="J421" i="31"/>
  <c r="J464" i="31"/>
  <c r="J303" i="31"/>
  <c r="J244" i="31"/>
  <c r="J308" i="31"/>
  <c r="J378" i="31"/>
  <c r="J423" i="31"/>
  <c r="J431" i="31"/>
  <c r="J472" i="31"/>
  <c r="J349" i="31"/>
  <c r="J329" i="31"/>
  <c r="J453" i="31"/>
  <c r="J451" i="31"/>
  <c r="J274" i="31"/>
  <c r="J452" i="31"/>
  <c r="J427" i="31"/>
  <c r="J261" i="31"/>
  <c r="J434" i="31"/>
  <c r="J361" i="31"/>
  <c r="J294" i="31"/>
  <c r="J384" i="31"/>
  <c r="J277" i="31"/>
  <c r="J319" i="31"/>
  <c r="J406" i="31"/>
  <c r="J234" i="31"/>
  <c r="J269" i="31"/>
  <c r="J387" i="31"/>
  <c r="J430" i="31"/>
  <c r="J411" i="31"/>
  <c r="J389" i="31"/>
  <c r="J403" i="31"/>
  <c r="J262" i="31"/>
  <c r="J441" i="31"/>
  <c r="J465" i="31"/>
  <c r="J249" i="31"/>
  <c r="J240" i="31"/>
  <c r="J448" i="31"/>
  <c r="J435" i="31"/>
  <c r="J392" i="31"/>
  <c r="J354" i="31"/>
  <c r="J301" i="31"/>
  <c r="J350" i="31"/>
  <c r="J351" i="31"/>
  <c r="J399" i="31"/>
  <c r="J353" i="31"/>
  <c r="J340" i="31"/>
  <c r="J401" i="31"/>
  <c r="J366" i="31"/>
  <c r="J368" i="31"/>
  <c r="J455" i="31"/>
  <c r="J471" i="31"/>
  <c r="J370" i="31"/>
  <c r="J320" i="31"/>
  <c r="J326" i="31"/>
  <c r="J278" i="31"/>
  <c r="J426" i="31"/>
  <c r="J364" i="31"/>
  <c r="J352" i="31"/>
  <c r="J443" i="31"/>
  <c r="J291" i="31"/>
  <c r="J391" i="31"/>
  <c r="J348" i="31"/>
  <c r="J250" i="31"/>
  <c r="J375" i="31"/>
  <c r="J246" i="31"/>
  <c r="J237" i="31"/>
  <c r="J1548" i="31"/>
  <c r="J1509" i="31"/>
  <c r="J1539" i="31"/>
  <c r="J1485" i="31"/>
  <c r="J1569" i="31"/>
  <c r="J1611" i="31"/>
  <c r="J1500" i="31"/>
  <c r="J1493" i="31"/>
  <c r="J1607" i="31"/>
  <c r="J1601" i="31"/>
  <c r="J1571" i="31"/>
  <c r="J1542" i="31"/>
  <c r="J1522" i="31"/>
  <c r="J1502" i="31"/>
  <c r="J1605" i="31"/>
  <c r="J1503" i="31"/>
  <c r="J1536" i="31"/>
  <c r="F4" i="14"/>
  <c r="C33" i="47" s="1"/>
  <c r="J1578" i="31"/>
  <c r="J1560" i="31"/>
  <c r="J1609" i="31"/>
  <c r="J1598" i="31"/>
  <c r="J1586" i="31"/>
  <c r="J1580" i="31"/>
  <c r="J1498" i="31"/>
  <c r="J1520" i="31"/>
  <c r="J1554" i="31"/>
  <c r="J1497" i="31"/>
  <c r="J1581" i="31"/>
  <c r="J1589" i="31"/>
  <c r="J1530" i="31"/>
  <c r="J1568" i="31"/>
  <c r="J1488" i="31"/>
  <c r="J1612" i="31"/>
  <c r="J1595" i="31"/>
  <c r="J1483" i="31"/>
  <c r="J1538" i="31"/>
  <c r="J1577" i="31"/>
  <c r="J1505" i="31"/>
  <c r="J1501" i="31"/>
  <c r="J1546" i="31"/>
  <c r="J1591" i="31"/>
  <c r="J1594" i="31"/>
  <c r="J1533" i="31"/>
  <c r="J1616" i="31"/>
  <c r="J1496" i="31"/>
  <c r="J1540" i="31"/>
  <c r="J1487" i="31"/>
  <c r="J1600" i="31"/>
  <c r="J1491" i="31"/>
  <c r="J1603" i="31"/>
  <c r="J1567" i="31"/>
  <c r="J1552" i="31"/>
  <c r="C1751" i="31"/>
  <c r="C1748" i="31"/>
  <c r="B275" i="31"/>
  <c r="C275" i="31"/>
  <c r="J890" i="31"/>
  <c r="J682" i="31"/>
  <c r="J841" i="31"/>
  <c r="J749" i="31"/>
  <c r="J751" i="31"/>
  <c r="J989" i="31"/>
  <c r="J939" i="31"/>
  <c r="J788" i="31"/>
  <c r="J744" i="31"/>
  <c r="J801" i="31"/>
  <c r="J726" i="31"/>
  <c r="J672" i="31"/>
  <c r="J768" i="31"/>
  <c r="J760" i="31"/>
  <c r="J860" i="31"/>
  <c r="J923" i="31"/>
  <c r="J918" i="31"/>
  <c r="J880" i="31"/>
  <c r="J792" i="31"/>
  <c r="J813" i="31"/>
  <c r="J761" i="31"/>
  <c r="J868" i="31"/>
  <c r="J706" i="31"/>
  <c r="J992" i="31"/>
  <c r="J686" i="31"/>
  <c r="J866" i="31"/>
  <c r="J1024" i="31"/>
  <c r="J1005" i="31"/>
  <c r="J828" i="31"/>
  <c r="J837" i="31"/>
  <c r="J955" i="31"/>
  <c r="J975" i="31"/>
  <c r="J948" i="31"/>
  <c r="J899" i="31"/>
  <c r="J809" i="31"/>
  <c r="J840" i="31"/>
  <c r="J938" i="31"/>
  <c r="J833" i="31"/>
  <c r="J793" i="31"/>
  <c r="J820" i="31"/>
  <c r="J795" i="31"/>
  <c r="J733" i="31"/>
  <c r="J785" i="31"/>
  <c r="J1021" i="31"/>
  <c r="J984" i="31"/>
  <c r="J661" i="31"/>
  <c r="J961" i="31"/>
  <c r="J969" i="31"/>
  <c r="J1012" i="31"/>
  <c r="J718" i="31"/>
  <c r="J844" i="31"/>
  <c r="J944" i="31"/>
  <c r="J934" i="31"/>
  <c r="J775" i="31"/>
  <c r="J1016" i="31"/>
  <c r="J782" i="31"/>
  <c r="J799" i="31"/>
  <c r="J779" i="31"/>
  <c r="J906" i="31"/>
  <c r="J977" i="31"/>
  <c r="J701" i="31"/>
  <c r="J983" i="31"/>
  <c r="J691" i="31"/>
  <c r="J852" i="31"/>
  <c r="J995" i="31"/>
  <c r="J946" i="31"/>
  <c r="J996" i="31"/>
  <c r="J821" i="31"/>
  <c r="J674" i="31"/>
  <c r="J758" i="31"/>
  <c r="J900" i="31"/>
  <c r="J967" i="31"/>
  <c r="J998" i="31"/>
  <c r="J826" i="31"/>
  <c r="J676" i="31"/>
  <c r="J741" i="31"/>
  <c r="J874" i="31"/>
  <c r="J985" i="31"/>
  <c r="J769" i="31"/>
  <c r="J816" i="31"/>
  <c r="J713" i="31"/>
  <c r="J699" i="31"/>
  <c r="J930" i="31"/>
  <c r="J724" i="31"/>
  <c r="J910" i="31"/>
  <c r="J693" i="31"/>
  <c r="J950" i="31"/>
  <c r="J790" i="31"/>
  <c r="J668" i="31"/>
  <c r="J941" i="31"/>
  <c r="J842" i="31"/>
  <c r="J1029" i="31"/>
  <c r="J822" i="31"/>
  <c r="J940" i="31"/>
  <c r="J829" i="31"/>
  <c r="J850" i="31"/>
  <c r="J696" i="31"/>
  <c r="J743" i="31"/>
  <c r="J814" i="31"/>
  <c r="J729" i="31"/>
  <c r="J952" i="31"/>
  <c r="J767" i="31"/>
  <c r="J871" i="31"/>
  <c r="J667" i="31"/>
  <c r="J802" i="31"/>
  <c r="J973" i="31"/>
  <c r="J1003" i="31"/>
  <c r="J921" i="31"/>
  <c r="J928" i="31"/>
  <c r="J714" i="31"/>
  <c r="J665" i="31"/>
  <c r="J740" i="31"/>
  <c r="J763" i="31"/>
  <c r="J845" i="31"/>
  <c r="J808" i="31"/>
  <c r="J771" i="31"/>
  <c r="J999" i="31"/>
  <c r="J964" i="31"/>
  <c r="J861" i="31"/>
  <c r="J773" i="31"/>
  <c r="J747" i="31"/>
  <c r="J746" i="31"/>
  <c r="J922" i="31"/>
  <c r="J836" i="31"/>
  <c r="J990" i="31"/>
  <c r="J926" i="31"/>
  <c r="J796" i="31"/>
  <c r="J987" i="31"/>
  <c r="J703" i="31"/>
  <c r="J1001" i="31"/>
  <c r="J849" i="31"/>
  <c r="J972" i="31"/>
  <c r="J896" i="31"/>
  <c r="J692" i="31"/>
  <c r="J780" i="31"/>
  <c r="J1020" i="31"/>
  <c r="C649" i="31"/>
  <c r="C206" i="31"/>
  <c r="B206" i="31"/>
  <c r="J1076" i="31"/>
  <c r="J1384" i="31"/>
  <c r="J1129" i="31"/>
  <c r="J1222" i="31"/>
  <c r="J1376" i="31"/>
  <c r="J1383" i="31"/>
  <c r="J1113" i="31"/>
  <c r="J1288" i="31"/>
  <c r="J1186" i="31"/>
  <c r="J1353" i="31"/>
  <c r="J1336" i="31"/>
  <c r="J1398" i="31"/>
  <c r="J1368" i="31"/>
  <c r="J1096" i="31"/>
  <c r="J1277" i="31"/>
  <c r="J1139" i="31"/>
  <c r="J1160" i="31"/>
  <c r="J1360" i="31"/>
  <c r="J1191" i="31"/>
  <c r="J1247" i="31"/>
  <c r="J1374" i="31"/>
  <c r="J1373" i="31"/>
  <c r="J1325" i="31"/>
  <c r="J1161" i="31"/>
  <c r="J1107" i="31"/>
  <c r="J1354" i="31"/>
  <c r="J1330" i="31"/>
  <c r="J1356" i="31"/>
  <c r="J1170" i="31"/>
  <c r="J1079" i="31"/>
  <c r="J1315" i="31"/>
  <c r="J1031" i="31"/>
  <c r="J1172" i="31"/>
  <c r="J1146" i="31"/>
  <c r="J1392" i="31"/>
  <c r="J1142" i="31"/>
  <c r="J1177" i="31"/>
  <c r="J1272" i="31"/>
  <c r="J1128" i="31"/>
  <c r="J1135" i="31"/>
  <c r="J1267" i="31"/>
  <c r="J1131" i="31"/>
  <c r="J1312" i="31"/>
  <c r="J1355" i="31"/>
  <c r="J1198" i="31"/>
  <c r="J1226" i="31"/>
  <c r="J1308" i="31"/>
  <c r="J1074" i="31"/>
  <c r="J1275" i="31"/>
  <c r="J1091" i="31"/>
  <c r="J1164" i="31"/>
  <c r="J1237" i="31"/>
  <c r="J1361" i="31"/>
  <c r="J1084" i="31"/>
  <c r="J1189" i="31"/>
  <c r="J1252" i="31"/>
  <c r="J1250" i="31"/>
  <c r="J1199" i="31"/>
  <c r="J1229" i="31"/>
  <c r="J1194" i="31"/>
  <c r="J1105" i="31"/>
  <c r="J1220" i="31"/>
  <c r="J1175" i="31"/>
  <c r="J1364" i="31"/>
  <c r="J1088" i="31"/>
  <c r="J1159" i="31"/>
  <c r="J1350" i="31"/>
  <c r="J1104" i="31"/>
  <c r="J1304" i="31"/>
  <c r="J1290" i="31"/>
  <c r="J1115" i="31"/>
  <c r="J1082" i="31"/>
  <c r="J1032" i="31"/>
  <c r="J1333" i="31"/>
  <c r="J1158" i="31"/>
  <c r="J1138" i="31"/>
  <c r="J1081" i="31"/>
  <c r="J1169" i="31"/>
  <c r="J1243" i="31"/>
  <c r="J1285" i="31"/>
  <c r="J1061" i="31"/>
  <c r="J1396" i="31"/>
  <c r="J1120" i="31"/>
  <c r="J1402" i="31"/>
  <c r="J1130" i="31"/>
  <c r="J1157" i="31"/>
  <c r="J1246" i="31"/>
  <c r="J1193" i="31"/>
  <c r="J1168" i="31"/>
  <c r="J1399" i="31"/>
  <c r="J1254" i="31"/>
  <c r="J1162" i="31"/>
  <c r="J1111" i="31"/>
  <c r="J1117" i="31"/>
  <c r="J1256" i="31"/>
  <c r="J1328" i="31"/>
  <c r="J1335" i="31"/>
  <c r="J1127" i="31"/>
  <c r="J1236" i="31"/>
  <c r="J1377" i="31"/>
  <c r="J1381" i="31"/>
  <c r="J1145" i="31"/>
  <c r="J1056" i="31"/>
  <c r="J1190" i="31"/>
  <c r="J1305" i="31"/>
  <c r="J1284" i="31"/>
  <c r="J1480" i="31"/>
  <c r="J1472" i="31"/>
  <c r="J1469" i="31"/>
  <c r="J1473" i="31"/>
  <c r="I17" i="44"/>
  <c r="I6" i="44"/>
  <c r="I47" i="44"/>
  <c r="C641" i="31"/>
  <c r="B641" i="31"/>
  <c r="J1454" i="31"/>
  <c r="J1434" i="31"/>
  <c r="J1417" i="31"/>
  <c r="B312" i="31"/>
  <c r="C312" i="31"/>
  <c r="B510" i="31"/>
  <c r="C510" i="31"/>
  <c r="C219" i="31"/>
  <c r="B219" i="31"/>
  <c r="C599" i="31"/>
  <c r="B599" i="31"/>
  <c r="C581" i="31"/>
  <c r="B581" i="31"/>
  <c r="B653" i="31"/>
  <c r="C653" i="31"/>
  <c r="B149" i="31"/>
  <c r="C149" i="31"/>
  <c r="C9" i="31"/>
  <c r="B9" i="31"/>
  <c r="C1747" i="31"/>
  <c r="C1741" i="31"/>
  <c r="C1738" i="31"/>
  <c r="B533" i="31"/>
  <c r="C533" i="31"/>
  <c r="B395" i="31"/>
  <c r="C395" i="31"/>
  <c r="B220" i="31"/>
  <c r="C220" i="31"/>
  <c r="B629" i="31"/>
  <c r="C467" i="31"/>
  <c r="B68" i="31"/>
  <c r="C68" i="31"/>
  <c r="C419" i="31"/>
  <c r="B419" i="31"/>
  <c r="B184" i="31"/>
  <c r="C184" i="31"/>
  <c r="C455" i="31"/>
  <c r="B455" i="31"/>
  <c r="B156" i="31"/>
  <c r="C156" i="31"/>
  <c r="B96" i="31"/>
  <c r="C96" i="31"/>
  <c r="C1651" i="31"/>
  <c r="B1651" i="31"/>
  <c r="J1697" i="31"/>
  <c r="J1722" i="31"/>
  <c r="J1646" i="31"/>
  <c r="J1635" i="31"/>
  <c r="J1687" i="31"/>
  <c r="J1679" i="31"/>
  <c r="J1683" i="31"/>
  <c r="J1642" i="31"/>
  <c r="J1678" i="31"/>
  <c r="J1682" i="31"/>
  <c r="J1698" i="31"/>
  <c r="J1673" i="31"/>
  <c r="J1723" i="31"/>
  <c r="J1704" i="31"/>
  <c r="J1649" i="31"/>
  <c r="J1654" i="31"/>
  <c r="J1674" i="31"/>
  <c r="J1640" i="31"/>
  <c r="J1702" i="31"/>
  <c r="J1651" i="31"/>
  <c r="J1729" i="31"/>
  <c r="J1707" i="31"/>
  <c r="J1688" i="31"/>
  <c r="J1645" i="31"/>
  <c r="J1720" i="31"/>
  <c r="J1689" i="31"/>
  <c r="J1648" i="31"/>
  <c r="J1672" i="31"/>
  <c r="J1710" i="31"/>
  <c r="J1708" i="31"/>
  <c r="J1694" i="31"/>
  <c r="J1658" i="31"/>
  <c r="J1685" i="31"/>
  <c r="J1703" i="31"/>
  <c r="J1663" i="31"/>
  <c r="J1662" i="31"/>
  <c r="J1719" i="31"/>
  <c r="B1730" i="31"/>
  <c r="C1730" i="31"/>
  <c r="J307" i="31"/>
  <c r="J263" i="31"/>
  <c r="J318" i="31"/>
  <c r="J247" i="31"/>
  <c r="J463" i="31"/>
  <c r="J289" i="31"/>
  <c r="J417" i="31"/>
  <c r="J425" i="31"/>
  <c r="J254" i="31"/>
  <c r="J313" i="31"/>
  <c r="J296" i="31"/>
  <c r="J347" i="31"/>
  <c r="J468" i="31"/>
  <c r="J275" i="31"/>
  <c r="J422" i="31"/>
  <c r="J265" i="31"/>
  <c r="J408" i="31"/>
  <c r="J432" i="31"/>
  <c r="J381" i="31"/>
  <c r="J338" i="31"/>
  <c r="J298" i="31"/>
  <c r="J358" i="31"/>
  <c r="J322" i="31"/>
  <c r="J256" i="31"/>
  <c r="J295" i="31"/>
  <c r="J413" i="31"/>
  <c r="J379" i="31"/>
  <c r="J268" i="31"/>
  <c r="K21" i="41"/>
  <c r="K69" i="41"/>
  <c r="K128" i="41"/>
  <c r="K112" i="41"/>
  <c r="K57" i="41"/>
  <c r="K62" i="41"/>
  <c r="K44" i="41"/>
  <c r="K96" i="41"/>
  <c r="K81" i="41"/>
  <c r="K78" i="41"/>
  <c r="K80" i="41"/>
  <c r="K47" i="41"/>
  <c r="K125" i="41"/>
  <c r="K116" i="41"/>
  <c r="K140" i="41"/>
  <c r="K114" i="41"/>
  <c r="K89" i="41"/>
  <c r="K45" i="41"/>
  <c r="K54" i="41"/>
  <c r="K122" i="41"/>
  <c r="K92" i="41"/>
  <c r="K34" i="41"/>
  <c r="K65" i="41"/>
  <c r="K143" i="41"/>
  <c r="K223" i="41"/>
  <c r="K189" i="41"/>
  <c r="K166" i="41"/>
  <c r="K165" i="41"/>
  <c r="K156" i="41"/>
  <c r="K185" i="41"/>
  <c r="K241" i="41"/>
  <c r="K214" i="41"/>
  <c r="K201" i="41"/>
  <c r="K224" i="41"/>
  <c r="K153" i="41"/>
  <c r="K176" i="41"/>
  <c r="K150" i="41"/>
  <c r="J1418" i="31"/>
  <c r="J1465" i="31"/>
  <c r="J1428" i="31"/>
  <c r="J1443" i="31"/>
  <c r="J1435" i="31"/>
  <c r="J1524" i="31"/>
  <c r="J1521" i="31"/>
  <c r="J1602" i="31"/>
  <c r="J1587" i="31"/>
  <c r="J1613" i="31"/>
  <c r="J1564" i="31"/>
  <c r="J1541" i="31"/>
  <c r="J1514" i="31"/>
  <c r="J1504" i="31"/>
  <c r="J1507" i="31"/>
  <c r="J1573" i="31"/>
  <c r="J1584" i="31"/>
  <c r="J1596" i="31"/>
  <c r="J1606" i="31"/>
  <c r="J1615" i="31"/>
  <c r="J892" i="31"/>
  <c r="J800" i="31"/>
  <c r="J988" i="31"/>
  <c r="C16" i="31"/>
  <c r="J1224" i="31"/>
  <c r="J1321" i="31"/>
  <c r="J1390" i="31"/>
  <c r="J1052" i="31"/>
  <c r="J1357" i="31"/>
  <c r="J1394" i="31"/>
  <c r="J1140" i="31"/>
  <c r="J1339" i="31"/>
  <c r="J1163" i="31"/>
  <c r="J1057" i="31"/>
  <c r="J1329" i="31"/>
  <c r="J1110" i="31"/>
  <c r="J1362" i="31"/>
  <c r="J1382" i="31"/>
  <c r="J1276" i="31"/>
  <c r="J1040" i="31"/>
  <c r="J1251" i="31"/>
  <c r="J1210" i="31"/>
  <c r="J1216" i="31"/>
  <c r="J1259" i="31"/>
  <c r="J1112" i="31"/>
  <c r="J1195" i="31"/>
  <c r="J1370" i="31"/>
  <c r="J1176" i="31"/>
  <c r="J1366" i="31"/>
  <c r="J1317" i="31"/>
  <c r="C107" i="31"/>
  <c r="B107" i="31"/>
  <c r="D27" i="57" l="1"/>
  <c r="D26" i="57"/>
  <c r="F462" i="31"/>
  <c r="F463" i="31"/>
  <c r="D133" i="56" a="1"/>
  <c r="D133" i="56" s="1"/>
  <c r="H159" i="56"/>
  <c r="H164" i="56"/>
  <c r="H144" i="56"/>
  <c r="D143" i="56" a="1"/>
  <c r="D143" i="56" s="1"/>
  <c r="H154" i="56"/>
  <c r="D153" i="56" a="1"/>
  <c r="D153" i="56" s="1"/>
  <c r="H139" i="56"/>
  <c r="D138" i="56" a="1"/>
  <c r="D138" i="56" s="1"/>
  <c r="H149" i="56"/>
  <c r="D148" i="56" a="1"/>
  <c r="D148" i="56" s="1"/>
  <c r="B450" i="31"/>
  <c r="P48" i="6"/>
  <c r="D82" i="57" s="1"/>
  <c r="D78" i="57"/>
  <c r="O15" i="6"/>
  <c r="D39" i="57" s="1"/>
  <c r="D29" i="57" s="1"/>
  <c r="C30" i="57" s="1"/>
  <c r="D17" i="57"/>
  <c r="D16" i="57" s="1"/>
  <c r="I55" i="6"/>
  <c r="F1731" i="31" s="1"/>
  <c r="D47" i="57"/>
  <c r="B300" i="31"/>
  <c r="I75" i="31"/>
  <c r="I76" i="31" s="1"/>
  <c r="G1620" i="31"/>
  <c r="G1568" i="31"/>
  <c r="I222" i="31"/>
  <c r="I223" i="31" s="1"/>
  <c r="F4" i="31"/>
  <c r="G535" i="31"/>
  <c r="C535" i="31" s="1"/>
  <c r="H1631" i="31"/>
  <c r="F1631" i="31" s="1"/>
  <c r="I410" i="31"/>
  <c r="C66" i="31"/>
  <c r="C343" i="31"/>
  <c r="J149" i="41"/>
  <c r="H197" i="41"/>
  <c r="C379" i="31"/>
  <c r="C17" i="47"/>
  <c r="B69" i="31"/>
  <c r="I1528" i="31"/>
  <c r="G1528" i="31" s="1"/>
  <c r="I1347" i="31"/>
  <c r="I1348" i="31" s="1"/>
  <c r="I266" i="31"/>
  <c r="I267" i="31" s="1"/>
  <c r="I483" i="31"/>
  <c r="G483" i="31" s="1"/>
  <c r="B483" i="31" s="1"/>
  <c r="G529" i="31"/>
  <c r="B529" i="31" s="1"/>
  <c r="C265" i="31"/>
  <c r="B487" i="31"/>
  <c r="B227" i="31"/>
  <c r="D164" i="56" a="1"/>
  <c r="D164" i="56" s="1"/>
  <c r="B409" i="31"/>
  <c r="B375" i="31"/>
  <c r="B59" i="31"/>
  <c r="G20" i="9"/>
  <c r="B221" i="31"/>
  <c r="J173" i="41"/>
  <c r="H172" i="41"/>
  <c r="H28" i="41"/>
  <c r="G1225" i="31"/>
  <c r="C1225" i="31" s="1"/>
  <c r="F312" i="31"/>
  <c r="F431" i="31"/>
  <c r="G865" i="31"/>
  <c r="C865" i="31" s="1"/>
  <c r="J161" i="41"/>
  <c r="H160" i="41"/>
  <c r="H437" i="31"/>
  <c r="H438" i="31" s="1"/>
  <c r="L38" i="38"/>
  <c r="H55" i="38"/>
  <c r="D15" i="9"/>
  <c r="F15" i="9" s="1"/>
  <c r="D16" i="31" s="1"/>
  <c r="D17" i="31" s="1"/>
  <c r="D18" i="31" s="1"/>
  <c r="D19" i="31" s="1"/>
  <c r="D20" i="31" s="1"/>
  <c r="D21" i="31" s="1"/>
  <c r="D22" i="31" s="1"/>
  <c r="H569" i="31"/>
  <c r="H570" i="31" s="1"/>
  <c r="H571" i="31" s="1"/>
  <c r="H572" i="31" s="1"/>
  <c r="F563" i="31"/>
  <c r="I24" i="7"/>
  <c r="D61" i="57" s="1"/>
  <c r="I37" i="8"/>
  <c r="B271" i="31"/>
  <c r="I418" i="31"/>
  <c r="G418" i="31" s="1"/>
  <c r="C418" i="31" s="1"/>
  <c r="H1627" i="31"/>
  <c r="F1627" i="31" s="1"/>
  <c r="G445" i="31"/>
  <c r="B445" i="31" s="1"/>
  <c r="F96" i="31"/>
  <c r="G1345" i="31"/>
  <c r="C1345" i="31" s="1"/>
  <c r="I663" i="31"/>
  <c r="I664" i="31" s="1"/>
  <c r="H1223" i="31"/>
  <c r="F1223" i="31" s="1"/>
  <c r="J42" i="41"/>
  <c r="H41" i="41"/>
  <c r="L25" i="38"/>
  <c r="F1200" i="31"/>
  <c r="I350" i="31"/>
  <c r="F4" i="41"/>
  <c r="I5" i="41"/>
  <c r="G5" i="41" s="1"/>
  <c r="H233" i="41"/>
  <c r="J234" i="41"/>
  <c r="F660" i="31"/>
  <c r="G32" i="31"/>
  <c r="B32" i="31" s="1"/>
  <c r="J17" i="41"/>
  <c r="H16" i="41"/>
  <c r="D84" i="10"/>
  <c r="F62" i="6"/>
  <c r="G1465" i="31"/>
  <c r="C1465" i="31" s="1"/>
  <c r="D4" i="41"/>
  <c r="H221" i="41"/>
  <c r="J222" i="41"/>
  <c r="I197" i="41"/>
  <c r="F196" i="41"/>
  <c r="G196" i="41"/>
  <c r="D63" i="6"/>
  <c r="F63" i="6" s="1"/>
  <c r="G710" i="31"/>
  <c r="C710" i="31" s="1"/>
  <c r="D196" i="41"/>
  <c r="H198" i="41"/>
  <c r="J199" i="41"/>
  <c r="H209" i="41"/>
  <c r="J210" i="41"/>
  <c r="I72" i="26"/>
  <c r="G194" i="41" s="1"/>
  <c r="G18" i="6"/>
  <c r="F27" i="6"/>
  <c r="D28" i="6"/>
  <c r="L10" i="10"/>
  <c r="H10" i="10"/>
  <c r="H43" i="10" s="1"/>
  <c r="I10" i="10"/>
  <c r="I43" i="10" s="1"/>
  <c r="C523" i="31"/>
  <c r="B80" i="31"/>
  <c r="C4" i="31"/>
  <c r="I5" i="31"/>
  <c r="G1395" i="31"/>
  <c r="C1395" i="31" s="1"/>
  <c r="F1643" i="31"/>
  <c r="G709" i="31"/>
  <c r="C709" i="31" s="1"/>
  <c r="G1394" i="31"/>
  <c r="C1394" i="31" s="1"/>
  <c r="I782" i="31"/>
  <c r="G782" i="31" s="1"/>
  <c r="C782" i="31" s="1"/>
  <c r="I181" i="31"/>
  <c r="I182" i="31" s="1"/>
  <c r="I183" i="31" s="1"/>
  <c r="G183" i="31" s="1"/>
  <c r="B183" i="31" s="1"/>
  <c r="B53" i="31"/>
  <c r="G697" i="31"/>
  <c r="C697" i="31" s="1"/>
  <c r="I1154" i="31"/>
  <c r="I1155" i="31" s="1"/>
  <c r="I1156" i="31" s="1"/>
  <c r="B67" i="31"/>
  <c r="C462" i="31"/>
  <c r="F839" i="31"/>
  <c r="G186" i="31"/>
  <c r="B186" i="31" s="1"/>
  <c r="I357" i="31"/>
  <c r="G357" i="31" s="1"/>
  <c r="G1460" i="31"/>
  <c r="C1460" i="31" s="1"/>
  <c r="I537" i="31"/>
  <c r="I538" i="31" s="1"/>
  <c r="G538" i="31" s="1"/>
  <c r="B17" i="31"/>
  <c r="B396" i="31"/>
  <c r="G541" i="31"/>
  <c r="C541" i="31" s="1"/>
  <c r="H325" i="31"/>
  <c r="H326" i="31" s="1"/>
  <c r="I1035" i="31"/>
  <c r="I1036" i="31" s="1"/>
  <c r="I1037" i="31" s="1"/>
  <c r="G685" i="31"/>
  <c r="C685" i="31" s="1"/>
  <c r="I603" i="31"/>
  <c r="I604" i="31" s="1"/>
  <c r="G604" i="31" s="1"/>
  <c r="I393" i="31"/>
  <c r="G393" i="31" s="1"/>
  <c r="I1238" i="31"/>
  <c r="I1239" i="31" s="1"/>
  <c r="F1626" i="31"/>
  <c r="I1262" i="31"/>
  <c r="I1263" i="31" s="1"/>
  <c r="I1264" i="31" s="1"/>
  <c r="I1265" i="31" s="1"/>
  <c r="G1265" i="31" s="1"/>
  <c r="C1265" i="31" s="1"/>
  <c r="F1644" i="31"/>
  <c r="F852" i="31"/>
  <c r="I1370" i="31"/>
  <c r="G1370" i="31" s="1"/>
  <c r="C1370" i="31" s="1"/>
  <c r="G1105" i="31"/>
  <c r="C1105" i="31" s="1"/>
  <c r="G949" i="31"/>
  <c r="C949" i="31" s="1"/>
  <c r="G97" i="31"/>
  <c r="B97" i="31" s="1"/>
  <c r="F1407" i="31"/>
  <c r="H1412" i="31"/>
  <c r="H1413" i="31" s="1"/>
  <c r="H1414" i="31" s="1"/>
  <c r="C550" i="31"/>
  <c r="C282" i="31"/>
  <c r="I368" i="31"/>
  <c r="G368" i="31" s="1"/>
  <c r="I1677" i="31"/>
  <c r="G1677" i="31" s="1"/>
  <c r="F222" i="31"/>
  <c r="I1497" i="31"/>
  <c r="I1498" i="31" s="1"/>
  <c r="I54" i="31"/>
  <c r="G54" i="31" s="1"/>
  <c r="B54" i="31" s="1"/>
  <c r="I327" i="31"/>
  <c r="G327" i="31" s="1"/>
  <c r="C327" i="31" s="1"/>
  <c r="G548" i="31"/>
  <c r="C548" i="31" s="1"/>
  <c r="I524" i="31"/>
  <c r="H863" i="31"/>
  <c r="F863" i="31" s="1"/>
  <c r="H468" i="31"/>
  <c r="F1658" i="31"/>
  <c r="F1410" i="31"/>
  <c r="G1447" i="31"/>
  <c r="C1447" i="31" s="1"/>
  <c r="I173" i="31"/>
  <c r="I174" i="31" s="1"/>
  <c r="I175" i="31" s="1"/>
  <c r="I176" i="31" s="1"/>
  <c r="G176" i="31" s="1"/>
  <c r="G889" i="31"/>
  <c r="C889" i="31" s="1"/>
  <c r="F221" i="31"/>
  <c r="G1082" i="31"/>
  <c r="C1082" i="31" s="1"/>
  <c r="G549" i="31"/>
  <c r="B549" i="31" s="1"/>
  <c r="G547" i="31"/>
  <c r="B547" i="31" s="1"/>
  <c r="B426" i="31"/>
  <c r="G493" i="31"/>
  <c r="C493" i="31" s="1"/>
  <c r="F1624" i="31"/>
  <c r="I1130" i="31"/>
  <c r="F851" i="31"/>
  <c r="G118" i="31"/>
  <c r="B118" i="31" s="1"/>
  <c r="I280" i="31"/>
  <c r="G280" i="31" s="1"/>
  <c r="C280" i="31" s="1"/>
  <c r="G291" i="31"/>
  <c r="C291" i="31" s="1"/>
  <c r="G98" i="31"/>
  <c r="B98" i="31" s="1"/>
  <c r="I1661" i="31"/>
  <c r="I1662" i="31" s="1"/>
  <c r="I734" i="31"/>
  <c r="G734" i="31" s="1"/>
  <c r="C734" i="31" s="1"/>
  <c r="I878" i="31"/>
  <c r="G878" i="31" s="1"/>
  <c r="C878" i="31" s="1"/>
  <c r="G1033" i="31"/>
  <c r="C1033" i="31" s="1"/>
  <c r="H840" i="31"/>
  <c r="H841" i="31" s="1"/>
  <c r="F1034" i="31"/>
  <c r="G355" i="31"/>
  <c r="B355" i="31" s="1"/>
  <c r="F1033" i="31"/>
  <c r="G1459" i="31"/>
  <c r="C1459" i="31" s="1"/>
  <c r="C136" i="31"/>
  <c r="H1659" i="31"/>
  <c r="F1659" i="31" s="1"/>
  <c r="B180" i="31"/>
  <c r="B385" i="31"/>
  <c r="C164" i="31"/>
  <c r="S24" i="8"/>
  <c r="I96" i="26"/>
  <c r="H18" i="7"/>
  <c r="S18" i="7" s="1"/>
  <c r="B349" i="31"/>
  <c r="C95" i="31"/>
  <c r="C464" i="31"/>
  <c r="B486" i="31"/>
  <c r="C115" i="31"/>
  <c r="C270" i="31"/>
  <c r="C378" i="31"/>
  <c r="B276" i="31"/>
  <c r="C178" i="31"/>
  <c r="B360" i="31"/>
  <c r="B498" i="31"/>
  <c r="C384" i="31"/>
  <c r="C288" i="31"/>
  <c r="C480" i="31"/>
  <c r="C505" i="31"/>
  <c r="B380" i="31"/>
  <c r="B94" i="31"/>
  <c r="C516" i="31"/>
  <c r="B294" i="31"/>
  <c r="B414" i="31"/>
  <c r="B171" i="31"/>
  <c r="C143" i="31"/>
  <c r="C289" i="31"/>
  <c r="C504" i="31"/>
  <c r="C199" i="31"/>
  <c r="C465" i="31"/>
  <c r="B1667" i="31"/>
  <c r="B236" i="31"/>
  <c r="C588" i="31"/>
  <c r="B102" i="31"/>
  <c r="B1635" i="31"/>
  <c r="B402" i="31"/>
  <c r="B463" i="31"/>
  <c r="B602" i="31"/>
  <c r="C165" i="31"/>
  <c r="C192" i="31"/>
  <c r="B313" i="31"/>
  <c r="I543" i="31"/>
  <c r="G543" i="31" s="1"/>
  <c r="I230" i="31"/>
  <c r="I231" i="31" s="1"/>
  <c r="I1454" i="31"/>
  <c r="G1669" i="31"/>
  <c r="B1669" i="31" s="1"/>
  <c r="G266" i="31"/>
  <c r="C266" i="31" s="1"/>
  <c r="C381" i="31"/>
  <c r="C397" i="31"/>
  <c r="I314" i="31"/>
  <c r="G314" i="31" s="1"/>
  <c r="F101" i="31"/>
  <c r="G589" i="31"/>
  <c r="C589" i="31" s="1"/>
  <c r="B648" i="31"/>
  <c r="G1569" i="31"/>
  <c r="F236" i="31"/>
  <c r="G278" i="31"/>
  <c r="B278" i="31" s="1"/>
  <c r="F427" i="31"/>
  <c r="G344" i="31"/>
  <c r="B344" i="31" s="1"/>
  <c r="I120" i="31"/>
  <c r="G120" i="31" s="1"/>
  <c r="B120" i="31" s="1"/>
  <c r="G1581" i="31"/>
  <c r="F662" i="31"/>
  <c r="G559" i="31"/>
  <c r="B559" i="31" s="1"/>
  <c r="I674" i="31"/>
  <c r="I675" i="31" s="1"/>
  <c r="I1443" i="31"/>
  <c r="G1443" i="31" s="1"/>
  <c r="C1443" i="31" s="1"/>
  <c r="I962" i="31"/>
  <c r="I963" i="31" s="1"/>
  <c r="G963" i="31" s="1"/>
  <c r="C963" i="31" s="1"/>
  <c r="F672" i="31"/>
  <c r="I1322" i="31"/>
  <c r="G1321" i="31"/>
  <c r="C1321" i="31" s="1"/>
  <c r="F235" i="31"/>
  <c r="G1509" i="31"/>
  <c r="G109" i="31"/>
  <c r="B109" i="31" s="1"/>
  <c r="I1629" i="31"/>
  <c r="G1629" i="31" s="1"/>
  <c r="I308" i="31"/>
  <c r="G308" i="31" s="1"/>
  <c r="G235" i="31"/>
  <c r="B235" i="31" s="1"/>
  <c r="I1095" i="31"/>
  <c r="G1095" i="31" s="1"/>
  <c r="C1095" i="31" s="1"/>
  <c r="I1203" i="31"/>
  <c r="G1203" i="31" s="1"/>
  <c r="C1203" i="31" s="1"/>
  <c r="I1625" i="31"/>
  <c r="F1625" i="31" s="1"/>
  <c r="F1202" i="31"/>
  <c r="I237" i="31"/>
  <c r="G237" i="31" s="1"/>
  <c r="F559" i="31"/>
  <c r="I103" i="31"/>
  <c r="B416" i="31"/>
  <c r="B420" i="31"/>
  <c r="B654" i="31"/>
  <c r="C157" i="31"/>
  <c r="B488" i="31"/>
  <c r="C1652" i="31"/>
  <c r="C330" i="31"/>
  <c r="C466" i="31"/>
  <c r="I447" i="31"/>
  <c r="G447" i="31" s="1"/>
  <c r="G446" i="31"/>
  <c r="C446" i="31" s="1"/>
  <c r="F673" i="31"/>
  <c r="H674" i="31"/>
  <c r="I146" i="31"/>
  <c r="I147" i="31" s="1"/>
  <c r="G145" i="31"/>
  <c r="B145" i="31" s="1"/>
  <c r="G1570" i="31"/>
  <c r="I1571" i="31"/>
  <c r="G1571" i="31" s="1"/>
  <c r="I832" i="31"/>
  <c r="I833" i="31" s="1"/>
  <c r="G831" i="31"/>
  <c r="C831" i="31" s="1"/>
  <c r="G890" i="31"/>
  <c r="C890" i="31" s="1"/>
  <c r="I891" i="31"/>
  <c r="G891" i="31" s="1"/>
  <c r="C891" i="31" s="1"/>
  <c r="F1509" i="31"/>
  <c r="B207" i="31"/>
  <c r="B1675" i="31"/>
  <c r="B71" i="31"/>
  <c r="I422" i="31"/>
  <c r="G422" i="31" s="1"/>
  <c r="F313" i="31"/>
  <c r="G853" i="31"/>
  <c r="C853" i="31" s="1"/>
  <c r="G222" i="31"/>
  <c r="C222" i="31" s="1"/>
  <c r="F480" i="31"/>
  <c r="F1496" i="31"/>
  <c r="F1045" i="31"/>
  <c r="B129" i="31"/>
  <c r="I1653" i="31"/>
  <c r="G1653" i="31" s="1"/>
  <c r="I208" i="31"/>
  <c r="G208" i="31" s="1"/>
  <c r="I26" i="31"/>
  <c r="G26" i="31" s="1"/>
  <c r="G997" i="31"/>
  <c r="C997" i="31" s="1"/>
  <c r="I472" i="31"/>
  <c r="G472" i="31" s="1"/>
  <c r="C472" i="31" s="1"/>
  <c r="G144" i="31"/>
  <c r="B144" i="31" s="1"/>
  <c r="G1545" i="31"/>
  <c r="G830" i="31"/>
  <c r="C830" i="31" s="1"/>
  <c r="G117" i="31"/>
  <c r="C117" i="31" s="1"/>
  <c r="G337" i="31"/>
  <c r="B337" i="31" s="1"/>
  <c r="F564" i="31"/>
  <c r="I1382" i="31"/>
  <c r="G601" i="31"/>
  <c r="C601" i="31" s="1"/>
  <c r="F1405" i="31"/>
  <c r="H1741" i="31"/>
  <c r="G70" i="31"/>
  <c r="I1274" i="31"/>
  <c r="I1275" i="31" s="1"/>
  <c r="I1143" i="31"/>
  <c r="G1484" i="31"/>
  <c r="I1485" i="31"/>
  <c r="F1485" i="31" s="1"/>
  <c r="I1250" i="31"/>
  <c r="G1249" i="31"/>
  <c r="C1249" i="31" s="1"/>
  <c r="B606" i="31"/>
  <c r="G1406" i="31"/>
  <c r="C1406" i="31" s="1"/>
  <c r="G494" i="31"/>
  <c r="B494" i="31" s="1"/>
  <c r="F661" i="31"/>
  <c r="F1739" i="31"/>
  <c r="G214" i="31"/>
  <c r="I215" i="31"/>
  <c r="G1083" i="31"/>
  <c r="C1083" i="31" s="1"/>
  <c r="I1084" i="31"/>
  <c r="G1084" i="31" s="1"/>
  <c r="C1084" i="31" s="1"/>
  <c r="G1070" i="31"/>
  <c r="C1070" i="31" s="1"/>
  <c r="I1071" i="31"/>
  <c r="I1072" i="31" s="1"/>
  <c r="G1562" i="31"/>
  <c r="I1563" i="31"/>
  <c r="G913" i="31"/>
  <c r="C913" i="31" s="1"/>
  <c r="I914" i="31"/>
  <c r="G159" i="31"/>
  <c r="I160" i="31"/>
  <c r="G200" i="31"/>
  <c r="I201" i="31"/>
  <c r="G1586" i="31"/>
  <c r="I1587" i="31"/>
  <c r="G1636" i="31"/>
  <c r="I1637" i="31"/>
  <c r="B650" i="31"/>
  <c r="C1691" i="31"/>
  <c r="C336" i="31"/>
  <c r="G421" i="31"/>
  <c r="B421" i="31" s="1"/>
  <c r="G325" i="31"/>
  <c r="C325" i="31" s="1"/>
  <c r="F1569" i="31"/>
  <c r="I1166" i="31"/>
  <c r="G1166" i="31" s="1"/>
  <c r="C1166" i="31" s="1"/>
  <c r="H684" i="31"/>
  <c r="F684" i="31" s="1"/>
  <c r="G1117" i="31"/>
  <c r="C1117" i="31" s="1"/>
  <c r="F478" i="31"/>
  <c r="F1570" i="31"/>
  <c r="I440" i="31"/>
  <c r="G440" i="31" s="1"/>
  <c r="I651" i="31"/>
  <c r="I652" i="31" s="1"/>
  <c r="G652" i="31" s="1"/>
  <c r="G925" i="31"/>
  <c r="C925" i="31" s="1"/>
  <c r="G158" i="31"/>
  <c r="C158" i="31" s="1"/>
  <c r="H830" i="31"/>
  <c r="F830" i="31" s="1"/>
  <c r="G530" i="31"/>
  <c r="B530" i="31" s="1"/>
  <c r="F1562" i="31"/>
  <c r="H1212" i="31"/>
  <c r="H1213" i="31" s="1"/>
  <c r="I1558" i="31"/>
  <c r="I687" i="31"/>
  <c r="G687" i="31" s="1"/>
  <c r="C687" i="31" s="1"/>
  <c r="F1406" i="31"/>
  <c r="F108" i="31"/>
  <c r="I1546" i="31"/>
  <c r="F1546" i="31" s="1"/>
  <c r="G1081" i="31"/>
  <c r="C1081" i="31" s="1"/>
  <c r="F247" i="31"/>
  <c r="F1568" i="31"/>
  <c r="G1069" i="31"/>
  <c r="C1069" i="31" s="1"/>
  <c r="I260" i="31"/>
  <c r="G259" i="31"/>
  <c r="G973" i="31"/>
  <c r="C973" i="31" s="1"/>
  <c r="I974" i="31"/>
  <c r="I1533" i="31"/>
  <c r="F1533" i="31" s="1"/>
  <c r="G1532" i="31"/>
  <c r="H319" i="31"/>
  <c r="F318" i="31"/>
  <c r="I1022" i="31"/>
  <c r="G1021" i="31"/>
  <c r="C1021" i="31" s="1"/>
  <c r="G1692" i="31"/>
  <c r="I1693" i="31"/>
  <c r="C258" i="31"/>
  <c r="C558" i="31"/>
  <c r="I951" i="31"/>
  <c r="I952" i="31" s="1"/>
  <c r="G39" i="31"/>
  <c r="B39" i="31" s="1"/>
  <c r="H1632" i="31"/>
  <c r="H1633" i="31" s="1"/>
  <c r="F1046" i="31"/>
  <c r="F1636" i="31"/>
  <c r="I254" i="31"/>
  <c r="G254" i="31" s="1"/>
  <c r="H1235" i="31"/>
  <c r="H1247" i="31" s="1"/>
  <c r="F1247" i="31" s="1"/>
  <c r="G1557" i="31"/>
  <c r="F248" i="31"/>
  <c r="G1106" i="31"/>
  <c r="C1106" i="31" s="1"/>
  <c r="I1107" i="31"/>
  <c r="I722" i="31"/>
  <c r="G721" i="31"/>
  <c r="C721" i="31" s="1"/>
  <c r="I1119" i="31"/>
  <c r="G1118" i="31"/>
  <c r="C1118" i="31" s="1"/>
  <c r="I656" i="31"/>
  <c r="G655" i="31"/>
  <c r="G1189" i="31"/>
  <c r="C1189" i="31" s="1"/>
  <c r="I1190" i="31"/>
  <c r="I332" i="31"/>
  <c r="G331" i="31"/>
  <c r="I268" i="31"/>
  <c r="G268" i="31" s="1"/>
  <c r="G267" i="31"/>
  <c r="B1660" i="31"/>
  <c r="B471" i="31"/>
  <c r="C469" i="31"/>
  <c r="C607" i="31"/>
  <c r="B552" i="31"/>
  <c r="B630" i="31"/>
  <c r="B636" i="31"/>
  <c r="C247" i="31"/>
  <c r="B361" i="31"/>
  <c r="B451" i="31"/>
  <c r="C1643" i="31"/>
  <c r="B10" i="31"/>
  <c r="B612" i="31"/>
  <c r="B457" i="31"/>
  <c r="C582" i="31"/>
  <c r="C624" i="31"/>
  <c r="B38" i="31"/>
  <c r="B433" i="31"/>
  <c r="B33" i="31"/>
  <c r="B60" i="31"/>
  <c r="B252" i="31"/>
  <c r="B398" i="31"/>
  <c r="C613" i="31"/>
  <c r="B74" i="31"/>
  <c r="B511" i="31"/>
  <c r="C470" i="31"/>
  <c r="B326" i="31"/>
  <c r="C253" i="31"/>
  <c r="B456" i="31"/>
  <c r="B283" i="31"/>
  <c r="B240" i="31"/>
  <c r="C306" i="31"/>
  <c r="B122" i="31"/>
  <c r="C642" i="31"/>
  <c r="C478" i="31"/>
  <c r="B108" i="31"/>
  <c r="C618" i="31"/>
  <c r="B570" i="31"/>
  <c r="B172" i="31"/>
  <c r="B444" i="31"/>
  <c r="B490" i="31"/>
  <c r="F817" i="31"/>
  <c r="I818" i="31"/>
  <c r="F818" i="31" s="1"/>
  <c r="B564" i="31"/>
  <c r="C564" i="31"/>
  <c r="B576" i="31"/>
  <c r="C576" i="31"/>
  <c r="B594" i="31"/>
  <c r="C594" i="31"/>
  <c r="G625" i="31"/>
  <c r="I626" i="31"/>
  <c r="G637" i="31"/>
  <c r="I638" i="31"/>
  <c r="G1177" i="31"/>
  <c r="C1177" i="31" s="1"/>
  <c r="I1178" i="31"/>
  <c r="G1574" i="31"/>
  <c r="I1575" i="31"/>
  <c r="F1574" i="31"/>
  <c r="F251" i="31"/>
  <c r="H252" i="31"/>
  <c r="H257" i="31"/>
  <c r="H263" i="31" s="1"/>
  <c r="F263" i="31" s="1"/>
  <c r="B116" i="31"/>
  <c r="C116" i="31"/>
  <c r="G663" i="31"/>
  <c r="C663" i="31" s="1"/>
  <c r="B499" i="31"/>
  <c r="C499" i="31"/>
  <c r="G302" i="31"/>
  <c r="C302" i="31" s="1"/>
  <c r="I303" i="31"/>
  <c r="G303" i="31" s="1"/>
  <c r="G123" i="31"/>
  <c r="I124" i="31"/>
  <c r="B150" i="31"/>
  <c r="C150" i="31"/>
  <c r="I339" i="31"/>
  <c r="G338" i="31"/>
  <c r="C517" i="31"/>
  <c r="B517" i="31"/>
  <c r="B391" i="31"/>
  <c r="C391" i="31"/>
  <c r="G1299" i="31"/>
  <c r="C1299" i="31" s="1"/>
  <c r="I1300" i="31"/>
  <c r="F226" i="31"/>
  <c r="D226" i="31"/>
  <c r="D227" i="31" s="1"/>
  <c r="D228" i="31" s="1"/>
  <c r="D229" i="31" s="1"/>
  <c r="D230" i="31" s="1"/>
  <c r="D231" i="31" s="1"/>
  <c r="D232" i="31" s="1"/>
  <c r="H227" i="31"/>
  <c r="I759" i="31"/>
  <c r="G758" i="31"/>
  <c r="C758" i="31" s="1"/>
  <c r="I1491" i="31"/>
  <c r="G1490" i="31"/>
  <c r="F1586" i="31"/>
  <c r="H1587" i="31"/>
  <c r="H1588" i="31" s="1"/>
  <c r="I1413" i="31"/>
  <c r="G1412" i="31"/>
  <c r="C1412" i="31" s="1"/>
  <c r="G362" i="31"/>
  <c r="B362" i="31" s="1"/>
  <c r="I363" i="31"/>
  <c r="G363" i="31" s="1"/>
  <c r="I152" i="31"/>
  <c r="G151" i="31"/>
  <c r="I242" i="31"/>
  <c r="F242" i="31" s="1"/>
  <c r="G241" i="31"/>
  <c r="I519" i="31"/>
  <c r="G518" i="31"/>
  <c r="G1009" i="31"/>
  <c r="C1009" i="31" s="1"/>
  <c r="I1010" i="31"/>
  <c r="F1055" i="31"/>
  <c r="H1056" i="31"/>
  <c r="H1067" i="31"/>
  <c r="I496" i="31"/>
  <c r="G496" i="31" s="1"/>
  <c r="G495" i="31"/>
  <c r="H17" i="31"/>
  <c r="H23" i="31"/>
  <c r="F16" i="31"/>
  <c r="I572" i="31"/>
  <c r="G571" i="31"/>
  <c r="G583" i="31"/>
  <c r="I584" i="31"/>
  <c r="G595" i="31"/>
  <c r="I596" i="31"/>
  <c r="I620" i="31"/>
  <c r="G619" i="31"/>
  <c r="G1429" i="31"/>
  <c r="C1429" i="31" s="1"/>
  <c r="I1430" i="31"/>
  <c r="G938" i="31"/>
  <c r="C938" i="31" s="1"/>
  <c r="I939" i="31"/>
  <c r="I795" i="31"/>
  <c r="G794" i="31"/>
  <c r="C794" i="31" s="1"/>
  <c r="I501" i="31"/>
  <c r="G500" i="31"/>
  <c r="G1407" i="31"/>
  <c r="C1407" i="31" s="1"/>
  <c r="I1408" i="31"/>
  <c r="G1408" i="31" s="1"/>
  <c r="C1408" i="31" s="1"/>
  <c r="I131" i="31"/>
  <c r="G130" i="31"/>
  <c r="G284" i="31"/>
  <c r="I285" i="31"/>
  <c r="G46" i="31"/>
  <c r="I47" i="31"/>
  <c r="G88" i="31"/>
  <c r="I89" i="31"/>
  <c r="G1684" i="31"/>
  <c r="I1685" i="31"/>
  <c r="I12" i="31"/>
  <c r="F12" i="31" s="1"/>
  <c r="G11" i="31"/>
  <c r="I806" i="31"/>
  <c r="G805" i="31"/>
  <c r="C805" i="31" s="1"/>
  <c r="G553" i="31"/>
  <c r="I554" i="31"/>
  <c r="F554" i="31" s="1"/>
  <c r="I566" i="31"/>
  <c r="F565" i="31"/>
  <c r="G565" i="31"/>
  <c r="I578" i="31"/>
  <c r="G577" i="31"/>
  <c r="I609" i="31"/>
  <c r="G608" i="31"/>
  <c r="I632" i="31"/>
  <c r="G631" i="31"/>
  <c r="I644" i="31"/>
  <c r="G643" i="31"/>
  <c r="I1334" i="31"/>
  <c r="G1333" i="31"/>
  <c r="C1333" i="31" s="1"/>
  <c r="I1467" i="31"/>
  <c r="G1466" i="31"/>
  <c r="C1466" i="31" s="1"/>
  <c r="I1633" i="31"/>
  <c r="G1633" i="31" s="1"/>
  <c r="G1632" i="31"/>
  <c r="I513" i="31"/>
  <c r="G512" i="31"/>
  <c r="G387" i="31"/>
  <c r="I388" i="31"/>
  <c r="G388" i="31" s="1"/>
  <c r="C475" i="31"/>
  <c r="B290" i="31"/>
  <c r="I328" i="31"/>
  <c r="G328" i="31" s="1"/>
  <c r="B328" i="31" s="1"/>
  <c r="G1214" i="31"/>
  <c r="C1214" i="31" s="1"/>
  <c r="I1215" i="31"/>
  <c r="G1310" i="31"/>
  <c r="C1310" i="31" s="1"/>
  <c r="I1311" i="31"/>
  <c r="I1371" i="31"/>
  <c r="I405" i="31"/>
  <c r="G404" i="31"/>
  <c r="G399" i="31"/>
  <c r="I400" i="31"/>
  <c r="G400" i="31" s="1"/>
  <c r="F491" i="31"/>
  <c r="H492" i="31"/>
  <c r="H497" i="31"/>
  <c r="H13" i="31"/>
  <c r="C403" i="31"/>
  <c r="B228" i="31"/>
  <c r="C427" i="31"/>
  <c r="G817" i="31"/>
  <c r="C817" i="31" s="1"/>
  <c r="F99" i="31"/>
  <c r="K1709" i="31"/>
  <c r="K1707" i="31"/>
  <c r="I429" i="31"/>
  <c r="G428" i="31"/>
  <c r="G248" i="31"/>
  <c r="I249" i="31"/>
  <c r="I1539" i="31"/>
  <c r="F1539" i="31" s="1"/>
  <c r="G1538" i="31"/>
  <c r="G62" i="31"/>
  <c r="I63" i="31"/>
  <c r="C295" i="31"/>
  <c r="C307" i="31"/>
  <c r="C452" i="31"/>
  <c r="B373" i="31"/>
  <c r="C25" i="31"/>
  <c r="C81" i="31"/>
  <c r="C82" i="31"/>
  <c r="C301" i="31"/>
  <c r="C193" i="31"/>
  <c r="C376" i="31"/>
  <c r="G1514" i="31"/>
  <c r="I1515" i="31"/>
  <c r="G194" i="31"/>
  <c r="I195" i="31"/>
  <c r="I1058" i="31"/>
  <c r="G1057" i="31"/>
  <c r="C1057" i="31" s="1"/>
  <c r="G1550" i="31"/>
  <c r="I1551" i="31"/>
  <c r="I867" i="31"/>
  <c r="G866" i="31"/>
  <c r="C866" i="31" s="1"/>
  <c r="I1671" i="31"/>
  <c r="G1670" i="31"/>
  <c r="G1348" i="31"/>
  <c r="C1348" i="31" s="1"/>
  <c r="I1349" i="31"/>
  <c r="G560" i="31"/>
  <c r="I561" i="31"/>
  <c r="F561" i="31" s="1"/>
  <c r="G531" i="31"/>
  <c r="I532" i="31"/>
  <c r="G532" i="31" s="1"/>
  <c r="I902" i="31"/>
  <c r="G901" i="31"/>
  <c r="C901" i="31" s="1"/>
  <c r="G453" i="31"/>
  <c r="I454" i="31"/>
  <c r="G454" i="31" s="1"/>
  <c r="G296" i="31"/>
  <c r="I297" i="31"/>
  <c r="F1620" i="31"/>
  <c r="H1621" i="31"/>
  <c r="F1621" i="31" s="1"/>
  <c r="I1227" i="31"/>
  <c r="G1226" i="31"/>
  <c r="C1226" i="31" s="1"/>
  <c r="H110" i="31"/>
  <c r="F109" i="31"/>
  <c r="F853" i="31"/>
  <c r="H854" i="31"/>
  <c r="C482" i="31"/>
  <c r="F1550" i="31"/>
  <c r="H1035" i="31"/>
  <c r="F1472" i="31"/>
  <c r="G1347" i="31"/>
  <c r="C1347" i="31" s="1"/>
  <c r="G770" i="31"/>
  <c r="C770" i="31" s="1"/>
  <c r="G926" i="31"/>
  <c r="C926" i="31" s="1"/>
  <c r="I927" i="31"/>
  <c r="F1607" i="31"/>
  <c r="H1608" i="31"/>
  <c r="F1514" i="31"/>
  <c r="F1503" i="31"/>
  <c r="I1504" i="31"/>
  <c r="G1503" i="31"/>
  <c r="I1449" i="31"/>
  <c r="G1448" i="31"/>
  <c r="C1448" i="31" s="1"/>
  <c r="H1517" i="31"/>
  <c r="G273" i="31"/>
  <c r="I274" i="31"/>
  <c r="G274" i="31" s="1"/>
  <c r="I990" i="31"/>
  <c r="G989" i="31"/>
  <c r="C989" i="31" s="1"/>
  <c r="I1645" i="31"/>
  <c r="G1644" i="31"/>
  <c r="C374" i="31"/>
  <c r="H1474" i="31"/>
  <c r="F1474" i="31" s="1"/>
  <c r="I747" i="31"/>
  <c r="G746" i="31"/>
  <c r="C746" i="31" s="1"/>
  <c r="H1422" i="31"/>
  <c r="H1427" i="31"/>
  <c r="I35" i="31"/>
  <c r="G34" i="31"/>
  <c r="G998" i="31"/>
  <c r="C998" i="31" s="1"/>
  <c r="I999" i="31"/>
  <c r="H243" i="31"/>
  <c r="I1287" i="31"/>
  <c r="G1286" i="31"/>
  <c r="C1286" i="31" s="1"/>
  <c r="G844" i="31"/>
  <c r="C844" i="31" s="1"/>
  <c r="I845" i="31"/>
  <c r="I167" i="31"/>
  <c r="G166" i="31"/>
  <c r="F560" i="31"/>
  <c r="S48" i="6"/>
  <c r="F1692" i="31"/>
  <c r="F1701" i="31"/>
  <c r="I55" i="38"/>
  <c r="F552" i="31"/>
  <c r="H16" i="12"/>
  <c r="M13" i="12"/>
  <c r="F1409" i="31"/>
  <c r="L25" i="9"/>
  <c r="C415" i="31"/>
  <c r="C542" i="31"/>
  <c r="C99" i="31"/>
  <c r="C417" i="31"/>
  <c r="B319" i="31"/>
  <c r="C506" i="31"/>
  <c r="C229" i="31"/>
  <c r="C367" i="31"/>
  <c r="C392" i="31"/>
  <c r="C279" i="31"/>
  <c r="C1676" i="31"/>
  <c r="C536" i="31"/>
  <c r="B292" i="31"/>
  <c r="C119" i="31"/>
  <c r="B83" i="31"/>
  <c r="B356" i="31"/>
  <c r="B18" i="31"/>
  <c r="B137" i="31"/>
  <c r="F35" i="9"/>
  <c r="G22" i="9"/>
  <c r="F36" i="10"/>
  <c r="J11" i="10"/>
  <c r="D37" i="10"/>
  <c r="G54" i="9"/>
  <c r="F74" i="9"/>
  <c r="I54" i="8"/>
  <c r="F1188" i="31"/>
  <c r="S37" i="8"/>
  <c r="F65" i="42"/>
  <c r="F58" i="42"/>
  <c r="H1527" i="31"/>
  <c r="F1526" i="31"/>
  <c r="F487" i="31"/>
  <c r="H488" i="31"/>
  <c r="F121" i="31"/>
  <c r="H122" i="31"/>
  <c r="H128" i="31"/>
  <c r="F464" i="31"/>
  <c r="H465" i="31"/>
  <c r="I591" i="31"/>
  <c r="G590" i="31"/>
  <c r="G345" i="31"/>
  <c r="I346" i="31"/>
  <c r="G346" i="31" s="1"/>
  <c r="H1194" i="31"/>
  <c r="F5" i="31"/>
  <c r="I6" i="31"/>
  <c r="G5" i="31"/>
  <c r="I1397" i="31"/>
  <c r="G1396" i="31"/>
  <c r="C1396" i="31" s="1"/>
  <c r="H1205" i="31"/>
  <c r="I20" i="31"/>
  <c r="G19" i="31"/>
  <c r="H1534" i="31"/>
  <c r="C434" i="31"/>
  <c r="F19" i="22"/>
  <c r="H9" i="22"/>
  <c r="H1696" i="31"/>
  <c r="I139" i="31"/>
  <c r="G138" i="31"/>
  <c r="H331" i="31"/>
  <c r="F330" i="31"/>
  <c r="I111" i="31"/>
  <c r="G110" i="31"/>
  <c r="H821" i="31"/>
  <c r="J60" i="9"/>
  <c r="L60" i="9" s="1"/>
  <c r="F95" i="31"/>
  <c r="G1424" i="31"/>
  <c r="C1424" i="31" s="1"/>
  <c r="I1425" i="31"/>
  <c r="G1461" i="31"/>
  <c r="C1461" i="31" s="1"/>
  <c r="I1462" i="31"/>
  <c r="G1462" i="31" s="1"/>
  <c r="C1462" i="31" s="1"/>
  <c r="H667" i="31"/>
  <c r="I1437" i="31"/>
  <c r="G1436" i="31"/>
  <c r="C1436" i="31" s="1"/>
  <c r="H5" i="41"/>
  <c r="J6" i="41"/>
  <c r="H29" i="41"/>
  <c r="J30" i="41"/>
  <c r="D64" i="6"/>
  <c r="G54" i="6" s="1"/>
  <c r="K55" i="38"/>
  <c r="F1403" i="31"/>
  <c r="M12" i="12"/>
  <c r="F102" i="31"/>
  <c r="H103" i="31"/>
  <c r="G40" i="31"/>
  <c r="I41" i="31"/>
  <c r="L44" i="9"/>
  <c r="F97" i="31" s="1"/>
  <c r="H1652" i="31"/>
  <c r="F1651" i="31"/>
  <c r="H1648" i="31"/>
  <c r="F468" i="31"/>
  <c r="H469" i="31"/>
  <c r="G223" i="31"/>
  <c r="I224" i="31"/>
  <c r="G771" i="31"/>
  <c r="C771" i="31" s="1"/>
  <c r="I772" i="31"/>
  <c r="F98" i="31"/>
  <c r="G698" i="31"/>
  <c r="C698" i="31" s="1"/>
  <c r="I699" i="31"/>
  <c r="I508" i="31"/>
  <c r="G508" i="31" s="1"/>
  <c r="G507" i="31"/>
  <c r="H433" i="31"/>
  <c r="F432" i="31"/>
  <c r="B439" i="31"/>
  <c r="C476" i="31"/>
  <c r="I57" i="41"/>
  <c r="I58" i="41"/>
  <c r="G56" i="41"/>
  <c r="D56" i="41"/>
  <c r="F56" i="41"/>
  <c r="D75" i="9"/>
  <c r="H21" i="7"/>
  <c r="S21" i="7" s="1"/>
  <c r="I108" i="26"/>
  <c r="I119" i="26" s="1"/>
  <c r="G52" i="10"/>
  <c r="G58" i="10"/>
  <c r="G69" i="10"/>
  <c r="G55" i="10"/>
  <c r="G61" i="10"/>
  <c r="D85" i="10"/>
  <c r="D86" i="10" s="1"/>
  <c r="F83" i="10"/>
  <c r="G49" i="10"/>
  <c r="G72" i="10"/>
  <c r="G77" i="10"/>
  <c r="H19" i="12"/>
  <c r="H15" i="12" s="1"/>
  <c r="F1421" i="31" s="1"/>
  <c r="M20" i="12"/>
  <c r="M19" i="12" s="1"/>
  <c r="M15" i="12" s="1"/>
  <c r="L25" i="10"/>
  <c r="H24" i="7" s="1"/>
  <c r="S24" i="7" s="1"/>
  <c r="D66" i="57" s="1"/>
  <c r="G614" i="31"/>
  <c r="I615" i="31"/>
  <c r="F311" i="31"/>
  <c r="L46" i="10"/>
  <c r="H37" i="7" s="1"/>
  <c r="H63" i="10"/>
  <c r="L63" i="10" s="1"/>
  <c r="G1130" i="31"/>
  <c r="C1130" i="31" s="1"/>
  <c r="I1131" i="31"/>
  <c r="G1359" i="31"/>
  <c r="C1359" i="31" s="1"/>
  <c r="I1360" i="31"/>
  <c r="G1582" i="31"/>
  <c r="I1583" i="31"/>
  <c r="G1583" i="31" s="1"/>
  <c r="H1674" i="31"/>
  <c r="F1666" i="31"/>
  <c r="H1667" i="31"/>
  <c r="I1047" i="31"/>
  <c r="G1046" i="31"/>
  <c r="C1046" i="31" s="1"/>
  <c r="G1454" i="31"/>
  <c r="C1454" i="31" s="1"/>
  <c r="I1455" i="31"/>
  <c r="G53" i="41"/>
  <c r="D53" i="41"/>
  <c r="F53" i="41"/>
  <c r="G16" i="9"/>
  <c r="F34" i="9"/>
  <c r="F659" i="31"/>
  <c r="S12" i="7"/>
  <c r="F55" i="41"/>
  <c r="G55" i="41"/>
  <c r="D55" i="41"/>
  <c r="G22" i="10"/>
  <c r="F35" i="10"/>
  <c r="G19" i="10"/>
  <c r="D36" i="9"/>
  <c r="I54" i="7"/>
  <c r="D68" i="57" s="1"/>
  <c r="F816" i="31"/>
  <c r="H707" i="31"/>
  <c r="H696" i="31"/>
  <c r="I712" i="31"/>
  <c r="G711" i="31"/>
  <c r="C711" i="31" s="1"/>
  <c r="I85" i="31"/>
  <c r="G85" i="31" s="1"/>
  <c r="G84" i="31"/>
  <c r="G320" i="31"/>
  <c r="I321" i="31"/>
  <c r="H149" i="41"/>
  <c r="J150" i="41"/>
  <c r="H1581" i="31"/>
  <c r="F1580" i="31"/>
  <c r="S38" i="7"/>
  <c r="F827" i="31"/>
  <c r="G146" i="41"/>
  <c r="I25" i="26"/>
  <c r="I1419" i="31"/>
  <c r="G1418" i="31"/>
  <c r="C1418" i="31" s="1"/>
  <c r="F1418" i="31"/>
  <c r="I1511" i="31"/>
  <c r="G1511" i="31" s="1"/>
  <c r="G1510" i="31"/>
  <c r="I10" i="38"/>
  <c r="I35" i="38" s="1"/>
  <c r="F223" i="31"/>
  <c r="I358" i="31"/>
  <c r="G358" i="31" s="1"/>
  <c r="G435" i="31"/>
  <c r="I436" i="31"/>
  <c r="G436" i="31" s="1"/>
  <c r="H185" i="41"/>
  <c r="J186" i="41"/>
  <c r="H1540" i="31"/>
  <c r="H1048" i="31"/>
  <c r="G51" i="9"/>
  <c r="F73" i="9"/>
  <c r="I84" i="26"/>
  <c r="H15" i="7"/>
  <c r="S15" i="7" s="1"/>
  <c r="G854" i="31"/>
  <c r="C854" i="31" s="1"/>
  <c r="I855" i="31"/>
  <c r="F148" i="41"/>
  <c r="G148" i="41"/>
  <c r="I149" i="41"/>
  <c r="D148" i="41"/>
  <c r="S14" i="7"/>
  <c r="F683" i="31"/>
  <c r="J54" i="8"/>
  <c r="F1189" i="31"/>
  <c r="H8" i="22"/>
  <c r="F18" i="22"/>
  <c r="D20" i="22"/>
  <c r="D16" i="9"/>
  <c r="F16" i="9" s="1"/>
  <c r="A17" i="9"/>
  <c r="J55" i="38"/>
  <c r="F553" i="31"/>
  <c r="I459" i="31"/>
  <c r="G458" i="31"/>
  <c r="H429" i="31"/>
  <c r="F428" i="31"/>
  <c r="H1552" i="31"/>
  <c r="F1551" i="31"/>
  <c r="F115" i="31"/>
  <c r="H116" i="31"/>
  <c r="I188" i="31"/>
  <c r="G187" i="31"/>
  <c r="H336" i="31"/>
  <c r="F335" i="31"/>
  <c r="H341" i="31"/>
  <c r="I394" i="31"/>
  <c r="G394" i="31" s="1"/>
  <c r="H1486" i="31"/>
  <c r="H482" i="31"/>
  <c r="F481" i="31"/>
  <c r="I1522" i="31"/>
  <c r="F1521" i="31"/>
  <c r="G1521" i="31"/>
  <c r="H1565" i="31"/>
  <c r="F1593" i="31"/>
  <c r="H1594" i="31"/>
  <c r="D10" i="24"/>
  <c r="AJ3" i="15"/>
  <c r="AK3" i="15" s="1"/>
  <c r="AL3" i="15" s="1"/>
  <c r="H54" i="7" l="1"/>
  <c r="D67" i="57" s="1"/>
  <c r="D58" i="57"/>
  <c r="D54" i="57" s="1"/>
  <c r="C55" i="57" s="1"/>
  <c r="G75" i="31"/>
  <c r="B75" i="31" s="1"/>
  <c r="I484" i="31"/>
  <c r="G484" i="31" s="1"/>
  <c r="C484" i="31" s="1"/>
  <c r="H1224" i="31"/>
  <c r="D139" i="56" a="1"/>
  <c r="D139" i="56" s="1"/>
  <c r="H160" i="56"/>
  <c r="D160" i="56" s="1" a="1"/>
  <c r="D160" i="56" s="1"/>
  <c r="H170" i="56"/>
  <c r="H165" i="56"/>
  <c r="D159" i="56" a="1"/>
  <c r="D159" i="56" s="1"/>
  <c r="H150" i="56"/>
  <c r="D149" i="56" a="1"/>
  <c r="D149" i="56" s="1"/>
  <c r="H155" i="56"/>
  <c r="D154" i="56" a="1"/>
  <c r="D154" i="56" s="1"/>
  <c r="H145" i="56"/>
  <c r="D144" i="56" a="1"/>
  <c r="D144" i="56" s="1"/>
  <c r="D75" i="57"/>
  <c r="C76" i="57" s="1"/>
  <c r="F571" i="31"/>
  <c r="I1529" i="31"/>
  <c r="G1529" i="31" s="1"/>
  <c r="I27" i="31"/>
  <c r="I1678" i="31"/>
  <c r="G1154" i="31"/>
  <c r="C1154" i="31" s="1"/>
  <c r="G1263" i="31"/>
  <c r="C1263" i="31" s="1"/>
  <c r="I1266" i="31"/>
  <c r="F570" i="31"/>
  <c r="G1036" i="31"/>
  <c r="C1036" i="31" s="1"/>
  <c r="B535" i="31"/>
  <c r="G1155" i="31"/>
  <c r="C1155" i="31" s="1"/>
  <c r="H1628" i="31"/>
  <c r="H1629" i="31" s="1"/>
  <c r="F1629" i="31" s="1"/>
  <c r="F569" i="31"/>
  <c r="H575" i="31"/>
  <c r="F575" i="31" s="1"/>
  <c r="G410" i="31"/>
  <c r="I411" i="31"/>
  <c r="D25" i="57"/>
  <c r="C483" i="31"/>
  <c r="C529" i="31"/>
  <c r="H864" i="31"/>
  <c r="G1497" i="31"/>
  <c r="F1412" i="31"/>
  <c r="F437" i="31"/>
  <c r="H875" i="31"/>
  <c r="F875" i="31" s="1"/>
  <c r="I879" i="31"/>
  <c r="G879" i="31" s="1"/>
  <c r="C879" i="31" s="1"/>
  <c r="H443" i="31"/>
  <c r="G603" i="31"/>
  <c r="C603" i="31" s="1"/>
  <c r="G1238" i="31"/>
  <c r="C1238" i="31" s="1"/>
  <c r="F840" i="31"/>
  <c r="H1660" i="31"/>
  <c r="F1660" i="31" s="1"/>
  <c r="I315" i="31"/>
  <c r="I316" i="31" s="1"/>
  <c r="I55" i="31"/>
  <c r="G55" i="31" s="1"/>
  <c r="C55" i="31" s="1"/>
  <c r="F663" i="31"/>
  <c r="I304" i="31"/>
  <c r="G304" i="31" s="1"/>
  <c r="C304" i="31" s="1"/>
  <c r="G537" i="31"/>
  <c r="B537" i="31" s="1"/>
  <c r="I735" i="31"/>
  <c r="I736" i="31" s="1"/>
  <c r="I255" i="31"/>
  <c r="I256" i="31" s="1"/>
  <c r="G256" i="31" s="1"/>
  <c r="I1167" i="31"/>
  <c r="G1546" i="31"/>
  <c r="D165" i="56" a="1"/>
  <c r="D165" i="56" s="1"/>
  <c r="J162" i="41"/>
  <c r="H161" i="41"/>
  <c r="J174" i="41"/>
  <c r="H173" i="41"/>
  <c r="H10" i="38"/>
  <c r="H13" i="6" s="1"/>
  <c r="I46" i="6" s="1"/>
  <c r="C32" i="31"/>
  <c r="B418" i="31"/>
  <c r="C445" i="31"/>
  <c r="F674" i="31"/>
  <c r="J200" i="41"/>
  <c r="H199" i="41"/>
  <c r="J211" i="41"/>
  <c r="H210" i="41"/>
  <c r="G50" i="10"/>
  <c r="F84" i="10"/>
  <c r="H42" i="41"/>
  <c r="J43" i="41"/>
  <c r="G175" i="31"/>
  <c r="C175" i="31" s="1"/>
  <c r="I83" i="26"/>
  <c r="G651" i="31"/>
  <c r="B651" i="31" s="1"/>
  <c r="G174" i="31"/>
  <c r="B174" i="31" s="1"/>
  <c r="G181" i="31"/>
  <c r="C181" i="31" s="1"/>
  <c r="H17" i="41"/>
  <c r="J18" i="41"/>
  <c r="G1035" i="31"/>
  <c r="C1035" i="31" s="1"/>
  <c r="G951" i="31"/>
  <c r="C951" i="31" s="1"/>
  <c r="I1444" i="31"/>
  <c r="G1444" i="31" s="1"/>
  <c r="C1444" i="31" s="1"/>
  <c r="G818" i="31"/>
  <c r="C818" i="31" s="1"/>
  <c r="F1035" i="31"/>
  <c r="F325" i="31"/>
  <c r="I198" i="41"/>
  <c r="F197" i="41"/>
  <c r="G197" i="41"/>
  <c r="D197" i="41"/>
  <c r="I441" i="31"/>
  <c r="I442" i="31" s="1"/>
  <c r="G442" i="31" s="1"/>
  <c r="H234" i="41"/>
  <c r="J235" i="41"/>
  <c r="L55" i="38"/>
  <c r="F237" i="31"/>
  <c r="G182" i="31"/>
  <c r="B182" i="31" s="1"/>
  <c r="H222" i="41"/>
  <c r="J223" i="41"/>
  <c r="G19" i="6"/>
  <c r="F28" i="6"/>
  <c r="D29" i="6"/>
  <c r="D30" i="6" s="1"/>
  <c r="F5" i="41"/>
  <c r="I6" i="41"/>
  <c r="G6" i="41" s="1"/>
  <c r="D5" i="41"/>
  <c r="I351" i="31"/>
  <c r="G350" i="31"/>
  <c r="L43" i="10"/>
  <c r="L10" i="38"/>
  <c r="C186" i="31"/>
  <c r="B548" i="31"/>
  <c r="C549" i="31"/>
  <c r="C183" i="31"/>
  <c r="I783" i="31"/>
  <c r="K1710" i="31"/>
  <c r="K1712" i="31" s="1"/>
  <c r="K1711" i="31"/>
  <c r="K1713" i="31" s="1"/>
  <c r="H675" i="31"/>
  <c r="B327" i="31"/>
  <c r="B541" i="31"/>
  <c r="C97" i="31"/>
  <c r="G230" i="31"/>
  <c r="C230" i="31" s="1"/>
  <c r="I369" i="31"/>
  <c r="I370" i="31" s="1"/>
  <c r="G370" i="31" s="1"/>
  <c r="G1262" i="31"/>
  <c r="C1262" i="31" s="1"/>
  <c r="I1085" i="31"/>
  <c r="G1085" i="31" s="1"/>
  <c r="C1085" i="31" s="1"/>
  <c r="F1413" i="31"/>
  <c r="F1203" i="31"/>
  <c r="G173" i="31"/>
  <c r="C173" i="31" s="1"/>
  <c r="G1264" i="31"/>
  <c r="C1264" i="31" s="1"/>
  <c r="C547" i="31"/>
  <c r="F1497" i="31"/>
  <c r="I1204" i="31"/>
  <c r="F1204" i="31" s="1"/>
  <c r="I525" i="31"/>
  <c r="G524" i="31"/>
  <c r="I544" i="31"/>
  <c r="G544" i="31" s="1"/>
  <c r="C544" i="31" s="1"/>
  <c r="G832" i="31"/>
  <c r="C832" i="31" s="1"/>
  <c r="I309" i="31"/>
  <c r="G309" i="31" s="1"/>
  <c r="G1661" i="31"/>
  <c r="C1661" i="31" s="1"/>
  <c r="I238" i="31"/>
  <c r="F238" i="31" s="1"/>
  <c r="C98" i="31"/>
  <c r="B291" i="31"/>
  <c r="B493" i="31"/>
  <c r="C355" i="31"/>
  <c r="C118" i="31"/>
  <c r="B266" i="31"/>
  <c r="B280" i="31"/>
  <c r="B589" i="31"/>
  <c r="C344" i="31"/>
  <c r="G1071" i="31"/>
  <c r="C1071" i="31" s="1"/>
  <c r="H581" i="31"/>
  <c r="H587" i="31" s="1"/>
  <c r="G146" i="31"/>
  <c r="B146" i="31" s="1"/>
  <c r="H831" i="31"/>
  <c r="H832" i="31" s="1"/>
  <c r="I892" i="31"/>
  <c r="I893" i="31" s="1"/>
  <c r="F1212" i="31"/>
  <c r="F695" i="31"/>
  <c r="I107" i="26"/>
  <c r="C1669" i="31"/>
  <c r="B325" i="31"/>
  <c r="C145" i="31"/>
  <c r="C559" i="31"/>
  <c r="B222" i="31"/>
  <c r="C144" i="31"/>
  <c r="F314" i="31"/>
  <c r="C278" i="31"/>
  <c r="C120" i="31"/>
  <c r="I1547" i="31"/>
  <c r="F1547" i="31" s="1"/>
  <c r="G1625" i="31"/>
  <c r="G962" i="31"/>
  <c r="C962" i="31" s="1"/>
  <c r="I964" i="31"/>
  <c r="F422" i="31"/>
  <c r="C421" i="31"/>
  <c r="C109" i="31"/>
  <c r="F1427" i="31"/>
  <c r="I688" i="31"/>
  <c r="G688" i="31" s="1"/>
  <c r="C688" i="31" s="1"/>
  <c r="I819" i="31"/>
  <c r="I820" i="31" s="1"/>
  <c r="H576" i="31"/>
  <c r="H577" i="31" s="1"/>
  <c r="I423" i="31"/>
  <c r="I424" i="31" s="1"/>
  <c r="I448" i="31"/>
  <c r="G448" i="31" s="1"/>
  <c r="B448" i="31" s="1"/>
  <c r="I56" i="31"/>
  <c r="I57" i="31" s="1"/>
  <c r="G57" i="31" s="1"/>
  <c r="G674" i="31"/>
  <c r="C674" i="31" s="1"/>
  <c r="I1654" i="31"/>
  <c r="I1655" i="31" s="1"/>
  <c r="F1587" i="31"/>
  <c r="C235" i="31"/>
  <c r="F1633" i="31"/>
  <c r="I1096" i="31"/>
  <c r="G1322" i="31"/>
  <c r="C1322" i="31" s="1"/>
  <c r="I1323" i="31"/>
  <c r="G103" i="31"/>
  <c r="I104" i="31"/>
  <c r="I1414" i="31"/>
  <c r="G1414" i="31" s="1"/>
  <c r="C1414" i="31" s="1"/>
  <c r="B158" i="31"/>
  <c r="B601" i="31"/>
  <c r="B117" i="31"/>
  <c r="C337" i="31"/>
  <c r="B472" i="31"/>
  <c r="F1235" i="31"/>
  <c r="C494" i="31"/>
  <c r="I209" i="31"/>
  <c r="G209" i="31" s="1"/>
  <c r="F1571" i="31"/>
  <c r="B446" i="31"/>
  <c r="B214" i="31"/>
  <c r="C214" i="31"/>
  <c r="B70" i="31"/>
  <c r="C70" i="31"/>
  <c r="H1475" i="31"/>
  <c r="F1475" i="31" s="1"/>
  <c r="F1632" i="31"/>
  <c r="I364" i="31"/>
  <c r="G364" i="31" s="1"/>
  <c r="C364" i="31" s="1"/>
  <c r="H1259" i="31"/>
  <c r="H1271" i="31" s="1"/>
  <c r="C39" i="31"/>
  <c r="C54" i="31"/>
  <c r="G1274" i="31"/>
  <c r="C1274" i="31" s="1"/>
  <c r="I1251" i="31"/>
  <c r="G1250" i="31"/>
  <c r="C1250" i="31" s="1"/>
  <c r="I1144" i="31"/>
  <c r="G1143" i="31"/>
  <c r="C1143" i="31" s="1"/>
  <c r="H1742" i="31"/>
  <c r="H1743" i="31"/>
  <c r="I1383" i="31"/>
  <c r="G1382" i="31"/>
  <c r="C1382" i="31" s="1"/>
  <c r="G215" i="31"/>
  <c r="I216" i="31"/>
  <c r="F215" i="31"/>
  <c r="F326" i="31"/>
  <c r="H327" i="31"/>
  <c r="I1486" i="31"/>
  <c r="F1486" i="31" s="1"/>
  <c r="G1485" i="31"/>
  <c r="I1276" i="31"/>
  <c r="G1275" i="31"/>
  <c r="C1275" i="31" s="1"/>
  <c r="C331" i="31"/>
  <c r="B331" i="31"/>
  <c r="G722" i="31"/>
  <c r="C722" i="31" s="1"/>
  <c r="I723" i="31"/>
  <c r="C1692" i="31"/>
  <c r="B1692" i="31"/>
  <c r="G1533" i="31"/>
  <c r="I1534" i="31"/>
  <c r="F1534" i="31" s="1"/>
  <c r="C259" i="31"/>
  <c r="B259" i="31"/>
  <c r="I1638" i="31"/>
  <c r="F1637" i="31"/>
  <c r="G1637" i="31"/>
  <c r="G160" i="31"/>
  <c r="I161" i="31"/>
  <c r="G1413" i="31"/>
  <c r="C1413" i="31" s="1"/>
  <c r="H685" i="31"/>
  <c r="H686" i="31" s="1"/>
  <c r="H264" i="31"/>
  <c r="H265" i="31" s="1"/>
  <c r="H1248" i="31"/>
  <c r="F1248" i="31" s="1"/>
  <c r="C530" i="31"/>
  <c r="C267" i="31"/>
  <c r="B267" i="31"/>
  <c r="G332" i="31"/>
  <c r="I333" i="31"/>
  <c r="B655" i="31"/>
  <c r="C655" i="31"/>
  <c r="I1120" i="31"/>
  <c r="G1119" i="31"/>
  <c r="C1119" i="31" s="1"/>
  <c r="I1108" i="31"/>
  <c r="G1107" i="31"/>
  <c r="C1107" i="31" s="1"/>
  <c r="H320" i="31"/>
  <c r="F319" i="31"/>
  <c r="G974" i="31"/>
  <c r="C974" i="31" s="1"/>
  <c r="I975" i="31"/>
  <c r="G260" i="31"/>
  <c r="I261" i="31"/>
  <c r="C1636" i="31"/>
  <c r="B1636" i="31"/>
  <c r="G201" i="31"/>
  <c r="I202" i="31"/>
  <c r="B159" i="31"/>
  <c r="C159" i="31"/>
  <c r="G1563" i="31"/>
  <c r="I1564" i="31"/>
  <c r="F1563" i="31"/>
  <c r="H1236" i="31"/>
  <c r="F1236" i="31" s="1"/>
  <c r="B268" i="31"/>
  <c r="C268" i="31"/>
  <c r="G1190" i="31"/>
  <c r="C1190" i="31" s="1"/>
  <c r="F1190" i="31"/>
  <c r="I1191" i="31"/>
  <c r="I657" i="31"/>
  <c r="G656" i="31"/>
  <c r="G1693" i="31"/>
  <c r="I1694" i="31"/>
  <c r="F1693" i="31"/>
  <c r="I1023" i="31"/>
  <c r="G1022" i="31"/>
  <c r="C1022" i="31" s="1"/>
  <c r="I1559" i="31"/>
  <c r="G1558" i="31"/>
  <c r="F1558" i="31"/>
  <c r="G1587" i="31"/>
  <c r="I1588" i="31"/>
  <c r="C200" i="31"/>
  <c r="B200" i="31"/>
  <c r="I915" i="31"/>
  <c r="G914" i="31"/>
  <c r="C914" i="31" s="1"/>
  <c r="C362" i="31"/>
  <c r="C328" i="31"/>
  <c r="B302" i="31"/>
  <c r="C512" i="31"/>
  <c r="B512" i="31"/>
  <c r="C237" i="31"/>
  <c r="B237" i="31"/>
  <c r="G644" i="31"/>
  <c r="I645" i="31"/>
  <c r="B608" i="31"/>
  <c r="C608" i="31"/>
  <c r="G578" i="31"/>
  <c r="I579" i="31"/>
  <c r="G566" i="31"/>
  <c r="I567" i="31"/>
  <c r="F566" i="31"/>
  <c r="I13" i="31"/>
  <c r="F13" i="31" s="1"/>
  <c r="G12" i="31"/>
  <c r="G89" i="31"/>
  <c r="I90" i="31"/>
  <c r="C46" i="31"/>
  <c r="B46" i="31"/>
  <c r="C130" i="31"/>
  <c r="B130" i="31"/>
  <c r="G795" i="31"/>
  <c r="C795" i="31" s="1"/>
  <c r="I796" i="31"/>
  <c r="I1431" i="31"/>
  <c r="G1430" i="31"/>
  <c r="C1430" i="31" s="1"/>
  <c r="G620" i="31"/>
  <c r="I621" i="31"/>
  <c r="G584" i="31"/>
  <c r="I585" i="31"/>
  <c r="I573" i="31"/>
  <c r="G572" i="31"/>
  <c r="H18" i="31"/>
  <c r="F17" i="31"/>
  <c r="F1067" i="31"/>
  <c r="H1068" i="31"/>
  <c r="H1079" i="31"/>
  <c r="I1011" i="31"/>
  <c r="G1010" i="31"/>
  <c r="C1010" i="31" s="1"/>
  <c r="G519" i="31"/>
  <c r="I520" i="31"/>
  <c r="G520" i="31" s="1"/>
  <c r="C151" i="31"/>
  <c r="B151" i="31"/>
  <c r="I760" i="31"/>
  <c r="G759" i="31"/>
  <c r="C759" i="31" s="1"/>
  <c r="B123" i="31"/>
  <c r="C123" i="31"/>
  <c r="I639" i="31"/>
  <c r="G638" i="31"/>
  <c r="B625" i="31"/>
  <c r="C625" i="31"/>
  <c r="B388" i="31"/>
  <c r="C388" i="31"/>
  <c r="G513" i="31"/>
  <c r="I514" i="31"/>
  <c r="G514" i="31" s="1"/>
  <c r="I77" i="31"/>
  <c r="G76" i="31"/>
  <c r="G1334" i="31"/>
  <c r="C1334" i="31" s="1"/>
  <c r="I1335" i="31"/>
  <c r="B631" i="31"/>
  <c r="C631" i="31"/>
  <c r="G609" i="31"/>
  <c r="I610" i="31"/>
  <c r="G610" i="31" s="1"/>
  <c r="C565" i="31"/>
  <c r="B565" i="31"/>
  <c r="G554" i="31"/>
  <c r="I555" i="31"/>
  <c r="G806" i="31"/>
  <c r="C806" i="31" s="1"/>
  <c r="I807" i="31"/>
  <c r="I1686" i="31"/>
  <c r="G1685" i="31"/>
  <c r="B88" i="31"/>
  <c r="C88" i="31"/>
  <c r="G285" i="31"/>
  <c r="I286" i="31"/>
  <c r="G286" i="31" s="1"/>
  <c r="I132" i="31"/>
  <c r="G131" i="31"/>
  <c r="B500" i="31"/>
  <c r="C500" i="31"/>
  <c r="I1157" i="31"/>
  <c r="G1156" i="31"/>
  <c r="C1156" i="31" s="1"/>
  <c r="I940" i="31"/>
  <c r="G939" i="31"/>
  <c r="C939" i="31" s="1"/>
  <c r="G596" i="31"/>
  <c r="I597" i="31"/>
  <c r="C583" i="31"/>
  <c r="B583" i="31"/>
  <c r="B495" i="31"/>
  <c r="C495" i="31"/>
  <c r="H1057" i="31"/>
  <c r="F1056" i="31"/>
  <c r="C241" i="31"/>
  <c r="B241" i="31"/>
  <c r="G152" i="31"/>
  <c r="I153" i="31"/>
  <c r="G1491" i="31"/>
  <c r="I1492" i="31"/>
  <c r="F1491" i="31"/>
  <c r="H228" i="31"/>
  <c r="F227" i="31"/>
  <c r="I1301" i="31"/>
  <c r="G1300" i="31"/>
  <c r="C1300" i="31" s="1"/>
  <c r="B338" i="31"/>
  <c r="C338" i="31"/>
  <c r="F257" i="31"/>
  <c r="H258" i="31"/>
  <c r="I1179" i="31"/>
  <c r="G1178" i="31"/>
  <c r="C1178" i="31" s="1"/>
  <c r="B637" i="31"/>
  <c r="C637" i="31"/>
  <c r="B387" i="31"/>
  <c r="C387" i="31"/>
  <c r="G1467" i="31"/>
  <c r="C1467" i="31" s="1"/>
  <c r="I1468" i="31"/>
  <c r="G1468" i="31" s="1"/>
  <c r="C1468" i="31" s="1"/>
  <c r="C643" i="31"/>
  <c r="B643" i="31"/>
  <c r="I633" i="31"/>
  <c r="G632" i="31"/>
  <c r="C577" i="31"/>
  <c r="B577" i="31"/>
  <c r="C553" i="31"/>
  <c r="B553" i="31"/>
  <c r="C11" i="31"/>
  <c r="B11" i="31"/>
  <c r="C1684" i="31"/>
  <c r="B1684" i="31"/>
  <c r="G47" i="31"/>
  <c r="I48" i="31"/>
  <c r="C284" i="31"/>
  <c r="B284" i="31"/>
  <c r="G501" i="31"/>
  <c r="I502" i="31"/>
  <c r="G502" i="31" s="1"/>
  <c r="B619" i="31"/>
  <c r="C619" i="31"/>
  <c r="C595" i="31"/>
  <c r="B595" i="31"/>
  <c r="B571" i="31"/>
  <c r="C571" i="31"/>
  <c r="F23" i="31"/>
  <c r="H30" i="31"/>
  <c r="H24" i="31"/>
  <c r="B496" i="31"/>
  <c r="C496" i="31"/>
  <c r="C518" i="31"/>
  <c r="B518" i="31"/>
  <c r="I243" i="31"/>
  <c r="F243" i="31" s="1"/>
  <c r="G242" i="31"/>
  <c r="I340" i="31"/>
  <c r="G340" i="31" s="1"/>
  <c r="G339" i="31"/>
  <c r="I125" i="31"/>
  <c r="G124" i="31"/>
  <c r="I665" i="31"/>
  <c r="F664" i="31"/>
  <c r="G664" i="31"/>
  <c r="C664" i="31" s="1"/>
  <c r="F252" i="31"/>
  <c r="H253" i="31"/>
  <c r="I1576" i="31"/>
  <c r="G1575" i="31"/>
  <c r="F1575" i="31"/>
  <c r="I627" i="31"/>
  <c r="G626" i="31"/>
  <c r="B62" i="31"/>
  <c r="C62" i="31"/>
  <c r="I430" i="31"/>
  <c r="G430" i="31" s="1"/>
  <c r="G429" i="31"/>
  <c r="G783" i="31"/>
  <c r="C783" i="31" s="1"/>
  <c r="I784" i="31"/>
  <c r="H493" i="31"/>
  <c r="F492" i="31"/>
  <c r="C399" i="31"/>
  <c r="B399" i="31"/>
  <c r="H1036" i="31"/>
  <c r="H1037" i="31" s="1"/>
  <c r="H269" i="31"/>
  <c r="F269" i="31" s="1"/>
  <c r="B248" i="31"/>
  <c r="C248" i="31"/>
  <c r="H14" i="31"/>
  <c r="I406" i="31"/>
  <c r="G406" i="31" s="1"/>
  <c r="G405" i="31"/>
  <c r="I1372" i="31"/>
  <c r="G1371" i="31"/>
  <c r="C1371" i="31" s="1"/>
  <c r="G1215" i="31"/>
  <c r="C1215" i="31" s="1"/>
  <c r="I1216" i="31"/>
  <c r="G249" i="31"/>
  <c r="F249" i="31"/>
  <c r="I250" i="31"/>
  <c r="C404" i="31"/>
  <c r="B404" i="31"/>
  <c r="I64" i="31"/>
  <c r="G64" i="31" s="1"/>
  <c r="G63" i="31"/>
  <c r="I1540" i="31"/>
  <c r="G1539" i="31"/>
  <c r="C428" i="31"/>
  <c r="B428" i="31"/>
  <c r="F497" i="31"/>
  <c r="H498" i="31"/>
  <c r="H503" i="31"/>
  <c r="B400" i="31"/>
  <c r="C400" i="31"/>
  <c r="G1311" i="31"/>
  <c r="C1311" i="31" s="1"/>
  <c r="I1312" i="31"/>
  <c r="B166" i="31"/>
  <c r="C166" i="31"/>
  <c r="C26" i="31"/>
  <c r="B26" i="31"/>
  <c r="C273" i="31"/>
  <c r="B273" i="31"/>
  <c r="G1449" i="31"/>
  <c r="C1449" i="31" s="1"/>
  <c r="I1450" i="31"/>
  <c r="G1450" i="31" s="1"/>
  <c r="C1450" i="31" s="1"/>
  <c r="F1608" i="31"/>
  <c r="H1609" i="31"/>
  <c r="C1653" i="31"/>
  <c r="B1653" i="31"/>
  <c r="H855" i="31"/>
  <c r="H856" i="31" s="1"/>
  <c r="H857" i="31" s="1"/>
  <c r="H858" i="31" s="1"/>
  <c r="F854" i="31"/>
  <c r="G1227" i="31"/>
  <c r="C1227" i="31" s="1"/>
  <c r="I1228" i="31"/>
  <c r="I1267" i="31"/>
  <c r="G1266" i="31"/>
  <c r="C1266" i="31" s="1"/>
  <c r="B296" i="31"/>
  <c r="C296" i="31"/>
  <c r="B254" i="31"/>
  <c r="C254" i="31"/>
  <c r="B532" i="31"/>
  <c r="C532" i="31"/>
  <c r="C560" i="31"/>
  <c r="B560" i="31"/>
  <c r="C1670" i="31"/>
  <c r="B1670" i="31"/>
  <c r="G1551" i="31"/>
  <c r="I1552" i="31"/>
  <c r="F1552" i="31" s="1"/>
  <c r="I1059" i="31"/>
  <c r="G1058" i="31"/>
  <c r="C1058" i="31" s="1"/>
  <c r="C208" i="31"/>
  <c r="B208" i="31"/>
  <c r="I1516" i="31"/>
  <c r="G1515" i="31"/>
  <c r="F1515" i="31"/>
  <c r="G167" i="31"/>
  <c r="I168" i="31"/>
  <c r="H676" i="31"/>
  <c r="F675" i="31"/>
  <c r="H244" i="31"/>
  <c r="B34" i="31"/>
  <c r="C34" i="31"/>
  <c r="H1433" i="31"/>
  <c r="H1428" i="31"/>
  <c r="I748" i="31"/>
  <c r="G747" i="31"/>
  <c r="C747" i="31" s="1"/>
  <c r="C447" i="31"/>
  <c r="B447" i="31"/>
  <c r="B308" i="31"/>
  <c r="C308" i="31"/>
  <c r="C1644" i="31"/>
  <c r="B1644" i="31"/>
  <c r="I991" i="31"/>
  <c r="G990" i="31"/>
  <c r="C990" i="31" s="1"/>
  <c r="H111" i="31"/>
  <c r="H112" i="31" s="1"/>
  <c r="H113" i="31" s="1"/>
  <c r="F110" i="31"/>
  <c r="C454" i="31"/>
  <c r="B454" i="31"/>
  <c r="G902" i="31"/>
  <c r="C902" i="31" s="1"/>
  <c r="I903" i="31"/>
  <c r="C531" i="31"/>
  <c r="B531" i="31"/>
  <c r="G1349" i="31"/>
  <c r="C1349" i="31" s="1"/>
  <c r="I1350" i="31"/>
  <c r="I1672" i="31"/>
  <c r="G1671" i="31"/>
  <c r="G195" i="31"/>
  <c r="I196" i="31"/>
  <c r="G845" i="31"/>
  <c r="C845" i="31" s="1"/>
  <c r="I846" i="31"/>
  <c r="G1287" i="31"/>
  <c r="C1287" i="31" s="1"/>
  <c r="I1288" i="31"/>
  <c r="I1000" i="31"/>
  <c r="G999" i="31"/>
  <c r="C999" i="31" s="1"/>
  <c r="I36" i="31"/>
  <c r="G36" i="31" s="1"/>
  <c r="G35" i="31"/>
  <c r="G27" i="31"/>
  <c r="I28" i="31"/>
  <c r="F1422" i="31"/>
  <c r="H1423" i="31"/>
  <c r="G1037" i="31"/>
  <c r="C1037" i="31" s="1"/>
  <c r="I1038" i="31"/>
  <c r="F1645" i="31"/>
  <c r="G1645" i="31"/>
  <c r="I1646" i="31"/>
  <c r="B274" i="31"/>
  <c r="C274" i="31"/>
  <c r="F1504" i="31"/>
  <c r="G1504" i="31"/>
  <c r="I1505" i="31"/>
  <c r="G675" i="31"/>
  <c r="C675" i="31" s="1"/>
  <c r="I676" i="31"/>
  <c r="I928" i="31"/>
  <c r="G927" i="31"/>
  <c r="C927" i="31" s="1"/>
  <c r="G297" i="31"/>
  <c r="I298" i="31"/>
  <c r="G298" i="31" s="1"/>
  <c r="C453" i="31"/>
  <c r="B453" i="31"/>
  <c r="H1214" i="31"/>
  <c r="F1213" i="31"/>
  <c r="G561" i="31"/>
  <c r="I562" i="31"/>
  <c r="G1662" i="31"/>
  <c r="I1663" i="31"/>
  <c r="G867" i="31"/>
  <c r="C867" i="31" s="1"/>
  <c r="I868" i="31"/>
  <c r="C194" i="31"/>
  <c r="B194" i="31"/>
  <c r="S54" i="8"/>
  <c r="M22" i="12"/>
  <c r="H22" i="12"/>
  <c r="F86" i="10"/>
  <c r="G56" i="10"/>
  <c r="F336" i="31"/>
  <c r="H337" i="31"/>
  <c r="G1239" i="31"/>
  <c r="C1239" i="31" s="1"/>
  <c r="I1240" i="31"/>
  <c r="F815" i="31"/>
  <c r="S37" i="7"/>
  <c r="H104" i="31"/>
  <c r="F103" i="31"/>
  <c r="H1697" i="31"/>
  <c r="B435" i="31"/>
  <c r="C435" i="31"/>
  <c r="K41" i="9"/>
  <c r="F75" i="9"/>
  <c r="C507" i="31"/>
  <c r="B507" i="31"/>
  <c r="G147" i="31"/>
  <c r="I148" i="31"/>
  <c r="G148" i="31" s="1"/>
  <c r="I1426" i="31"/>
  <c r="G1425" i="31"/>
  <c r="C1425" i="31" s="1"/>
  <c r="H1535" i="31"/>
  <c r="H1195" i="31"/>
  <c r="G591" i="31"/>
  <c r="I592" i="31"/>
  <c r="G592" i="31" s="1"/>
  <c r="I1679" i="31"/>
  <c r="G1678" i="31"/>
  <c r="C652" i="31"/>
  <c r="B652" i="31"/>
  <c r="G615" i="31"/>
  <c r="I616" i="31"/>
  <c r="G616" i="31" s="1"/>
  <c r="B538" i="31"/>
  <c r="C538" i="31"/>
  <c r="C508" i="31"/>
  <c r="B508" i="31"/>
  <c r="I773" i="31"/>
  <c r="G772" i="31"/>
  <c r="C772" i="31" s="1"/>
  <c r="F1652" i="31"/>
  <c r="H1653" i="31"/>
  <c r="J31" i="41"/>
  <c r="H30" i="41"/>
  <c r="B19" i="31"/>
  <c r="C19" i="31"/>
  <c r="B440" i="31"/>
  <c r="C440" i="31"/>
  <c r="B314" i="31"/>
  <c r="C314" i="31"/>
  <c r="F37" i="10"/>
  <c r="K10" i="10"/>
  <c r="B590" i="31"/>
  <c r="C590" i="31"/>
  <c r="H489" i="31"/>
  <c r="F488" i="31"/>
  <c r="H117" i="31"/>
  <c r="F116" i="31"/>
  <c r="H1541" i="31"/>
  <c r="G1419" i="31"/>
  <c r="C1419" i="31" s="1"/>
  <c r="I1420" i="31"/>
  <c r="F1419" i="31"/>
  <c r="G1131" i="31"/>
  <c r="C1131" i="31" s="1"/>
  <c r="I1132" i="31"/>
  <c r="I1438" i="31"/>
  <c r="G1438" i="31" s="1"/>
  <c r="C1438" i="31" s="1"/>
  <c r="G1437" i="31"/>
  <c r="C1437" i="31" s="1"/>
  <c r="C176" i="31"/>
  <c r="B176" i="31"/>
  <c r="I189" i="31"/>
  <c r="G188" i="31"/>
  <c r="H573" i="31"/>
  <c r="F572" i="31"/>
  <c r="B320" i="31"/>
  <c r="C320" i="31"/>
  <c r="H697" i="31"/>
  <c r="F696" i="31"/>
  <c r="F36" i="9"/>
  <c r="K10" i="9"/>
  <c r="C614" i="31"/>
  <c r="B614" i="31"/>
  <c r="I700" i="31"/>
  <c r="G699" i="31"/>
  <c r="C699" i="31" s="1"/>
  <c r="I953" i="31"/>
  <c r="G952" i="31"/>
  <c r="C952" i="31" s="1"/>
  <c r="H668" i="31"/>
  <c r="B138" i="31"/>
  <c r="C138" i="31"/>
  <c r="I21" i="31"/>
  <c r="G20" i="31"/>
  <c r="G1047" i="31"/>
  <c r="C1047" i="31" s="1"/>
  <c r="I1048" i="31"/>
  <c r="F1048" i="31" s="1"/>
  <c r="C187" i="31"/>
  <c r="B187" i="31"/>
  <c r="F429" i="31"/>
  <c r="H430" i="31"/>
  <c r="B1677" i="31"/>
  <c r="C1677" i="31"/>
  <c r="G321" i="31"/>
  <c r="I322" i="31"/>
  <c r="I1073" i="31"/>
  <c r="G1072" i="31"/>
  <c r="C1072" i="31" s="1"/>
  <c r="G1455" i="31"/>
  <c r="C1455" i="31" s="1"/>
  <c r="I1456" i="31"/>
  <c r="G1456" i="31" s="1"/>
  <c r="C1456" i="31" s="1"/>
  <c r="I1361" i="31"/>
  <c r="G1360" i="31"/>
  <c r="C1360" i="31" s="1"/>
  <c r="I95" i="26"/>
  <c r="G1167" i="31"/>
  <c r="C1167" i="31" s="1"/>
  <c r="I1168" i="31"/>
  <c r="C543" i="31"/>
  <c r="B543" i="31"/>
  <c r="A18" i="9"/>
  <c r="D17" i="9"/>
  <c r="F17" i="9" s="1"/>
  <c r="F1594" i="31"/>
  <c r="H1595" i="31"/>
  <c r="H1487" i="31"/>
  <c r="C458" i="31"/>
  <c r="B458" i="31"/>
  <c r="D26" i="26"/>
  <c r="D23" i="31"/>
  <c r="D24" i="31" s="1"/>
  <c r="D25" i="31" s="1"/>
  <c r="D26" i="31" s="1"/>
  <c r="D27" i="31" s="1"/>
  <c r="D28" i="31" s="1"/>
  <c r="D29" i="31" s="1"/>
  <c r="H444" i="31"/>
  <c r="H449" i="31"/>
  <c r="F443" i="31"/>
  <c r="C303" i="31"/>
  <c r="B303" i="31"/>
  <c r="H1582" i="31"/>
  <c r="F1581" i="31"/>
  <c r="B84" i="31"/>
  <c r="C84" i="31"/>
  <c r="H708" i="31"/>
  <c r="F707" i="31"/>
  <c r="H719" i="31"/>
  <c r="H842" i="31"/>
  <c r="F841" i="31"/>
  <c r="H1589" i="31"/>
  <c r="H434" i="31"/>
  <c r="F433" i="31"/>
  <c r="G224" i="31"/>
  <c r="I225" i="31"/>
  <c r="F224" i="31"/>
  <c r="B422" i="31"/>
  <c r="C422" i="31"/>
  <c r="H6" i="41"/>
  <c r="J7" i="41"/>
  <c r="F1511" i="31"/>
  <c r="I140" i="31"/>
  <c r="G139" i="31"/>
  <c r="H1206" i="31"/>
  <c r="G1397" i="31"/>
  <c r="C1397" i="31" s="1"/>
  <c r="I1398" i="31"/>
  <c r="H466" i="31"/>
  <c r="F466" i="31" s="1"/>
  <c r="F465" i="31"/>
  <c r="I1523" i="31"/>
  <c r="G1522" i="31"/>
  <c r="F1522" i="31"/>
  <c r="G459" i="31"/>
  <c r="I460" i="31"/>
  <c r="F459" i="31"/>
  <c r="H150" i="41"/>
  <c r="J151" i="41"/>
  <c r="I713" i="31"/>
  <c r="G712" i="31"/>
  <c r="C712" i="31" s="1"/>
  <c r="F64" i="6"/>
  <c r="D65" i="6"/>
  <c r="G55" i="6" s="1"/>
  <c r="B110" i="31"/>
  <c r="C110" i="31"/>
  <c r="H1528" i="31"/>
  <c r="F1527" i="31"/>
  <c r="C393" i="31"/>
  <c r="B393" i="31"/>
  <c r="F341" i="31"/>
  <c r="H347" i="31"/>
  <c r="H342" i="31"/>
  <c r="H1049" i="31"/>
  <c r="C357" i="31"/>
  <c r="B357" i="31"/>
  <c r="B604" i="31"/>
  <c r="C604" i="31"/>
  <c r="D57" i="41"/>
  <c r="F57" i="41"/>
  <c r="G57" i="41"/>
  <c r="F1408" i="31"/>
  <c r="G41" i="31"/>
  <c r="I42" i="31"/>
  <c r="I112" i="31"/>
  <c r="G111" i="31"/>
  <c r="I7" i="31"/>
  <c r="G6" i="31"/>
  <c r="F6" i="31"/>
  <c r="C346" i="31"/>
  <c r="B346" i="31"/>
  <c r="H129" i="31"/>
  <c r="F128" i="31"/>
  <c r="H135" i="31"/>
  <c r="F149" i="41"/>
  <c r="G149" i="41"/>
  <c r="D149" i="41"/>
  <c r="I150" i="41"/>
  <c r="B436" i="31"/>
  <c r="C436" i="31"/>
  <c r="K9" i="22"/>
  <c r="F20" i="22"/>
  <c r="H865" i="31"/>
  <c r="F864" i="31"/>
  <c r="B85" i="31"/>
  <c r="C85" i="31"/>
  <c r="F1667" i="31"/>
  <c r="H1668" i="31"/>
  <c r="G231" i="31"/>
  <c r="I232" i="31"/>
  <c r="G232" i="31" s="1"/>
  <c r="H582" i="31"/>
  <c r="F581" i="31"/>
  <c r="F85" i="10"/>
  <c r="G53" i="10"/>
  <c r="D87" i="10"/>
  <c r="D88" i="10" s="1"/>
  <c r="D58" i="41"/>
  <c r="I60" i="41"/>
  <c r="F58" i="41"/>
  <c r="G58" i="41"/>
  <c r="I59" i="41"/>
  <c r="C223" i="31"/>
  <c r="B223" i="31"/>
  <c r="H470" i="31"/>
  <c r="F469" i="31"/>
  <c r="B368" i="31"/>
  <c r="C368" i="31"/>
  <c r="H822" i="31"/>
  <c r="B5" i="31"/>
  <c r="C5" i="31"/>
  <c r="H439" i="31"/>
  <c r="F438" i="31"/>
  <c r="F482" i="31"/>
  <c r="H483" i="31"/>
  <c r="C394" i="31"/>
  <c r="B394" i="31"/>
  <c r="H1553" i="31"/>
  <c r="G855" i="31"/>
  <c r="C855" i="31" s="1"/>
  <c r="I856" i="31"/>
  <c r="F1047" i="31"/>
  <c r="H186" i="41"/>
  <c r="J187" i="41"/>
  <c r="B358" i="31"/>
  <c r="C358" i="31"/>
  <c r="H1675" i="31"/>
  <c r="F1674" i="31"/>
  <c r="H1682" i="31"/>
  <c r="S54" i="7"/>
  <c r="D73" i="57" s="1"/>
  <c r="H1649" i="31"/>
  <c r="B40" i="31"/>
  <c r="C40" i="31"/>
  <c r="C363" i="31"/>
  <c r="B363" i="31"/>
  <c r="F331" i="31"/>
  <c r="H332" i="31"/>
  <c r="G1498" i="31"/>
  <c r="F1498" i="31"/>
  <c r="I1499" i="31"/>
  <c r="B345" i="31"/>
  <c r="C345" i="31"/>
  <c r="H123" i="31"/>
  <c r="F122" i="31"/>
  <c r="G833" i="31"/>
  <c r="C833" i="31" s="1"/>
  <c r="I834" i="31"/>
  <c r="D11" i="24"/>
  <c r="D12" i="24"/>
  <c r="F7" i="39" l="1"/>
  <c r="M46" i="54" s="1"/>
  <c r="C75" i="31"/>
  <c r="E7" i="39"/>
  <c r="J46" i="54" s="1"/>
  <c r="F23" i="39"/>
  <c r="E8" i="39"/>
  <c r="E15" i="39"/>
  <c r="F24" i="39"/>
  <c r="F8" i="39"/>
  <c r="E24" i="39"/>
  <c r="E23" i="39"/>
  <c r="F15" i="39"/>
  <c r="E16" i="39"/>
  <c r="F16" i="39"/>
  <c r="D20" i="57"/>
  <c r="C21" i="57" s="1"/>
  <c r="B484" i="31"/>
  <c r="G56" i="31"/>
  <c r="C56" i="31" s="1"/>
  <c r="F1224" i="31"/>
  <c r="H1225" i="31"/>
  <c r="H166" i="56"/>
  <c r="D166" i="56" s="1" a="1"/>
  <c r="D166" i="56" s="1"/>
  <c r="H161" i="56"/>
  <c r="D161" i="56" s="1" a="1"/>
  <c r="D161" i="56" s="1"/>
  <c r="D145" i="56" a="1"/>
  <c r="D145" i="56" s="1"/>
  <c r="D170" i="56" a="1"/>
  <c r="D170" i="56" s="1"/>
  <c r="H176" i="56"/>
  <c r="H171" i="56"/>
  <c r="H156" i="56"/>
  <c r="D155" i="56" a="1"/>
  <c r="D155" i="56" s="1"/>
  <c r="H151" i="56"/>
  <c r="D150" i="56" a="1"/>
  <c r="D150" i="56" s="1"/>
  <c r="F1628" i="31"/>
  <c r="G735" i="31"/>
  <c r="C735" i="31" s="1"/>
  <c r="H1661" i="31"/>
  <c r="K1714" i="31"/>
  <c r="I412" i="31"/>
  <c r="G412" i="31" s="1"/>
  <c r="G411" i="31"/>
  <c r="C410" i="31"/>
  <c r="B410" i="31"/>
  <c r="B603" i="31"/>
  <c r="H876" i="31"/>
  <c r="H877" i="31" s="1"/>
  <c r="H887" i="31"/>
  <c r="F576" i="31"/>
  <c r="F819" i="31"/>
  <c r="G441" i="31"/>
  <c r="C441" i="31" s="1"/>
  <c r="G255" i="31"/>
  <c r="C255" i="31" s="1"/>
  <c r="F315" i="31"/>
  <c r="I880" i="31"/>
  <c r="I881" i="31" s="1"/>
  <c r="G881" i="31" s="1"/>
  <c r="C881" i="31" s="1"/>
  <c r="G315" i="31"/>
  <c r="C315" i="31" s="1"/>
  <c r="G1654" i="31"/>
  <c r="C1654" i="31" s="1"/>
  <c r="B55" i="31"/>
  <c r="C537" i="31"/>
  <c r="B304" i="31"/>
  <c r="G1547" i="31"/>
  <c r="F1036" i="31"/>
  <c r="F1259" i="31"/>
  <c r="H35" i="38"/>
  <c r="H174" i="41"/>
  <c r="J175" i="41"/>
  <c r="I310" i="31"/>
  <c r="G310" i="31" s="1"/>
  <c r="C310" i="31" s="1"/>
  <c r="J163" i="41"/>
  <c r="H162" i="41"/>
  <c r="C174" i="31"/>
  <c r="B175" i="31"/>
  <c r="B181" i="31"/>
  <c r="C651" i="31"/>
  <c r="H223" i="41"/>
  <c r="J224" i="41"/>
  <c r="J44" i="41"/>
  <c r="H43" i="41"/>
  <c r="C350" i="31"/>
  <c r="B350" i="31"/>
  <c r="I352" i="31"/>
  <c r="G352" i="31" s="1"/>
  <c r="G351" i="31"/>
  <c r="J236" i="41"/>
  <c r="H235" i="41"/>
  <c r="H18" i="41"/>
  <c r="J19" i="41"/>
  <c r="H211" i="41"/>
  <c r="J212" i="41"/>
  <c r="C182" i="31"/>
  <c r="F6" i="41"/>
  <c r="I7" i="41"/>
  <c r="D6" i="41"/>
  <c r="G21" i="6"/>
  <c r="F30" i="6"/>
  <c r="H200" i="41"/>
  <c r="J201" i="41"/>
  <c r="G20" i="6"/>
  <c r="F29" i="6"/>
  <c r="D31" i="6"/>
  <c r="F198" i="41"/>
  <c r="G198" i="41"/>
  <c r="I199" i="41"/>
  <c r="D198" i="41"/>
  <c r="O13" i="6"/>
  <c r="P46" i="6" s="1"/>
  <c r="H9" i="7"/>
  <c r="L35" i="38"/>
  <c r="B173" i="31"/>
  <c r="B230" i="31"/>
  <c r="G369" i="31"/>
  <c r="B369" i="31" s="1"/>
  <c r="G819" i="31"/>
  <c r="C819" i="31" s="1"/>
  <c r="B544" i="31"/>
  <c r="B1661" i="31"/>
  <c r="I1205" i="31"/>
  <c r="F1205" i="31" s="1"/>
  <c r="F1414" i="31"/>
  <c r="G1204" i="31"/>
  <c r="C1204" i="31" s="1"/>
  <c r="I1086" i="31"/>
  <c r="I1087" i="31" s="1"/>
  <c r="G1087" i="31" s="1"/>
  <c r="C1087" i="31" s="1"/>
  <c r="F831" i="31"/>
  <c r="G238" i="31"/>
  <c r="B238" i="31" s="1"/>
  <c r="G525" i="31"/>
  <c r="I526" i="31"/>
  <c r="G526" i="31" s="1"/>
  <c r="F264" i="31"/>
  <c r="B524" i="31"/>
  <c r="C524" i="31"/>
  <c r="C146" i="31"/>
  <c r="G892" i="31"/>
  <c r="C892" i="31" s="1"/>
  <c r="F423" i="31"/>
  <c r="D30" i="31"/>
  <c r="D31" i="31" s="1"/>
  <c r="D32" i="31" s="1"/>
  <c r="D33" i="31" s="1"/>
  <c r="D34" i="31" s="1"/>
  <c r="D35" i="31" s="1"/>
  <c r="D36" i="31" s="1"/>
  <c r="C448" i="31"/>
  <c r="G423" i="31"/>
  <c r="B423" i="31" s="1"/>
  <c r="B364" i="31"/>
  <c r="H270" i="31"/>
  <c r="H271" i="31" s="1"/>
  <c r="I689" i="31"/>
  <c r="G964" i="31"/>
  <c r="C964" i="31" s="1"/>
  <c r="I965" i="31"/>
  <c r="G104" i="31"/>
  <c r="I105" i="31"/>
  <c r="H1237" i="31"/>
  <c r="H1238" i="31" s="1"/>
  <c r="C103" i="31"/>
  <c r="B103" i="31"/>
  <c r="G1096" i="31"/>
  <c r="C1096" i="31" s="1"/>
  <c r="I1097" i="31"/>
  <c r="I210" i="31"/>
  <c r="G210" i="31" s="1"/>
  <c r="I1324" i="31"/>
  <c r="G1323" i="31"/>
  <c r="C1323" i="31" s="1"/>
  <c r="G1486" i="31"/>
  <c r="I1487" i="31"/>
  <c r="G1487" i="31" s="1"/>
  <c r="H1745" i="31"/>
  <c r="H1744" i="31"/>
  <c r="I1145" i="31"/>
  <c r="G1144" i="31"/>
  <c r="C1144" i="31" s="1"/>
  <c r="F685" i="31"/>
  <c r="H1260" i="31"/>
  <c r="H1261" i="31" s="1"/>
  <c r="H1476" i="31"/>
  <c r="H1477" i="31" s="1"/>
  <c r="I1277" i="31"/>
  <c r="G1276" i="31"/>
  <c r="C1276" i="31" s="1"/>
  <c r="F327" i="31"/>
  <c r="H328" i="31"/>
  <c r="F328" i="31" s="1"/>
  <c r="G216" i="31"/>
  <c r="I217" i="31"/>
  <c r="F216" i="31"/>
  <c r="G1383" i="31"/>
  <c r="C1383" i="31" s="1"/>
  <c r="I1384" i="31"/>
  <c r="H1249" i="31"/>
  <c r="H1250" i="31" s="1"/>
  <c r="C215" i="31"/>
  <c r="B215" i="31"/>
  <c r="G1251" i="31"/>
  <c r="C1251" i="31" s="1"/>
  <c r="I1252" i="31"/>
  <c r="I916" i="31"/>
  <c r="G915" i="31"/>
  <c r="C915" i="31" s="1"/>
  <c r="I1589" i="31"/>
  <c r="G1589" i="31" s="1"/>
  <c r="G1588" i="31"/>
  <c r="I1024" i="31"/>
  <c r="G1023" i="31"/>
  <c r="C1023" i="31" s="1"/>
  <c r="C1693" i="31"/>
  <c r="B1693" i="31"/>
  <c r="F1191" i="31"/>
  <c r="G1191" i="31"/>
  <c r="C1191" i="31" s="1"/>
  <c r="I1192" i="31"/>
  <c r="I203" i="31"/>
  <c r="G202" i="31"/>
  <c r="G975" i="31"/>
  <c r="C975" i="31" s="1"/>
  <c r="I976" i="31"/>
  <c r="H321" i="31"/>
  <c r="F320" i="31"/>
  <c r="I162" i="31"/>
  <c r="G162" i="31" s="1"/>
  <c r="G161" i="31"/>
  <c r="F855" i="31"/>
  <c r="G1559" i="31"/>
  <c r="F1559" i="31"/>
  <c r="C656" i="31"/>
  <c r="B656" i="31"/>
  <c r="C201" i="31"/>
  <c r="B201" i="31"/>
  <c r="G261" i="31"/>
  <c r="I262" i="31"/>
  <c r="G262" i="31" s="1"/>
  <c r="G1120" i="31"/>
  <c r="C1120" i="31" s="1"/>
  <c r="I1121" i="31"/>
  <c r="I334" i="31"/>
  <c r="G334" i="31" s="1"/>
  <c r="G333" i="31"/>
  <c r="C160" i="31"/>
  <c r="B160" i="31"/>
  <c r="F1638" i="31"/>
  <c r="I1639" i="31"/>
  <c r="G1638" i="31"/>
  <c r="G1534" i="31"/>
  <c r="I1535" i="31"/>
  <c r="G1535" i="31" s="1"/>
  <c r="F1588" i="31"/>
  <c r="I1695" i="31"/>
  <c r="F1694" i="31"/>
  <c r="G1694" i="31"/>
  <c r="G657" i="31"/>
  <c r="I658" i="31"/>
  <c r="G658" i="31" s="1"/>
  <c r="I1565" i="31"/>
  <c r="F1564" i="31"/>
  <c r="G1564" i="31"/>
  <c r="B260" i="31"/>
  <c r="C260" i="31"/>
  <c r="I1109" i="31"/>
  <c r="G1108" i="31"/>
  <c r="C1108" i="31" s="1"/>
  <c r="B332" i="31"/>
  <c r="C332" i="31"/>
  <c r="B1637" i="31"/>
  <c r="C1637" i="31"/>
  <c r="I724" i="31"/>
  <c r="G723" i="31"/>
  <c r="C723" i="31" s="1"/>
  <c r="G627" i="31"/>
  <c r="I628" i="31"/>
  <c r="G628" i="31" s="1"/>
  <c r="F1576" i="31"/>
  <c r="I1577" i="31"/>
  <c r="G1576" i="31"/>
  <c r="C124" i="31"/>
  <c r="B124" i="31"/>
  <c r="C340" i="31"/>
  <c r="B340" i="31"/>
  <c r="C47" i="31"/>
  <c r="B47" i="31"/>
  <c r="B632" i="31"/>
  <c r="C632" i="31"/>
  <c r="I1180" i="31"/>
  <c r="G1179" i="31"/>
  <c r="C1179" i="31" s="1"/>
  <c r="F1492" i="31"/>
  <c r="I1493" i="31"/>
  <c r="G1492" i="31"/>
  <c r="C152" i="31"/>
  <c r="B152" i="31"/>
  <c r="I598" i="31"/>
  <c r="G598" i="31" s="1"/>
  <c r="G597" i="31"/>
  <c r="G940" i="31"/>
  <c r="C940" i="31" s="1"/>
  <c r="I941" i="31"/>
  <c r="G132" i="31"/>
  <c r="I133" i="31"/>
  <c r="G1686" i="31"/>
  <c r="I1687" i="31"/>
  <c r="I556" i="31"/>
  <c r="G555" i="31"/>
  <c r="F555" i="31"/>
  <c r="C514" i="31"/>
  <c r="B514" i="31"/>
  <c r="B638" i="31"/>
  <c r="C638" i="31"/>
  <c r="I761" i="31"/>
  <c r="G760" i="31"/>
  <c r="C760" i="31" s="1"/>
  <c r="C520" i="31"/>
  <c r="B520" i="31"/>
  <c r="G1011" i="31"/>
  <c r="C1011" i="31" s="1"/>
  <c r="I1012" i="31"/>
  <c r="C572" i="31"/>
  <c r="B572" i="31"/>
  <c r="B584" i="31"/>
  <c r="C584" i="31"/>
  <c r="C12" i="31"/>
  <c r="B12" i="31"/>
  <c r="G567" i="31"/>
  <c r="F567" i="31"/>
  <c r="I568" i="31"/>
  <c r="C578" i="31"/>
  <c r="B578" i="31"/>
  <c r="G645" i="31"/>
  <c r="I646" i="31"/>
  <c r="G646" i="31" s="1"/>
  <c r="F253" i="31"/>
  <c r="H254" i="31"/>
  <c r="I126" i="31"/>
  <c r="G125" i="31"/>
  <c r="B242" i="31"/>
  <c r="C242" i="31"/>
  <c r="H25" i="31"/>
  <c r="F24" i="31"/>
  <c r="B502" i="31"/>
  <c r="C502" i="31"/>
  <c r="G633" i="31"/>
  <c r="I634" i="31"/>
  <c r="G634" i="31" s="1"/>
  <c r="F258" i="31"/>
  <c r="H259" i="31"/>
  <c r="H229" i="31"/>
  <c r="F228" i="31"/>
  <c r="H1058" i="31"/>
  <c r="F1057" i="31"/>
  <c r="C596" i="31"/>
  <c r="B596" i="31"/>
  <c r="B286" i="31"/>
  <c r="C286" i="31"/>
  <c r="G807" i="31"/>
  <c r="C807" i="31" s="1"/>
  <c r="I808" i="31"/>
  <c r="B554" i="31"/>
  <c r="C554" i="31"/>
  <c r="B610" i="31"/>
  <c r="C610" i="31"/>
  <c r="B76" i="31"/>
  <c r="C76" i="31"/>
  <c r="C513" i="31"/>
  <c r="B513" i="31"/>
  <c r="G639" i="31"/>
  <c r="I640" i="31"/>
  <c r="G640" i="31" s="1"/>
  <c r="B519" i="31"/>
  <c r="C519" i="31"/>
  <c r="F1079" i="31"/>
  <c r="H1091" i="31"/>
  <c r="H1080" i="31"/>
  <c r="G573" i="31"/>
  <c r="I574" i="31"/>
  <c r="G574" i="31" s="1"/>
  <c r="I622" i="31"/>
  <c r="G622" i="31" s="1"/>
  <c r="G621" i="31"/>
  <c r="I1432" i="31"/>
  <c r="G1432" i="31" s="1"/>
  <c r="C1432" i="31" s="1"/>
  <c r="G1431" i="31"/>
  <c r="C1431" i="31" s="1"/>
  <c r="G90" i="31"/>
  <c r="I91" i="31"/>
  <c r="G13" i="31"/>
  <c r="I14" i="31"/>
  <c r="F14" i="31" s="1"/>
  <c r="C566" i="31"/>
  <c r="B566" i="31"/>
  <c r="C644" i="31"/>
  <c r="B644" i="31"/>
  <c r="B626" i="31"/>
  <c r="C626" i="31"/>
  <c r="F665" i="31"/>
  <c r="I666" i="31"/>
  <c r="G665" i="31"/>
  <c r="C665" i="31" s="1"/>
  <c r="C339" i="31"/>
  <c r="B339" i="31"/>
  <c r="G243" i="31"/>
  <c r="I244" i="31"/>
  <c r="G244" i="31" s="1"/>
  <c r="H31" i="31"/>
  <c r="F30" i="31"/>
  <c r="H37" i="31"/>
  <c r="C501" i="31"/>
  <c r="B501" i="31"/>
  <c r="I49" i="31"/>
  <c r="G48" i="31"/>
  <c r="I1302" i="31"/>
  <c r="G1301" i="31"/>
  <c r="C1301" i="31" s="1"/>
  <c r="G153" i="31"/>
  <c r="I154" i="31"/>
  <c r="I1158" i="31"/>
  <c r="G1157" i="31"/>
  <c r="C1157" i="31" s="1"/>
  <c r="C131" i="31"/>
  <c r="B131" i="31"/>
  <c r="B285" i="31"/>
  <c r="C285" i="31"/>
  <c r="B1685" i="31"/>
  <c r="C1685" i="31"/>
  <c r="C609" i="31"/>
  <c r="B609" i="31"/>
  <c r="G1335" i="31"/>
  <c r="C1335" i="31" s="1"/>
  <c r="I1336" i="31"/>
  <c r="G77" i="31"/>
  <c r="I78" i="31"/>
  <c r="G78" i="31" s="1"/>
  <c r="F1068" i="31"/>
  <c r="H1069" i="31"/>
  <c r="H19" i="31"/>
  <c r="F18" i="31"/>
  <c r="G585" i="31"/>
  <c r="I586" i="31"/>
  <c r="G586" i="31" s="1"/>
  <c r="C620" i="31"/>
  <c r="B620" i="31"/>
  <c r="I797" i="31"/>
  <c r="G796" i="31"/>
  <c r="C796" i="31" s="1"/>
  <c r="C89" i="31"/>
  <c r="B89" i="31"/>
  <c r="I580" i="31"/>
  <c r="G580" i="31" s="1"/>
  <c r="G579" i="31"/>
  <c r="I1313" i="31"/>
  <c r="G1312" i="31"/>
  <c r="C1312" i="31" s="1"/>
  <c r="F503" i="31"/>
  <c r="H509" i="31"/>
  <c r="H504" i="31"/>
  <c r="K1716" i="31"/>
  <c r="K1718" i="31" s="1"/>
  <c r="K1715" i="31"/>
  <c r="B64" i="31"/>
  <c r="C64" i="31"/>
  <c r="C406" i="31"/>
  <c r="B406" i="31"/>
  <c r="H15" i="31"/>
  <c r="I785" i="31"/>
  <c r="G784" i="31"/>
  <c r="C784" i="31" s="1"/>
  <c r="C430" i="31"/>
  <c r="B430" i="31"/>
  <c r="F430" i="31"/>
  <c r="H275" i="31"/>
  <c r="F275" i="31" s="1"/>
  <c r="F498" i="31"/>
  <c r="H499" i="31"/>
  <c r="I1541" i="31"/>
  <c r="G1541" i="31" s="1"/>
  <c r="G1540" i="31"/>
  <c r="B249" i="31"/>
  <c r="C249" i="31"/>
  <c r="G1216" i="31"/>
  <c r="C1216" i="31" s="1"/>
  <c r="I1217" i="31"/>
  <c r="I1373" i="31"/>
  <c r="G1372" i="31"/>
  <c r="C1372" i="31" s="1"/>
  <c r="F111" i="31"/>
  <c r="F1540" i="31"/>
  <c r="B63" i="31"/>
  <c r="C63" i="31"/>
  <c r="G250" i="31"/>
  <c r="F250" i="31"/>
  <c r="C405" i="31"/>
  <c r="B405" i="31"/>
  <c r="H494" i="31"/>
  <c r="F493" i="31"/>
  <c r="B429" i="31"/>
  <c r="C429" i="31"/>
  <c r="G562" i="31"/>
  <c r="F562" i="31"/>
  <c r="F1214" i="31"/>
  <c r="H1215" i="31"/>
  <c r="B256" i="31"/>
  <c r="C256" i="31"/>
  <c r="G1505" i="31"/>
  <c r="F1505" i="31"/>
  <c r="H1424" i="31"/>
  <c r="F1423" i="31"/>
  <c r="B27" i="31"/>
  <c r="C27" i="31"/>
  <c r="I197" i="31"/>
  <c r="G197" i="31" s="1"/>
  <c r="G196" i="31"/>
  <c r="I1673" i="31"/>
  <c r="G1673" i="31" s="1"/>
  <c r="G1672" i="31"/>
  <c r="G991" i="31"/>
  <c r="C991" i="31" s="1"/>
  <c r="I992" i="31"/>
  <c r="F1428" i="31"/>
  <c r="H1429" i="31"/>
  <c r="I1268" i="31"/>
  <c r="G1267" i="31"/>
  <c r="C1267" i="31" s="1"/>
  <c r="H1610" i="31"/>
  <c r="F1609" i="31"/>
  <c r="C309" i="31"/>
  <c r="B309" i="31"/>
  <c r="B209" i="31"/>
  <c r="C209" i="31"/>
  <c r="I1664" i="31"/>
  <c r="G1663" i="31"/>
  <c r="B561" i="31"/>
  <c r="C561" i="31"/>
  <c r="B298" i="31"/>
  <c r="C298" i="31"/>
  <c r="G928" i="31"/>
  <c r="C928" i="31" s="1"/>
  <c r="I929" i="31"/>
  <c r="G676" i="31"/>
  <c r="C676" i="31" s="1"/>
  <c r="I677" i="31"/>
  <c r="I1647" i="31"/>
  <c r="G1646" i="31"/>
  <c r="F1646" i="31"/>
  <c r="B57" i="31"/>
  <c r="C57" i="31"/>
  <c r="G1038" i="31"/>
  <c r="C1038" i="31" s="1"/>
  <c r="I1039" i="31"/>
  <c r="C35" i="31"/>
  <c r="B35" i="31"/>
  <c r="G1000" i="31"/>
  <c r="C1000" i="31" s="1"/>
  <c r="I1001" i="31"/>
  <c r="G846" i="31"/>
  <c r="C846" i="31" s="1"/>
  <c r="I847" i="31"/>
  <c r="C195" i="31"/>
  <c r="B195" i="31"/>
  <c r="G1350" i="31"/>
  <c r="C1350" i="31" s="1"/>
  <c r="I1351" i="31"/>
  <c r="I1656" i="31"/>
  <c r="G1655" i="31"/>
  <c r="H1439" i="31"/>
  <c r="H1434" i="31"/>
  <c r="F1433" i="31"/>
  <c r="I737" i="31"/>
  <c r="G736" i="31"/>
  <c r="C736" i="31" s="1"/>
  <c r="H677" i="31"/>
  <c r="F676" i="31"/>
  <c r="G168" i="31"/>
  <c r="I169" i="31"/>
  <c r="G169" i="31" s="1"/>
  <c r="G1059" i="31"/>
  <c r="C1059" i="31" s="1"/>
  <c r="I1060" i="31"/>
  <c r="G1228" i="31"/>
  <c r="C1228" i="31" s="1"/>
  <c r="I1229" i="31"/>
  <c r="G893" i="31"/>
  <c r="C893" i="31" s="1"/>
  <c r="I894" i="31"/>
  <c r="G868" i="31"/>
  <c r="C868" i="31" s="1"/>
  <c r="I869" i="31"/>
  <c r="C1662" i="31"/>
  <c r="B1662" i="31"/>
  <c r="C297" i="31"/>
  <c r="B297" i="31"/>
  <c r="C1645" i="31"/>
  <c r="B1645" i="31"/>
  <c r="I29" i="31"/>
  <c r="G28" i="31"/>
  <c r="C36" i="31"/>
  <c r="B36" i="31"/>
  <c r="G1288" i="31"/>
  <c r="C1288" i="31" s="1"/>
  <c r="I1289" i="31"/>
  <c r="B1671" i="31"/>
  <c r="C1671" i="31"/>
  <c r="G903" i="31"/>
  <c r="C903" i="31" s="1"/>
  <c r="I904" i="31"/>
  <c r="I749" i="31"/>
  <c r="G748" i="31"/>
  <c r="C748" i="31" s="1"/>
  <c r="B167" i="31"/>
  <c r="C167" i="31"/>
  <c r="I1517" i="31"/>
  <c r="G1516" i="31"/>
  <c r="F1516" i="31"/>
  <c r="I1553" i="31"/>
  <c r="G1553" i="31" s="1"/>
  <c r="G1552" i="31"/>
  <c r="H833" i="31"/>
  <c r="F832" i="31"/>
  <c r="G62" i="10"/>
  <c r="F88" i="10"/>
  <c r="D89" i="10"/>
  <c r="B321" i="31"/>
  <c r="C321" i="31"/>
  <c r="F876" i="31"/>
  <c r="F449" i="31"/>
  <c r="H450" i="31"/>
  <c r="F1661" i="31"/>
  <c r="H1662" i="31"/>
  <c r="C591" i="31"/>
  <c r="B591" i="31"/>
  <c r="F887" i="31"/>
  <c r="H888" i="31"/>
  <c r="H899" i="31"/>
  <c r="H588" i="31"/>
  <c r="H593" i="31"/>
  <c r="F587" i="31"/>
  <c r="H136" i="31"/>
  <c r="F135" i="31"/>
  <c r="H142" i="31"/>
  <c r="G7" i="31"/>
  <c r="I8" i="31"/>
  <c r="F7" i="31"/>
  <c r="C111" i="31"/>
  <c r="B111" i="31"/>
  <c r="H343" i="31"/>
  <c r="F342" i="31"/>
  <c r="D66" i="6"/>
  <c r="G820" i="31"/>
  <c r="C820" i="31" s="1"/>
  <c r="I821" i="31"/>
  <c r="F820" i="31"/>
  <c r="B224" i="31"/>
  <c r="C224" i="31"/>
  <c r="H445" i="31"/>
  <c r="F444" i="31"/>
  <c r="A19" i="9"/>
  <c r="D18" i="9"/>
  <c r="F18" i="9" s="1"/>
  <c r="C20" i="31"/>
  <c r="B20" i="31"/>
  <c r="H669" i="31"/>
  <c r="H1196" i="31"/>
  <c r="H105" i="31"/>
  <c r="F104" i="31"/>
  <c r="H866" i="31"/>
  <c r="F865" i="31"/>
  <c r="C442" i="31"/>
  <c r="B442" i="31"/>
  <c r="I1133" i="31"/>
  <c r="G1132" i="31"/>
  <c r="C1132" i="31" s="1"/>
  <c r="H490" i="31"/>
  <c r="F490" i="31" s="1"/>
  <c r="F489" i="31"/>
  <c r="C615" i="31"/>
  <c r="B615" i="31"/>
  <c r="F150" i="41"/>
  <c r="G150" i="41"/>
  <c r="I151" i="41"/>
  <c r="D150" i="41"/>
  <c r="F577" i="31"/>
  <c r="H578" i="31"/>
  <c r="H574" i="31"/>
  <c r="F573" i="31"/>
  <c r="H348" i="31"/>
  <c r="H353" i="31"/>
  <c r="F347" i="31"/>
  <c r="I1074" i="31"/>
  <c r="G1073" i="31"/>
  <c r="C1073" i="31" s="1"/>
  <c r="G1048" i="31"/>
  <c r="C1048" i="31" s="1"/>
  <c r="I1049" i="31"/>
  <c r="F1049" i="31" s="1"/>
  <c r="G1420" i="31"/>
  <c r="C1420" i="31" s="1"/>
  <c r="F1420" i="31"/>
  <c r="H1654" i="31"/>
  <c r="F1653" i="31"/>
  <c r="F123" i="31"/>
  <c r="H124" i="31"/>
  <c r="F332" i="31"/>
  <c r="H333" i="31"/>
  <c r="F1682" i="31"/>
  <c r="H1683" i="31"/>
  <c r="H130" i="31"/>
  <c r="F129" i="31"/>
  <c r="G112" i="31"/>
  <c r="I113" i="31"/>
  <c r="F112" i="31"/>
  <c r="C41" i="31"/>
  <c r="B41" i="31"/>
  <c r="H7" i="41"/>
  <c r="J8" i="41"/>
  <c r="G7" i="41"/>
  <c r="F434" i="31"/>
  <c r="H435" i="31"/>
  <c r="F708" i="31"/>
  <c r="H709" i="31"/>
  <c r="F1595" i="31"/>
  <c r="H1596" i="31"/>
  <c r="I882" i="31"/>
  <c r="G1426" i="31"/>
  <c r="C1426" i="31" s="1"/>
  <c r="H1583" i="31"/>
  <c r="F1583" i="31" s="1"/>
  <c r="F1582" i="31"/>
  <c r="J32" i="41"/>
  <c r="H31" i="41"/>
  <c r="B592" i="31"/>
  <c r="C592" i="31"/>
  <c r="F1499" i="31"/>
  <c r="G1499" i="31"/>
  <c r="H440" i="31"/>
  <c r="F439" i="31"/>
  <c r="C6" i="31"/>
  <c r="B6" i="31"/>
  <c r="H1050" i="31"/>
  <c r="H1038" i="31"/>
  <c r="F1037" i="31"/>
  <c r="F65" i="6"/>
  <c r="H1207" i="31"/>
  <c r="G225" i="31"/>
  <c r="F225" i="31"/>
  <c r="H720" i="31"/>
  <c r="F719" i="31"/>
  <c r="H731" i="31"/>
  <c r="I857" i="31"/>
  <c r="G856" i="31"/>
  <c r="C856" i="31" s="1"/>
  <c r="F856" i="31"/>
  <c r="F483" i="31"/>
  <c r="H484" i="31"/>
  <c r="F484" i="31" s="1"/>
  <c r="H583" i="31"/>
  <c r="F582" i="31"/>
  <c r="G42" i="31"/>
  <c r="I43" i="31"/>
  <c r="G43" i="31" s="1"/>
  <c r="H1529" i="31"/>
  <c r="F1529" i="31" s="1"/>
  <c r="F1528" i="31"/>
  <c r="I22" i="31"/>
  <c r="G21" i="31"/>
  <c r="D90" i="10"/>
  <c r="D91" i="10" s="1"/>
  <c r="J188" i="41"/>
  <c r="H187" i="41"/>
  <c r="H471" i="31"/>
  <c r="F470" i="31"/>
  <c r="C232" i="31"/>
  <c r="B232" i="31"/>
  <c r="F1523" i="31"/>
  <c r="G1523" i="31"/>
  <c r="I954" i="31"/>
  <c r="G953" i="31"/>
  <c r="C953" i="31" s="1"/>
  <c r="H698" i="31"/>
  <c r="F697" i="31"/>
  <c r="C188" i="31"/>
  <c r="B188" i="31"/>
  <c r="B1678" i="31"/>
  <c r="C1678" i="31"/>
  <c r="C148" i="31"/>
  <c r="B148" i="31"/>
  <c r="I1241" i="31"/>
  <c r="G1240" i="31"/>
  <c r="C1240" i="31" s="1"/>
  <c r="G59" i="10"/>
  <c r="F87" i="10"/>
  <c r="B231" i="31"/>
  <c r="C231" i="31"/>
  <c r="G424" i="31"/>
  <c r="F424" i="31"/>
  <c r="G713" i="31"/>
  <c r="C713" i="31" s="1"/>
  <c r="I714" i="31"/>
  <c r="G460" i="31"/>
  <c r="F460" i="31"/>
  <c r="I1399" i="31"/>
  <c r="G1398" i="31"/>
  <c r="C1398" i="31" s="1"/>
  <c r="B139" i="31"/>
  <c r="C139" i="31"/>
  <c r="G189" i="31"/>
  <c r="I190" i="31"/>
  <c r="G190" i="31" s="1"/>
  <c r="F117" i="31"/>
  <c r="H118" i="31"/>
  <c r="H859" i="31"/>
  <c r="G773" i="31"/>
  <c r="C773" i="31" s="1"/>
  <c r="I774" i="31"/>
  <c r="I1680" i="31"/>
  <c r="G1679" i="31"/>
  <c r="B147" i="31"/>
  <c r="C147" i="31"/>
  <c r="F686" i="31"/>
  <c r="H687" i="31"/>
  <c r="D59" i="41"/>
  <c r="F59" i="41"/>
  <c r="G59" i="41"/>
  <c r="H1272" i="31"/>
  <c r="F1271" i="31"/>
  <c r="H1283" i="31"/>
  <c r="C370" i="31"/>
  <c r="B370" i="31"/>
  <c r="H843" i="31"/>
  <c r="F842" i="31"/>
  <c r="I835" i="31"/>
  <c r="G834" i="31"/>
  <c r="C834" i="31" s="1"/>
  <c r="I1169" i="31"/>
  <c r="G1168" i="31"/>
  <c r="C1168" i="31" s="1"/>
  <c r="I701" i="31"/>
  <c r="G700" i="31"/>
  <c r="C700" i="31" s="1"/>
  <c r="D60" i="41"/>
  <c r="F60" i="41"/>
  <c r="I62" i="41"/>
  <c r="G60" i="41"/>
  <c r="I61" i="41"/>
  <c r="G316" i="31"/>
  <c r="F316" i="31"/>
  <c r="F1675" i="31"/>
  <c r="H1676" i="31"/>
  <c r="H823" i="31"/>
  <c r="H1669" i="31"/>
  <c r="F1668" i="31"/>
  <c r="H151" i="41"/>
  <c r="J152" i="41"/>
  <c r="C459" i="31"/>
  <c r="B459" i="31"/>
  <c r="I141" i="31"/>
  <c r="G141" i="31" s="1"/>
  <c r="G140" i="31"/>
  <c r="G1361" i="31"/>
  <c r="C1361" i="31" s="1"/>
  <c r="I1362" i="31"/>
  <c r="G322" i="31"/>
  <c r="C616" i="31"/>
  <c r="B616" i="31"/>
  <c r="F265" i="31"/>
  <c r="H266" i="31"/>
  <c r="H1698" i="31"/>
  <c r="F337" i="31"/>
  <c r="H338" i="31"/>
  <c r="M16" i="54" l="1"/>
  <c r="F37" i="56" s="1"/>
  <c r="M24" i="54"/>
  <c r="M39" i="54"/>
  <c r="M28" i="54"/>
  <c r="M36" i="54"/>
  <c r="M35" i="54"/>
  <c r="M13" i="54"/>
  <c r="M44" i="54"/>
  <c r="M20" i="54"/>
  <c r="F61" i="56" s="1"/>
  <c r="M14" i="54"/>
  <c r="F25" i="56" s="1"/>
  <c r="M33" i="54"/>
  <c r="M17" i="54"/>
  <c r="F43" i="56" s="1"/>
  <c r="M19" i="54"/>
  <c r="F55" i="56" s="1"/>
  <c r="M18" i="54"/>
  <c r="F49" i="56" s="1"/>
  <c r="M22" i="54"/>
  <c r="M43" i="54"/>
  <c r="M45" i="54"/>
  <c r="M41" i="54"/>
  <c r="M25" i="54"/>
  <c r="M21" i="54" s="1"/>
  <c r="M27" i="54"/>
  <c r="M26" i="54"/>
  <c r="M23" i="54"/>
  <c r="M34" i="54"/>
  <c r="M30" i="54" s="1"/>
  <c r="M15" i="54"/>
  <c r="F31" i="56" s="1"/>
  <c r="M37" i="54"/>
  <c r="M32" i="54"/>
  <c r="M31" i="54"/>
  <c r="M42" i="54"/>
  <c r="M38" i="54" s="1"/>
  <c r="M40" i="54"/>
  <c r="J14" i="54"/>
  <c r="F22" i="56" s="1"/>
  <c r="J13" i="54"/>
  <c r="F19" i="56"/>
  <c r="J27" i="54"/>
  <c r="J26" i="54"/>
  <c r="J42" i="54"/>
  <c r="J19" i="54"/>
  <c r="F52" i="56" s="1"/>
  <c r="J32" i="54"/>
  <c r="J43" i="54"/>
  <c r="J25" i="54"/>
  <c r="J44" i="54"/>
  <c r="J20" i="54"/>
  <c r="F58" i="56" s="1"/>
  <c r="J37" i="54"/>
  <c r="J35" i="54"/>
  <c r="J40" i="54"/>
  <c r="J17" i="54"/>
  <c r="F40" i="56" s="1"/>
  <c r="J24" i="54"/>
  <c r="J28" i="54"/>
  <c r="J36" i="54"/>
  <c r="J34" i="54"/>
  <c r="J15" i="54"/>
  <c r="F28" i="56" s="1"/>
  <c r="J23" i="54"/>
  <c r="J18" i="54"/>
  <c r="F46" i="56" s="1"/>
  <c r="J22" i="54"/>
  <c r="J16" i="54"/>
  <c r="F34" i="56" s="1"/>
  <c r="J45" i="54"/>
  <c r="J41" i="54"/>
  <c r="J39" i="54"/>
  <c r="J31" i="54"/>
  <c r="J33" i="54"/>
  <c r="B56" i="31"/>
  <c r="F1225" i="31"/>
  <c r="H1226" i="31"/>
  <c r="D151" i="56" a="1"/>
  <c r="D151" i="56" s="1"/>
  <c r="H162" i="56"/>
  <c r="D162" i="56" s="1" a="1"/>
  <c r="D162" i="56" s="1"/>
  <c r="H167" i="56"/>
  <c r="D171" i="56" a="1"/>
  <c r="D171" i="56" s="1"/>
  <c r="H172" i="56"/>
  <c r="H177" i="56"/>
  <c r="D176" i="56" a="1"/>
  <c r="D176" i="56" s="1"/>
  <c r="H182" i="56"/>
  <c r="H157" i="56"/>
  <c r="D156" i="56" a="1"/>
  <c r="D156" i="56" s="1"/>
  <c r="G880" i="31"/>
  <c r="C880" i="31" s="1"/>
  <c r="B411" i="31"/>
  <c r="C411" i="31"/>
  <c r="B412" i="31"/>
  <c r="C412" i="31"/>
  <c r="B441" i="31"/>
  <c r="B255" i="31"/>
  <c r="B1654" i="31"/>
  <c r="I211" i="31"/>
  <c r="G211" i="31" s="1"/>
  <c r="B211" i="31" s="1"/>
  <c r="B315" i="31"/>
  <c r="B310" i="31"/>
  <c r="H163" i="41"/>
  <c r="J164" i="41"/>
  <c r="H175" i="41"/>
  <c r="J176" i="41"/>
  <c r="F7" i="41"/>
  <c r="I8" i="41"/>
  <c r="D7" i="41"/>
  <c r="H236" i="41"/>
  <c r="J237" i="41"/>
  <c r="C351" i="31"/>
  <c r="B351" i="31"/>
  <c r="I200" i="41"/>
  <c r="F199" i="41"/>
  <c r="G199" i="41"/>
  <c r="D199" i="41"/>
  <c r="C352" i="31"/>
  <c r="B352" i="31"/>
  <c r="H19" i="41"/>
  <c r="J20" i="41"/>
  <c r="D32" i="6"/>
  <c r="J12" i="6"/>
  <c r="F31" i="6"/>
  <c r="J202" i="41"/>
  <c r="H201" i="41"/>
  <c r="F91" i="10"/>
  <c r="F66" i="10"/>
  <c r="H44" i="41"/>
  <c r="J45" i="41"/>
  <c r="J213" i="41"/>
  <c r="H212" i="41"/>
  <c r="J225" i="41"/>
  <c r="H224" i="41"/>
  <c r="H9" i="8"/>
  <c r="H34" i="7"/>
  <c r="G1205" i="31"/>
  <c r="C1205" i="31" s="1"/>
  <c r="C369" i="31"/>
  <c r="C238" i="31"/>
  <c r="F1476" i="31"/>
  <c r="I1088" i="31"/>
  <c r="I1089" i="31" s="1"/>
  <c r="G1086" i="31"/>
  <c r="C1086" i="31" s="1"/>
  <c r="I1206" i="31"/>
  <c r="F1206" i="31" s="1"/>
  <c r="B525" i="31"/>
  <c r="C525" i="31"/>
  <c r="C526" i="31"/>
  <c r="B526" i="31"/>
  <c r="F1249" i="31"/>
  <c r="C423" i="31"/>
  <c r="I966" i="31"/>
  <c r="G965" i="31"/>
  <c r="C965" i="31" s="1"/>
  <c r="F270" i="31"/>
  <c r="H276" i="31"/>
  <c r="F276" i="31" s="1"/>
  <c r="F1237" i="31"/>
  <c r="I690" i="31"/>
  <c r="G689" i="31"/>
  <c r="C689" i="31" s="1"/>
  <c r="I1098" i="31"/>
  <c r="G1097" i="31"/>
  <c r="C1097" i="31" s="1"/>
  <c r="B104" i="31"/>
  <c r="C104" i="31"/>
  <c r="F1260" i="31"/>
  <c r="I1325" i="31"/>
  <c r="G1324" i="31"/>
  <c r="C1324" i="31" s="1"/>
  <c r="H281" i="31"/>
  <c r="F281" i="31" s="1"/>
  <c r="F574" i="31"/>
  <c r="G105" i="31"/>
  <c r="I106" i="31"/>
  <c r="G106" i="31" s="1"/>
  <c r="I1385" i="31"/>
  <c r="G1384" i="31"/>
  <c r="C1384" i="31" s="1"/>
  <c r="G217" i="31"/>
  <c r="I218" i="31"/>
  <c r="F217" i="31"/>
  <c r="G1252" i="31"/>
  <c r="C1252" i="31" s="1"/>
  <c r="I1253" i="31"/>
  <c r="B216" i="31"/>
  <c r="C216" i="31"/>
  <c r="F1487" i="31"/>
  <c r="D37" i="31"/>
  <c r="D38" i="31" s="1"/>
  <c r="D39" i="31" s="1"/>
  <c r="D40" i="31" s="1"/>
  <c r="D41" i="31" s="1"/>
  <c r="D42" i="31" s="1"/>
  <c r="D43" i="31" s="1"/>
  <c r="F1535" i="31"/>
  <c r="I1278" i="31"/>
  <c r="G1277" i="31"/>
  <c r="C1277" i="31" s="1"/>
  <c r="G1145" i="31"/>
  <c r="C1145" i="31" s="1"/>
  <c r="I1146" i="31"/>
  <c r="H1746" i="31"/>
  <c r="H1747" i="31"/>
  <c r="G1565" i="31"/>
  <c r="F1565" i="31"/>
  <c r="C1694" i="31"/>
  <c r="B1694" i="31"/>
  <c r="B333" i="31"/>
  <c r="C333" i="31"/>
  <c r="F1192" i="31"/>
  <c r="I1193" i="31"/>
  <c r="G1192" i="31"/>
  <c r="C1192" i="31" s="1"/>
  <c r="G1024" i="31"/>
  <c r="C1024" i="31" s="1"/>
  <c r="I1025" i="31"/>
  <c r="G724" i="31"/>
  <c r="C724" i="31" s="1"/>
  <c r="I725" i="31"/>
  <c r="I1110" i="31"/>
  <c r="G1109" i="31"/>
  <c r="C1109" i="31" s="1"/>
  <c r="B658" i="31"/>
  <c r="C658" i="31"/>
  <c r="B1638" i="31"/>
  <c r="C1638" i="31"/>
  <c r="C334" i="31"/>
  <c r="B334" i="31"/>
  <c r="C262" i="31"/>
  <c r="B262" i="31"/>
  <c r="B161" i="31"/>
  <c r="C161" i="31"/>
  <c r="H322" i="31"/>
  <c r="F322" i="31" s="1"/>
  <c r="F321" i="31"/>
  <c r="B202" i="31"/>
  <c r="C202" i="31"/>
  <c r="I917" i="31"/>
  <c r="G916" i="31"/>
  <c r="C916" i="31" s="1"/>
  <c r="B657" i="31"/>
  <c r="C657" i="31"/>
  <c r="I1696" i="31"/>
  <c r="F1695" i="31"/>
  <c r="G1695" i="31"/>
  <c r="I1640" i="31"/>
  <c r="G1639" i="31"/>
  <c r="F1639" i="31"/>
  <c r="I1122" i="31"/>
  <c r="G1121" i="31"/>
  <c r="C1121" i="31" s="1"/>
  <c r="B261" i="31"/>
  <c r="C261" i="31"/>
  <c r="B162" i="31"/>
  <c r="C162" i="31"/>
  <c r="G976" i="31"/>
  <c r="C976" i="31" s="1"/>
  <c r="I977" i="31"/>
  <c r="G203" i="31"/>
  <c r="I204" i="31"/>
  <c r="G204" i="31" s="1"/>
  <c r="F1589" i="31"/>
  <c r="B580" i="31"/>
  <c r="C580" i="31"/>
  <c r="B78" i="31"/>
  <c r="C78" i="31"/>
  <c r="C153" i="31"/>
  <c r="B153" i="31"/>
  <c r="G49" i="31"/>
  <c r="I50" i="31"/>
  <c r="G50" i="31" s="1"/>
  <c r="H44" i="31"/>
  <c r="H38" i="31"/>
  <c r="F37" i="31"/>
  <c r="B244" i="31"/>
  <c r="C244" i="31"/>
  <c r="G91" i="31"/>
  <c r="I92" i="31"/>
  <c r="G92" i="31" s="1"/>
  <c r="C621" i="31"/>
  <c r="B621" i="31"/>
  <c r="C573" i="31"/>
  <c r="B573" i="31"/>
  <c r="B640" i="31"/>
  <c r="C640" i="31"/>
  <c r="C634" i="31"/>
  <c r="B634" i="31"/>
  <c r="I127" i="31"/>
  <c r="G127" i="31" s="1"/>
  <c r="G126" i="31"/>
  <c r="F244" i="31"/>
  <c r="I1688" i="31"/>
  <c r="G1687" i="31"/>
  <c r="B132" i="31"/>
  <c r="C132" i="31"/>
  <c r="C597" i="31"/>
  <c r="B597" i="31"/>
  <c r="G797" i="31"/>
  <c r="C797" i="31" s="1"/>
  <c r="I798" i="31"/>
  <c r="C586" i="31"/>
  <c r="B586" i="31"/>
  <c r="H20" i="31"/>
  <c r="F19" i="31"/>
  <c r="G1206" i="31"/>
  <c r="C1206" i="31" s="1"/>
  <c r="I1207" i="31"/>
  <c r="F1207" i="31" s="1"/>
  <c r="C77" i="31"/>
  <c r="B77" i="31"/>
  <c r="G1158" i="31"/>
  <c r="C1158" i="31" s="1"/>
  <c r="I1159" i="31"/>
  <c r="B243" i="31"/>
  <c r="C243" i="31"/>
  <c r="I15" i="31"/>
  <c r="G15" i="31" s="1"/>
  <c r="G14" i="31"/>
  <c r="B90" i="31"/>
  <c r="C90" i="31"/>
  <c r="B622" i="31"/>
  <c r="C622" i="31"/>
  <c r="F1080" i="31"/>
  <c r="H1081" i="31"/>
  <c r="B639" i="31"/>
  <c r="C639" i="31"/>
  <c r="I809" i="31"/>
  <c r="G808" i="31"/>
  <c r="C808" i="31" s="1"/>
  <c r="H230" i="31"/>
  <c r="F229" i="31"/>
  <c r="C633" i="31"/>
  <c r="B633" i="31"/>
  <c r="H255" i="31"/>
  <c r="F254" i="31"/>
  <c r="B646" i="31"/>
  <c r="C646" i="31"/>
  <c r="B567" i="31"/>
  <c r="C567" i="31"/>
  <c r="G761" i="31"/>
  <c r="C761" i="31" s="1"/>
  <c r="I762" i="31"/>
  <c r="B555" i="31"/>
  <c r="C555" i="31"/>
  <c r="C1686" i="31"/>
  <c r="B1686" i="31"/>
  <c r="I942" i="31"/>
  <c r="G941" i="31"/>
  <c r="C941" i="31" s="1"/>
  <c r="C598" i="31"/>
  <c r="B598" i="31"/>
  <c r="G1180" i="31"/>
  <c r="C1180" i="31" s="1"/>
  <c r="I1181" i="31"/>
  <c r="C628" i="31"/>
  <c r="B628" i="31"/>
  <c r="C579" i="31"/>
  <c r="B579" i="31"/>
  <c r="B585" i="31"/>
  <c r="C585" i="31"/>
  <c r="F1069" i="31"/>
  <c r="H1070" i="31"/>
  <c r="G1336" i="31"/>
  <c r="C1336" i="31" s="1"/>
  <c r="I1337" i="31"/>
  <c r="G154" i="31"/>
  <c r="I155" i="31"/>
  <c r="G155" i="31" s="1"/>
  <c r="G1302" i="31"/>
  <c r="C1302" i="31" s="1"/>
  <c r="I1303" i="31"/>
  <c r="B48" i="31"/>
  <c r="C48" i="31"/>
  <c r="H32" i="31"/>
  <c r="F31" i="31"/>
  <c r="F666" i="31"/>
  <c r="I667" i="31"/>
  <c r="G666" i="31"/>
  <c r="C666" i="31" s="1"/>
  <c r="C13" i="31"/>
  <c r="B13" i="31"/>
  <c r="B574" i="31"/>
  <c r="C574" i="31"/>
  <c r="H1103" i="31"/>
  <c r="F1091" i="31"/>
  <c r="H1092" i="31"/>
  <c r="H1059" i="31"/>
  <c r="F1058" i="31"/>
  <c r="F259" i="31"/>
  <c r="H260" i="31"/>
  <c r="F25" i="31"/>
  <c r="H26" i="31"/>
  <c r="B125" i="31"/>
  <c r="C125" i="31"/>
  <c r="B645" i="31"/>
  <c r="C645" i="31"/>
  <c r="G568" i="31"/>
  <c r="F568" i="31"/>
  <c r="G1012" i="31"/>
  <c r="C1012" i="31" s="1"/>
  <c r="I1013" i="31"/>
  <c r="G556" i="31"/>
  <c r="F556" i="31"/>
  <c r="I134" i="31"/>
  <c r="G134" i="31" s="1"/>
  <c r="G133" i="31"/>
  <c r="G1493" i="31"/>
  <c r="F1493" i="31"/>
  <c r="F1577" i="31"/>
  <c r="G1577" i="31"/>
  <c r="C627" i="31"/>
  <c r="B627" i="31"/>
  <c r="H505" i="31"/>
  <c r="F504" i="31"/>
  <c r="I1374" i="31"/>
  <c r="G1373" i="31"/>
  <c r="C1373" i="31" s="1"/>
  <c r="I786" i="31"/>
  <c r="G785" i="31"/>
  <c r="C785" i="31" s="1"/>
  <c r="K1717" i="31"/>
  <c r="K1719" i="31"/>
  <c r="H510" i="31"/>
  <c r="F509" i="31"/>
  <c r="H515" i="31"/>
  <c r="G1313" i="31"/>
  <c r="C1313" i="31" s="1"/>
  <c r="I1314" i="31"/>
  <c r="H495" i="31"/>
  <c r="F494" i="31"/>
  <c r="B250" i="31"/>
  <c r="C250" i="31"/>
  <c r="G1217" i="31"/>
  <c r="C1217" i="31" s="1"/>
  <c r="I1218" i="31"/>
  <c r="F499" i="31"/>
  <c r="H500" i="31"/>
  <c r="F1541" i="31"/>
  <c r="G1289" i="31"/>
  <c r="C1289" i="31" s="1"/>
  <c r="I1290" i="31"/>
  <c r="I895" i="31"/>
  <c r="G894" i="31"/>
  <c r="C894" i="31" s="1"/>
  <c r="G1656" i="31"/>
  <c r="I1657" i="31"/>
  <c r="G1657" i="31" s="1"/>
  <c r="I1002" i="31"/>
  <c r="G1001" i="31"/>
  <c r="C1001" i="31" s="1"/>
  <c r="B1646" i="31"/>
  <c r="C1646" i="31"/>
  <c r="F1553" i="31"/>
  <c r="F1610" i="31"/>
  <c r="H1611" i="31"/>
  <c r="F1238" i="31"/>
  <c r="H1239" i="31"/>
  <c r="C1672" i="31"/>
  <c r="B1672" i="31"/>
  <c r="C197" i="31"/>
  <c r="B197" i="31"/>
  <c r="F1215" i="31"/>
  <c r="H1216" i="31"/>
  <c r="C562" i="31"/>
  <c r="B562" i="31"/>
  <c r="F833" i="31"/>
  <c r="H834" i="31"/>
  <c r="C28" i="31"/>
  <c r="B28" i="31"/>
  <c r="I1061" i="31"/>
  <c r="G1060" i="31"/>
  <c r="C1060" i="31" s="1"/>
  <c r="C169" i="31"/>
  <c r="B169" i="31"/>
  <c r="H678" i="31"/>
  <c r="F677" i="31"/>
  <c r="H1435" i="31"/>
  <c r="F1434" i="31"/>
  <c r="I1352" i="31"/>
  <c r="G1351" i="31"/>
  <c r="C1351" i="31" s="1"/>
  <c r="G847" i="31"/>
  <c r="C847" i="31" s="1"/>
  <c r="I848" i="31"/>
  <c r="I1040" i="31"/>
  <c r="G1039" i="31"/>
  <c r="C1039" i="31" s="1"/>
  <c r="F1647" i="31"/>
  <c r="I1648" i="31"/>
  <c r="G1647" i="31"/>
  <c r="I930" i="31"/>
  <c r="G929" i="31"/>
  <c r="C929" i="31" s="1"/>
  <c r="B1663" i="31"/>
  <c r="C1663" i="31"/>
  <c r="G992" i="31"/>
  <c r="C992" i="31" s="1"/>
  <c r="I993" i="31"/>
  <c r="C1673" i="31"/>
  <c r="B1673" i="31"/>
  <c r="H1425" i="31"/>
  <c r="F1424" i="31"/>
  <c r="B210" i="31"/>
  <c r="C210" i="31"/>
  <c r="G1517" i="31"/>
  <c r="F1517" i="31"/>
  <c r="I750" i="31"/>
  <c r="G749" i="31"/>
  <c r="C749" i="31" s="1"/>
  <c r="G904" i="31"/>
  <c r="C904" i="31" s="1"/>
  <c r="I905" i="31"/>
  <c r="G29" i="31"/>
  <c r="I870" i="31"/>
  <c r="G869" i="31"/>
  <c r="C869" i="31" s="1"/>
  <c r="I1230" i="31"/>
  <c r="G1229" i="31"/>
  <c r="C1229" i="31" s="1"/>
  <c r="C168" i="31"/>
  <c r="B168" i="31"/>
  <c r="I738" i="31"/>
  <c r="G737" i="31"/>
  <c r="C737" i="31" s="1"/>
  <c r="F1439" i="31"/>
  <c r="H1440" i="31"/>
  <c r="H1445" i="31"/>
  <c r="B1655" i="31"/>
  <c r="C1655" i="31"/>
  <c r="G677" i="31"/>
  <c r="C677" i="31" s="1"/>
  <c r="I678" i="31"/>
  <c r="G1664" i="31"/>
  <c r="I1665" i="31"/>
  <c r="G1665" i="31" s="1"/>
  <c r="G1268" i="31"/>
  <c r="C1268" i="31" s="1"/>
  <c r="I1269" i="31"/>
  <c r="F1429" i="31"/>
  <c r="H1430" i="31"/>
  <c r="B196" i="31"/>
  <c r="C196" i="31"/>
  <c r="H1684" i="31"/>
  <c r="F1683" i="31"/>
  <c r="F8" i="31"/>
  <c r="G8" i="31"/>
  <c r="H1051" i="31"/>
  <c r="F435" i="31"/>
  <c r="H436" i="31"/>
  <c r="F436" i="31" s="1"/>
  <c r="G821" i="31"/>
  <c r="C821" i="31" s="1"/>
  <c r="I822" i="31"/>
  <c r="F821" i="31"/>
  <c r="B7" i="31"/>
  <c r="C7" i="31"/>
  <c r="F266" i="31"/>
  <c r="H267" i="31"/>
  <c r="H1670" i="31"/>
  <c r="F1669" i="31"/>
  <c r="H688" i="31"/>
  <c r="F687" i="31"/>
  <c r="G714" i="31"/>
  <c r="C714" i="31" s="1"/>
  <c r="I715" i="31"/>
  <c r="H188" i="41"/>
  <c r="J189" i="41"/>
  <c r="H1478" i="31"/>
  <c r="F1477" i="31"/>
  <c r="G113" i="31"/>
  <c r="F113" i="31"/>
  <c r="F333" i="31"/>
  <c r="H334" i="31"/>
  <c r="F334" i="31" s="1"/>
  <c r="H579" i="31"/>
  <c r="F578" i="31"/>
  <c r="F588" i="31"/>
  <c r="H589" i="31"/>
  <c r="G1680" i="31"/>
  <c r="I1681" i="31"/>
  <c r="G1681" i="31" s="1"/>
  <c r="F1038" i="31"/>
  <c r="H1039" i="31"/>
  <c r="H1699" i="31"/>
  <c r="H1208" i="31"/>
  <c r="F105" i="31"/>
  <c r="H106" i="31"/>
  <c r="F106" i="31" s="1"/>
  <c r="H1597" i="31"/>
  <c r="F1596" i="31"/>
  <c r="C112" i="31"/>
  <c r="B112" i="31"/>
  <c r="F271" i="31"/>
  <c r="H272" i="31"/>
  <c r="H1197" i="31"/>
  <c r="H143" i="31"/>
  <c r="H149" i="31"/>
  <c r="F142" i="31"/>
  <c r="F899" i="31"/>
  <c r="H911" i="31"/>
  <c r="H900" i="31"/>
  <c r="F1250" i="31"/>
  <c r="H1251" i="31"/>
  <c r="B141" i="31"/>
  <c r="C141" i="31"/>
  <c r="B316" i="31"/>
  <c r="C316" i="31"/>
  <c r="F118" i="31"/>
  <c r="H119" i="31"/>
  <c r="C21" i="31"/>
  <c r="B21" i="31"/>
  <c r="H743" i="31"/>
  <c r="F731" i="31"/>
  <c r="H732" i="31"/>
  <c r="G882" i="31"/>
  <c r="C882" i="31" s="1"/>
  <c r="I883" i="31"/>
  <c r="H125" i="31"/>
  <c r="F124" i="31"/>
  <c r="F888" i="31"/>
  <c r="H889" i="31"/>
  <c r="J44" i="10"/>
  <c r="F89" i="10"/>
  <c r="H152" i="41"/>
  <c r="J153" i="41"/>
  <c r="F1676" i="31"/>
  <c r="H1677" i="31"/>
  <c r="G1241" i="31"/>
  <c r="C1241" i="31" s="1"/>
  <c r="I1242" i="31"/>
  <c r="F66" i="6"/>
  <c r="I44" i="6"/>
  <c r="P44" i="6"/>
  <c r="D67" i="6"/>
  <c r="D68" i="6" s="1"/>
  <c r="C322" i="31"/>
  <c r="B322" i="31"/>
  <c r="G1362" i="31"/>
  <c r="C1362" i="31" s="1"/>
  <c r="I1363" i="31"/>
  <c r="F62" i="41"/>
  <c r="I64" i="41"/>
  <c r="G62" i="41"/>
  <c r="I63" i="41"/>
  <c r="D62" i="41"/>
  <c r="G1169" i="31"/>
  <c r="C1169" i="31" s="1"/>
  <c r="I1170" i="31"/>
  <c r="G835" i="31"/>
  <c r="C835" i="31" s="1"/>
  <c r="I836" i="31"/>
  <c r="G774" i="31"/>
  <c r="C774" i="31" s="1"/>
  <c r="I775" i="31"/>
  <c r="C424" i="31"/>
  <c r="B424" i="31"/>
  <c r="H699" i="31"/>
  <c r="F698" i="31"/>
  <c r="F90" i="10"/>
  <c r="K43" i="10"/>
  <c r="G22" i="31"/>
  <c r="H710" i="31"/>
  <c r="F709" i="31"/>
  <c r="H131" i="31"/>
  <c r="F130" i="31"/>
  <c r="I1050" i="31"/>
  <c r="F1050" i="31" s="1"/>
  <c r="G1049" i="31"/>
  <c r="C1049" i="31" s="1"/>
  <c r="H354" i="31"/>
  <c r="H359" i="31"/>
  <c r="F353" i="31"/>
  <c r="H867" i="31"/>
  <c r="F866" i="31"/>
  <c r="A20" i="9"/>
  <c r="D19" i="9"/>
  <c r="F19" i="9" s="1"/>
  <c r="H137" i="31"/>
  <c r="F136" i="31"/>
  <c r="H1663" i="31"/>
  <c r="F1662" i="31"/>
  <c r="F877" i="31"/>
  <c r="H878" i="31"/>
  <c r="I702" i="31"/>
  <c r="G701" i="31"/>
  <c r="C701" i="31" s="1"/>
  <c r="F1272" i="31"/>
  <c r="H1273" i="31"/>
  <c r="B460" i="31"/>
  <c r="C460" i="31"/>
  <c r="F151" i="41"/>
  <c r="G151" i="41"/>
  <c r="I152" i="41"/>
  <c r="D151" i="41"/>
  <c r="C140" i="31"/>
  <c r="B140" i="31"/>
  <c r="H472" i="31"/>
  <c r="F472" i="31" s="1"/>
  <c r="F471" i="31"/>
  <c r="F338" i="31"/>
  <c r="H339" i="31"/>
  <c r="H1284" i="31"/>
  <c r="H1295" i="31"/>
  <c r="F1283" i="31"/>
  <c r="C190" i="31"/>
  <c r="B190" i="31"/>
  <c r="C43" i="31"/>
  <c r="B43" i="31"/>
  <c r="G857" i="31"/>
  <c r="C857" i="31" s="1"/>
  <c r="I858" i="31"/>
  <c r="F857" i="31"/>
  <c r="H721" i="31"/>
  <c r="F720" i="31"/>
  <c r="H441" i="31"/>
  <c r="F440" i="31"/>
  <c r="H32" i="41"/>
  <c r="J33" i="41"/>
  <c r="H8" i="41"/>
  <c r="J9" i="41"/>
  <c r="G8" i="41"/>
  <c r="H349" i="31"/>
  <c r="F348" i="31"/>
  <c r="H860" i="31"/>
  <c r="B225" i="31"/>
  <c r="C225" i="31"/>
  <c r="G1074" i="31"/>
  <c r="C1074" i="31" s="1"/>
  <c r="I1075" i="31"/>
  <c r="F343" i="31"/>
  <c r="H344" i="31"/>
  <c r="F593" i="31"/>
  <c r="H594" i="31"/>
  <c r="H599" i="31"/>
  <c r="F583" i="31"/>
  <c r="H584" i="31"/>
  <c r="H1655" i="31"/>
  <c r="F1654" i="31"/>
  <c r="H670" i="31"/>
  <c r="H824" i="31"/>
  <c r="F61" i="41"/>
  <c r="G61" i="41"/>
  <c r="D61" i="41"/>
  <c r="F843" i="31"/>
  <c r="H844" i="31"/>
  <c r="F1261" i="31"/>
  <c r="H1262" i="31"/>
  <c r="C1679" i="31"/>
  <c r="B1679" i="31"/>
  <c r="B189" i="31"/>
  <c r="C189" i="31"/>
  <c r="I1400" i="31"/>
  <c r="G1399" i="31"/>
  <c r="C1399" i="31" s="1"/>
  <c r="I955" i="31"/>
  <c r="G954" i="31"/>
  <c r="C954" i="31" s="1"/>
  <c r="C42" i="31"/>
  <c r="B42" i="31"/>
  <c r="I1134" i="31"/>
  <c r="G1133" i="31"/>
  <c r="C1133" i="31" s="1"/>
  <c r="F445" i="31"/>
  <c r="H446" i="31"/>
  <c r="H451" i="31"/>
  <c r="F450" i="31"/>
  <c r="M12" i="54" l="1"/>
  <c r="J21" i="54"/>
  <c r="J38" i="54"/>
  <c r="J30" i="54"/>
  <c r="F16" i="56"/>
  <c r="J12" i="54"/>
  <c r="I12" i="4"/>
  <c r="F13" i="56"/>
  <c r="H1227" i="31"/>
  <c r="F1226" i="31"/>
  <c r="D167" i="56" a="1"/>
  <c r="D167" i="56" s="1"/>
  <c r="H168" i="56"/>
  <c r="D157" i="56" a="1"/>
  <c r="D157" i="56" s="1"/>
  <c r="H163" i="56"/>
  <c r="H183" i="56"/>
  <c r="D182" i="56" a="1"/>
  <c r="D182" i="56" s="1"/>
  <c r="H188" i="56"/>
  <c r="H178" i="56"/>
  <c r="D177" i="56" a="1"/>
  <c r="D177" i="56" s="1"/>
  <c r="H173" i="56"/>
  <c r="D172" i="56" a="1"/>
  <c r="D172" i="56" s="1"/>
  <c r="C211" i="31"/>
  <c r="G1088" i="31"/>
  <c r="C1088" i="31" s="1"/>
  <c r="H277" i="31"/>
  <c r="H278" i="31" s="1"/>
  <c r="J177" i="41"/>
  <c r="H176" i="41"/>
  <c r="H164" i="41"/>
  <c r="J165" i="41"/>
  <c r="J214" i="41"/>
  <c r="H213" i="41"/>
  <c r="H45" i="41"/>
  <c r="J46" i="41"/>
  <c r="J226" i="41"/>
  <c r="H225" i="41"/>
  <c r="F200" i="41"/>
  <c r="G200" i="41"/>
  <c r="I201" i="41"/>
  <c r="D200" i="41"/>
  <c r="J203" i="41"/>
  <c r="H202" i="41"/>
  <c r="H237" i="41"/>
  <c r="J238" i="41"/>
  <c r="F32" i="6"/>
  <c r="D33" i="6"/>
  <c r="I9" i="41"/>
  <c r="F8" i="41"/>
  <c r="D8" i="41"/>
  <c r="J21" i="41"/>
  <c r="H20" i="41"/>
  <c r="H9" i="12"/>
  <c r="H34" i="8"/>
  <c r="H287" i="31"/>
  <c r="F287" i="31" s="1"/>
  <c r="G690" i="31"/>
  <c r="C690" i="31" s="1"/>
  <c r="I691" i="31"/>
  <c r="G966" i="31"/>
  <c r="C966" i="31" s="1"/>
  <c r="I967" i="31"/>
  <c r="B106" i="31"/>
  <c r="C106" i="31"/>
  <c r="H282" i="31"/>
  <c r="H283" i="31" s="1"/>
  <c r="B105" i="31"/>
  <c r="C105" i="31"/>
  <c r="I1099" i="31"/>
  <c r="G1098" i="31"/>
  <c r="C1098" i="31" s="1"/>
  <c r="I1326" i="31"/>
  <c r="G1325" i="31"/>
  <c r="C1325" i="31" s="1"/>
  <c r="H1749" i="31"/>
  <c r="H1748" i="31"/>
  <c r="I1147" i="31"/>
  <c r="G1146" i="31"/>
  <c r="C1146" i="31" s="1"/>
  <c r="I1279" i="31"/>
  <c r="G1278" i="31"/>
  <c r="C1278" i="31" s="1"/>
  <c r="G1253" i="31"/>
  <c r="C1253" i="31" s="1"/>
  <c r="I1254" i="31"/>
  <c r="F218" i="31"/>
  <c r="G218" i="31"/>
  <c r="I1386" i="31"/>
  <c r="G1385" i="31"/>
  <c r="C1385" i="31" s="1"/>
  <c r="C217" i="31"/>
  <c r="B217" i="31"/>
  <c r="B203" i="31"/>
  <c r="C203" i="31"/>
  <c r="C1695" i="31"/>
  <c r="B1695" i="31"/>
  <c r="I918" i="31"/>
  <c r="G917" i="31"/>
  <c r="C917" i="31" s="1"/>
  <c r="G977" i="31"/>
  <c r="C977" i="31" s="1"/>
  <c r="I978" i="31"/>
  <c r="C1639" i="31"/>
  <c r="B1639" i="31"/>
  <c r="I1111" i="31"/>
  <c r="G1110" i="31"/>
  <c r="C1110" i="31" s="1"/>
  <c r="I1026" i="31"/>
  <c r="G1025" i="31"/>
  <c r="C1025" i="31" s="1"/>
  <c r="I1194" i="31"/>
  <c r="F1193" i="31"/>
  <c r="G1193" i="31"/>
  <c r="C1193" i="31" s="1"/>
  <c r="C204" i="31"/>
  <c r="B204" i="31"/>
  <c r="I1123" i="31"/>
  <c r="G1122" i="31"/>
  <c r="C1122" i="31" s="1"/>
  <c r="F1640" i="31"/>
  <c r="I1641" i="31"/>
  <c r="G1640" i="31"/>
  <c r="G1696" i="31"/>
  <c r="F1696" i="31"/>
  <c r="I1697" i="31"/>
  <c r="I726" i="31"/>
  <c r="G725" i="31"/>
  <c r="C725" i="31" s="1"/>
  <c r="F260" i="31"/>
  <c r="H261" i="31"/>
  <c r="H1060" i="31"/>
  <c r="F1059" i="31"/>
  <c r="H1104" i="31"/>
  <c r="H1115" i="31"/>
  <c r="F1103" i="31"/>
  <c r="F667" i="31"/>
  <c r="G667" i="31"/>
  <c r="C667" i="31" s="1"/>
  <c r="I668" i="31"/>
  <c r="H33" i="31"/>
  <c r="F32" i="31"/>
  <c r="G1303" i="31"/>
  <c r="C1303" i="31" s="1"/>
  <c r="I1304" i="31"/>
  <c r="C154" i="31"/>
  <c r="B154" i="31"/>
  <c r="H1071" i="31"/>
  <c r="F1070" i="31"/>
  <c r="G762" i="31"/>
  <c r="C762" i="31" s="1"/>
  <c r="I763" i="31"/>
  <c r="G809" i="31"/>
  <c r="C809" i="31" s="1"/>
  <c r="I810" i="31"/>
  <c r="F1081" i="31"/>
  <c r="H1082" i="31"/>
  <c r="C14" i="31"/>
  <c r="B14" i="31"/>
  <c r="I1689" i="31"/>
  <c r="G1689" i="31" s="1"/>
  <c r="G1688" i="31"/>
  <c r="B127" i="31"/>
  <c r="C127" i="31"/>
  <c r="B91" i="31"/>
  <c r="C91" i="31"/>
  <c r="C50" i="31"/>
  <c r="B50" i="31"/>
  <c r="C133" i="31"/>
  <c r="B133" i="31"/>
  <c r="C556" i="31"/>
  <c r="B556" i="31"/>
  <c r="H27" i="31"/>
  <c r="F26" i="31"/>
  <c r="H1093" i="31"/>
  <c r="F1092" i="31"/>
  <c r="I1338" i="31"/>
  <c r="G1337" i="31"/>
  <c r="C1337" i="31" s="1"/>
  <c r="I943" i="31"/>
  <c r="G942" i="31"/>
  <c r="C942" i="31" s="1"/>
  <c r="F255" i="31"/>
  <c r="H256" i="31"/>
  <c r="F256" i="31" s="1"/>
  <c r="H231" i="31"/>
  <c r="F230" i="31"/>
  <c r="C15" i="31"/>
  <c r="B15" i="31"/>
  <c r="I1160" i="31"/>
  <c r="G1159" i="31"/>
  <c r="C1159" i="31" s="1"/>
  <c r="F38" i="31"/>
  <c r="H39" i="31"/>
  <c r="C49" i="31"/>
  <c r="B49" i="31"/>
  <c r="C134" i="31"/>
  <c r="B134" i="31"/>
  <c r="I1014" i="31"/>
  <c r="G1013" i="31"/>
  <c r="C1013" i="31" s="1"/>
  <c r="C568" i="31"/>
  <c r="B568" i="31"/>
  <c r="C155" i="31"/>
  <c r="B155" i="31"/>
  <c r="G1181" i="31"/>
  <c r="C1181" i="31" s="1"/>
  <c r="I1182" i="31"/>
  <c r="G1207" i="31"/>
  <c r="C1207" i="31" s="1"/>
  <c r="I1208" i="31"/>
  <c r="F1208" i="31" s="1"/>
  <c r="H21" i="31"/>
  <c r="F20" i="31"/>
  <c r="G798" i="31"/>
  <c r="C798" i="31" s="1"/>
  <c r="I799" i="31"/>
  <c r="C1687" i="31"/>
  <c r="B1687" i="31"/>
  <c r="C126" i="31"/>
  <c r="B126" i="31"/>
  <c r="B92" i="31"/>
  <c r="C92" i="31"/>
  <c r="H45" i="31"/>
  <c r="F44" i="31"/>
  <c r="H51" i="31"/>
  <c r="F15" i="31"/>
  <c r="I1219" i="31"/>
  <c r="G1218" i="31"/>
  <c r="C1218" i="31" s="1"/>
  <c r="F510" i="31"/>
  <c r="H511" i="31"/>
  <c r="G1374" i="31"/>
  <c r="C1374" i="31" s="1"/>
  <c r="I1375" i="31"/>
  <c r="F500" i="31"/>
  <c r="H501" i="31"/>
  <c r="H496" i="31"/>
  <c r="F496" i="31" s="1"/>
  <c r="F495" i="31"/>
  <c r="H521" i="31"/>
  <c r="F515" i="31"/>
  <c r="H516" i="31"/>
  <c r="K1721" i="31"/>
  <c r="K1723" i="31"/>
  <c r="K1720" i="31"/>
  <c r="G786" i="31"/>
  <c r="C786" i="31" s="1"/>
  <c r="I787" i="31"/>
  <c r="G1314" i="31"/>
  <c r="C1314" i="31" s="1"/>
  <c r="I1315" i="31"/>
  <c r="H506" i="31"/>
  <c r="F505" i="31"/>
  <c r="H1431" i="31"/>
  <c r="F1430" i="31"/>
  <c r="C1664" i="31"/>
  <c r="B1664" i="31"/>
  <c r="I1231" i="31"/>
  <c r="G1230" i="31"/>
  <c r="C1230" i="31" s="1"/>
  <c r="H1426" i="31"/>
  <c r="F1426" i="31" s="1"/>
  <c r="F1425" i="31"/>
  <c r="G993" i="31"/>
  <c r="C993" i="31" s="1"/>
  <c r="I994" i="31"/>
  <c r="G994" i="31" s="1"/>
  <c r="C994" i="31" s="1"/>
  <c r="B1647" i="31"/>
  <c r="C1647" i="31"/>
  <c r="H679" i="31"/>
  <c r="F678" i="31"/>
  <c r="F1216" i="31"/>
  <c r="H1217" i="31"/>
  <c r="H1240" i="31"/>
  <c r="F1239" i="31"/>
  <c r="C1657" i="31"/>
  <c r="B1657" i="31"/>
  <c r="G678" i="31"/>
  <c r="C678" i="31" s="1"/>
  <c r="I679" i="31"/>
  <c r="H1446" i="31"/>
  <c r="F1445" i="31"/>
  <c r="H1451" i="31"/>
  <c r="C29" i="31"/>
  <c r="B29" i="31"/>
  <c r="I906" i="31"/>
  <c r="G905" i="31"/>
  <c r="C905" i="31" s="1"/>
  <c r="G750" i="31"/>
  <c r="C750" i="31" s="1"/>
  <c r="I751" i="31"/>
  <c r="F1648" i="31"/>
  <c r="G1648" i="31"/>
  <c r="I1649" i="31"/>
  <c r="I1041" i="31"/>
  <c r="G1040" i="31"/>
  <c r="C1040" i="31" s="1"/>
  <c r="F1435" i="31"/>
  <c r="H1436" i="31"/>
  <c r="C1656" i="31"/>
  <c r="B1656" i="31"/>
  <c r="G1269" i="31"/>
  <c r="C1269" i="31" s="1"/>
  <c r="I1270" i="31"/>
  <c r="G1270" i="31" s="1"/>
  <c r="C1270" i="31" s="1"/>
  <c r="B1665" i="31"/>
  <c r="C1665" i="31"/>
  <c r="F1440" i="31"/>
  <c r="H1441" i="31"/>
  <c r="G738" i="31"/>
  <c r="C738" i="31" s="1"/>
  <c r="I739" i="31"/>
  <c r="G870" i="31"/>
  <c r="C870" i="31" s="1"/>
  <c r="I871" i="31"/>
  <c r="G930" i="31"/>
  <c r="C930" i="31" s="1"/>
  <c r="I931" i="31"/>
  <c r="I849" i="31"/>
  <c r="G848" i="31"/>
  <c r="C848" i="31" s="1"/>
  <c r="G1352" i="31"/>
  <c r="C1352" i="31" s="1"/>
  <c r="I1353" i="31"/>
  <c r="G1061" i="31"/>
  <c r="C1061" i="31" s="1"/>
  <c r="I1062" i="31"/>
  <c r="H835" i="31"/>
  <c r="F834" i="31"/>
  <c r="F1611" i="31"/>
  <c r="H1612" i="31"/>
  <c r="G1002" i="31"/>
  <c r="C1002" i="31" s="1"/>
  <c r="I1003" i="31"/>
  <c r="I896" i="31"/>
  <c r="G895" i="31"/>
  <c r="C895" i="31" s="1"/>
  <c r="I1291" i="31"/>
  <c r="G1290" i="31"/>
  <c r="C1290" i="31" s="1"/>
  <c r="F68" i="6"/>
  <c r="D69" i="6"/>
  <c r="F69" i="6" s="1"/>
  <c r="H1285" i="31"/>
  <c r="F1284" i="31"/>
  <c r="G836" i="31"/>
  <c r="C836" i="31" s="1"/>
  <c r="I837" i="31"/>
  <c r="F272" i="31"/>
  <c r="H273" i="31"/>
  <c r="I956" i="31"/>
  <c r="G955" i="31"/>
  <c r="C955" i="31" s="1"/>
  <c r="H1209" i="31"/>
  <c r="H590" i="31"/>
  <c r="F589" i="31"/>
  <c r="C8" i="31"/>
  <c r="B8" i="31"/>
  <c r="H447" i="31"/>
  <c r="F446" i="31"/>
  <c r="H288" i="31"/>
  <c r="F441" i="31"/>
  <c r="H442" i="31"/>
  <c r="F442" i="31" s="1"/>
  <c r="F152" i="41"/>
  <c r="G152" i="41"/>
  <c r="D152" i="41"/>
  <c r="I153" i="41"/>
  <c r="G702" i="31"/>
  <c r="C702" i="31" s="1"/>
  <c r="I703" i="31"/>
  <c r="H138" i="31"/>
  <c r="F137" i="31"/>
  <c r="C22" i="31"/>
  <c r="B22" i="31"/>
  <c r="G1170" i="31"/>
  <c r="C1170" i="31" s="1"/>
  <c r="I1171" i="31"/>
  <c r="H1678" i="31"/>
  <c r="F1677" i="31"/>
  <c r="G883" i="31"/>
  <c r="C883" i="31" s="1"/>
  <c r="I884" i="31"/>
  <c r="F1251" i="31"/>
  <c r="H1252" i="31"/>
  <c r="H150" i="31"/>
  <c r="H156" i="31"/>
  <c r="F149" i="31"/>
  <c r="F1478" i="31"/>
  <c r="H1479" i="31"/>
  <c r="I716" i="31"/>
  <c r="G715" i="31"/>
  <c r="C715" i="31" s="1"/>
  <c r="F277" i="31"/>
  <c r="H600" i="31"/>
  <c r="F599" i="31"/>
  <c r="H605" i="31"/>
  <c r="F688" i="31"/>
  <c r="H689" i="31"/>
  <c r="G1242" i="31"/>
  <c r="C1242" i="31" s="1"/>
  <c r="I1243" i="31"/>
  <c r="H9" i="41"/>
  <c r="J10" i="41"/>
  <c r="G9" i="41"/>
  <c r="H1052" i="31"/>
  <c r="H585" i="31"/>
  <c r="F584" i="31"/>
  <c r="F344" i="31"/>
  <c r="H345" i="31"/>
  <c r="F721" i="31"/>
  <c r="H722" i="31"/>
  <c r="H365" i="31"/>
  <c r="F359" i="31"/>
  <c r="H360" i="31"/>
  <c r="H153" i="41"/>
  <c r="J154" i="41"/>
  <c r="H733" i="31"/>
  <c r="F732" i="31"/>
  <c r="F900" i="31"/>
  <c r="H901" i="31"/>
  <c r="B1680" i="31"/>
  <c r="C1680" i="31"/>
  <c r="H189" i="41"/>
  <c r="J190" i="41"/>
  <c r="H1685" i="31"/>
  <c r="F1684" i="31"/>
  <c r="F594" i="31"/>
  <c r="H595" i="31"/>
  <c r="F867" i="31"/>
  <c r="H868" i="31"/>
  <c r="G1400" i="31"/>
  <c r="C1400" i="31" s="1"/>
  <c r="I1401" i="31"/>
  <c r="B1681" i="31"/>
  <c r="C1681" i="31"/>
  <c r="G1134" i="31"/>
  <c r="C1134" i="31" s="1"/>
  <c r="I1135" i="31"/>
  <c r="F878" i="31"/>
  <c r="H879" i="31"/>
  <c r="F354" i="31"/>
  <c r="H355" i="31"/>
  <c r="D63" i="41"/>
  <c r="F63" i="41"/>
  <c r="G63" i="41"/>
  <c r="F911" i="31"/>
  <c r="H923" i="31"/>
  <c r="H912" i="31"/>
  <c r="G822" i="31"/>
  <c r="C822" i="31" s="1"/>
  <c r="I823" i="31"/>
  <c r="F822" i="31"/>
  <c r="H845" i="31"/>
  <c r="F844" i="31"/>
  <c r="H1656" i="31"/>
  <c r="F1655" i="31"/>
  <c r="F699" i="31"/>
  <c r="H700" i="31"/>
  <c r="H825" i="31"/>
  <c r="G1075" i="31"/>
  <c r="C1075" i="31" s="1"/>
  <c r="I1076" i="31"/>
  <c r="D38" i="26"/>
  <c r="D44" i="31"/>
  <c r="D45" i="31" s="1"/>
  <c r="D46" i="31" s="1"/>
  <c r="D47" i="31" s="1"/>
  <c r="D48" i="31" s="1"/>
  <c r="D49" i="31" s="1"/>
  <c r="D50" i="31" s="1"/>
  <c r="F131" i="31"/>
  <c r="H132" i="31"/>
  <c r="I776" i="31"/>
  <c r="G775" i="31"/>
  <c r="C775" i="31" s="1"/>
  <c r="H1598" i="31"/>
  <c r="F1597" i="31"/>
  <c r="H580" i="31"/>
  <c r="F580" i="31" s="1"/>
  <c r="F579" i="31"/>
  <c r="B113" i="31"/>
  <c r="C113" i="31"/>
  <c r="H861" i="31"/>
  <c r="F1663" i="31"/>
  <c r="H1664" i="31"/>
  <c r="H711" i="31"/>
  <c r="F710" i="31"/>
  <c r="F67" i="6"/>
  <c r="J45" i="6"/>
  <c r="F889" i="31"/>
  <c r="H890" i="31"/>
  <c r="H120" i="31"/>
  <c r="F120" i="31" s="1"/>
  <c r="F119" i="31"/>
  <c r="F267" i="31"/>
  <c r="H268" i="31"/>
  <c r="F268" i="31" s="1"/>
  <c r="I1364" i="31"/>
  <c r="G1363" i="31"/>
  <c r="C1363" i="31" s="1"/>
  <c r="F339" i="31"/>
  <c r="H340" i="31"/>
  <c r="F340" i="31" s="1"/>
  <c r="H144" i="31"/>
  <c r="F143" i="31"/>
  <c r="F349" i="31"/>
  <c r="H350" i="31"/>
  <c r="I859" i="31"/>
  <c r="G858" i="31"/>
  <c r="C858" i="31" s="1"/>
  <c r="F858" i="31"/>
  <c r="H1296" i="31"/>
  <c r="F1295" i="31"/>
  <c r="H1307" i="31"/>
  <c r="H452" i="31"/>
  <c r="F451" i="31"/>
  <c r="F1262" i="31"/>
  <c r="H1263" i="31"/>
  <c r="J34" i="41"/>
  <c r="H33" i="41"/>
  <c r="F1273" i="31"/>
  <c r="H1274" i="31"/>
  <c r="A21" i="9"/>
  <c r="D20" i="9"/>
  <c r="F20" i="9" s="1"/>
  <c r="I1051" i="31"/>
  <c r="G1050" i="31"/>
  <c r="C1050" i="31" s="1"/>
  <c r="D64" i="41"/>
  <c r="G64" i="41"/>
  <c r="I65" i="41"/>
  <c r="I66" i="41"/>
  <c r="F64" i="41"/>
  <c r="F125" i="31"/>
  <c r="H126" i="31"/>
  <c r="F743" i="31"/>
  <c r="H755" i="31"/>
  <c r="H744" i="31"/>
  <c r="H1198" i="31"/>
  <c r="H1040" i="31"/>
  <c r="F1039" i="31"/>
  <c r="I1090" i="31"/>
  <c r="G1090" i="31" s="1"/>
  <c r="C1090" i="31" s="1"/>
  <c r="G1089" i="31"/>
  <c r="C1089" i="31" s="1"/>
  <c r="H1671" i="31"/>
  <c r="F1670" i="31"/>
  <c r="J29" i="54" l="1"/>
  <c r="I10" i="4"/>
  <c r="F1738" i="31" s="1"/>
  <c r="F1742" i="31"/>
  <c r="H12" i="4"/>
  <c r="F10" i="56"/>
  <c r="H293" i="31"/>
  <c r="H1228" i="31"/>
  <c r="F1227" i="31"/>
  <c r="D163" i="56" a="1"/>
  <c r="D163" i="56" s="1"/>
  <c r="H169" i="56"/>
  <c r="D168" i="56" a="1"/>
  <c r="D168" i="56" s="1"/>
  <c r="H174" i="56"/>
  <c r="D173" i="56" a="1"/>
  <c r="D173" i="56" s="1"/>
  <c r="H179" i="56"/>
  <c r="D178" i="56" a="1"/>
  <c r="D178" i="56" s="1"/>
  <c r="D188" i="56" a="1"/>
  <c r="D188" i="56" s="1"/>
  <c r="H189" i="56"/>
  <c r="H194" i="56"/>
  <c r="H184" i="56"/>
  <c r="D183" i="56" a="1"/>
  <c r="D183" i="56" s="1"/>
  <c r="D70" i="6"/>
  <c r="H165" i="41"/>
  <c r="J166" i="41"/>
  <c r="J178" i="41"/>
  <c r="H177" i="41"/>
  <c r="H203" i="41"/>
  <c r="J204" i="41"/>
  <c r="I202" i="41"/>
  <c r="F201" i="41"/>
  <c r="G201" i="41"/>
  <c r="D201" i="41"/>
  <c r="H21" i="41"/>
  <c r="J22" i="41"/>
  <c r="I10" i="41"/>
  <c r="F9" i="41"/>
  <c r="D9" i="41"/>
  <c r="H226" i="41"/>
  <c r="J227" i="41"/>
  <c r="K13" i="6"/>
  <c r="F33" i="6"/>
  <c r="D35" i="6"/>
  <c r="L13" i="6" s="1"/>
  <c r="H46" i="41"/>
  <c r="J47" i="41"/>
  <c r="H238" i="41"/>
  <c r="J239" i="41"/>
  <c r="H214" i="41"/>
  <c r="J215" i="41"/>
  <c r="F282" i="31"/>
  <c r="I692" i="31"/>
  <c r="G691" i="31"/>
  <c r="C691" i="31" s="1"/>
  <c r="G967" i="31"/>
  <c r="C967" i="31" s="1"/>
  <c r="I968" i="31"/>
  <c r="G1099" i="31"/>
  <c r="C1099" i="31" s="1"/>
  <c r="I1100" i="31"/>
  <c r="G1326" i="31"/>
  <c r="C1326" i="31" s="1"/>
  <c r="I1327" i="31"/>
  <c r="C218" i="31"/>
  <c r="B218" i="31"/>
  <c r="G1147" i="31"/>
  <c r="C1147" i="31" s="1"/>
  <c r="I1148" i="31"/>
  <c r="H1751" i="31"/>
  <c r="H1750" i="31"/>
  <c r="G1386" i="31"/>
  <c r="C1386" i="31" s="1"/>
  <c r="I1387" i="31"/>
  <c r="I1255" i="31"/>
  <c r="G1254" i="31"/>
  <c r="C1254" i="31" s="1"/>
  <c r="I1280" i="31"/>
  <c r="G1279" i="31"/>
  <c r="C1279" i="31" s="1"/>
  <c r="I1698" i="31"/>
  <c r="G1697" i="31"/>
  <c r="C1640" i="31"/>
  <c r="B1640" i="31"/>
  <c r="G1194" i="31"/>
  <c r="C1194" i="31" s="1"/>
  <c r="F1194" i="31"/>
  <c r="I1195" i="31"/>
  <c r="D51" i="31"/>
  <c r="D52" i="31" s="1"/>
  <c r="D53" i="31" s="1"/>
  <c r="D54" i="31" s="1"/>
  <c r="D55" i="31" s="1"/>
  <c r="D56" i="31" s="1"/>
  <c r="D57" i="31" s="1"/>
  <c r="G1641" i="31"/>
  <c r="F1641" i="31"/>
  <c r="I1124" i="31"/>
  <c r="G1123" i="31"/>
  <c r="C1123" i="31" s="1"/>
  <c r="G1111" i="31"/>
  <c r="C1111" i="31" s="1"/>
  <c r="I1112" i="31"/>
  <c r="G978" i="31"/>
  <c r="C978" i="31" s="1"/>
  <c r="I979" i="31"/>
  <c r="G918" i="31"/>
  <c r="C918" i="31" s="1"/>
  <c r="I919" i="31"/>
  <c r="I727" i="31"/>
  <c r="G726" i="31"/>
  <c r="C726" i="31" s="1"/>
  <c r="C1696" i="31"/>
  <c r="B1696" i="31"/>
  <c r="I1027" i="31"/>
  <c r="G1026" i="31"/>
  <c r="C1026" i="31" s="1"/>
  <c r="G1208" i="31"/>
  <c r="C1208" i="31" s="1"/>
  <c r="I1209" i="31"/>
  <c r="F1209" i="31" s="1"/>
  <c r="G1014" i="31"/>
  <c r="C1014" i="31" s="1"/>
  <c r="I1015" i="31"/>
  <c r="F1093" i="31"/>
  <c r="H1094" i="31"/>
  <c r="F668" i="31"/>
  <c r="G668" i="31"/>
  <c r="C668" i="31" s="1"/>
  <c r="I669" i="31"/>
  <c r="H46" i="31"/>
  <c r="F45" i="31"/>
  <c r="G1160" i="31"/>
  <c r="C1160" i="31" s="1"/>
  <c r="I1161" i="31"/>
  <c r="I1339" i="31"/>
  <c r="G1338" i="31"/>
  <c r="C1338" i="31" s="1"/>
  <c r="C1688" i="31"/>
  <c r="B1688" i="31"/>
  <c r="G810" i="31"/>
  <c r="C810" i="31" s="1"/>
  <c r="I811" i="31"/>
  <c r="H1127" i="31"/>
  <c r="H1116" i="31"/>
  <c r="F1115" i="31"/>
  <c r="H1061" i="31"/>
  <c r="F1060" i="31"/>
  <c r="H52" i="31"/>
  <c r="F51" i="31"/>
  <c r="H58" i="31"/>
  <c r="I800" i="31"/>
  <c r="G799" i="31"/>
  <c r="C799" i="31" s="1"/>
  <c r="H22" i="31"/>
  <c r="F22" i="31" s="1"/>
  <c r="F21" i="31"/>
  <c r="G1182" i="31"/>
  <c r="C1182" i="31" s="1"/>
  <c r="I1183" i="31"/>
  <c r="H40" i="31"/>
  <c r="F39" i="31"/>
  <c r="H232" i="31"/>
  <c r="F232" i="31" s="1"/>
  <c r="F231" i="31"/>
  <c r="G943" i="31"/>
  <c r="C943" i="31" s="1"/>
  <c r="I944" i="31"/>
  <c r="H28" i="31"/>
  <c r="F27" i="31"/>
  <c r="B1689" i="31"/>
  <c r="C1689" i="31"/>
  <c r="H1083" i="31"/>
  <c r="F1082" i="31"/>
  <c r="G763" i="31"/>
  <c r="C763" i="31" s="1"/>
  <c r="I764" i="31"/>
  <c r="H1072" i="31"/>
  <c r="F1071" i="31"/>
  <c r="I1305" i="31"/>
  <c r="G1304" i="31"/>
  <c r="C1304" i="31" s="1"/>
  <c r="F33" i="31"/>
  <c r="H34" i="31"/>
  <c r="H1105" i="31"/>
  <c r="F1104" i="31"/>
  <c r="F261" i="31"/>
  <c r="H262" i="31"/>
  <c r="F262" i="31" s="1"/>
  <c r="I788" i="31"/>
  <c r="G787" i="31"/>
  <c r="C787" i="31" s="1"/>
  <c r="I1376" i="31"/>
  <c r="G1375" i="31"/>
  <c r="C1375" i="31" s="1"/>
  <c r="F506" i="31"/>
  <c r="H507" i="31"/>
  <c r="H527" i="31"/>
  <c r="F521" i="31"/>
  <c r="H522" i="31"/>
  <c r="H502" i="31"/>
  <c r="F502" i="31" s="1"/>
  <c r="F501" i="31"/>
  <c r="G1315" i="31"/>
  <c r="C1315" i="31" s="1"/>
  <c r="I1316" i="31"/>
  <c r="K1724" i="31"/>
  <c r="K1722" i="31"/>
  <c r="H517" i="31"/>
  <c r="F516" i="31"/>
  <c r="H512" i="31"/>
  <c r="F511" i="31"/>
  <c r="G1219" i="31"/>
  <c r="C1219" i="31" s="1"/>
  <c r="I1220" i="31"/>
  <c r="I897" i="31"/>
  <c r="G896" i="31"/>
  <c r="C896" i="31" s="1"/>
  <c r="F1612" i="31"/>
  <c r="H1613" i="31"/>
  <c r="H836" i="31"/>
  <c r="F835" i="31"/>
  <c r="H1442" i="31"/>
  <c r="F1441" i="31"/>
  <c r="B1648" i="31"/>
  <c r="C1648" i="31"/>
  <c r="F1217" i="31"/>
  <c r="H1218" i="31"/>
  <c r="F679" i="31"/>
  <c r="H680" i="31"/>
  <c r="G1231" i="31"/>
  <c r="C1231" i="31" s="1"/>
  <c r="I1232" i="31"/>
  <c r="I1292" i="31"/>
  <c r="G1291" i="31"/>
  <c r="C1291" i="31" s="1"/>
  <c r="I1004" i="31"/>
  <c r="G1003" i="31"/>
  <c r="C1003" i="31" s="1"/>
  <c r="G1353" i="31"/>
  <c r="C1353" i="31" s="1"/>
  <c r="I1354" i="31"/>
  <c r="G1354" i="31" s="1"/>
  <c r="C1354" i="31" s="1"/>
  <c r="I850" i="31"/>
  <c r="G850" i="31" s="1"/>
  <c r="C850" i="31" s="1"/>
  <c r="G849" i="31"/>
  <c r="C849" i="31" s="1"/>
  <c r="G739" i="31"/>
  <c r="C739" i="31" s="1"/>
  <c r="I740" i="31"/>
  <c r="H1437" i="31"/>
  <c r="F1436" i="31"/>
  <c r="I1042" i="31"/>
  <c r="G1042" i="31" s="1"/>
  <c r="C1042" i="31" s="1"/>
  <c r="G1041" i="31"/>
  <c r="C1041" i="31" s="1"/>
  <c r="H1447" i="31"/>
  <c r="F1446" i="31"/>
  <c r="G1062" i="31"/>
  <c r="C1062" i="31" s="1"/>
  <c r="I1063" i="31"/>
  <c r="G931" i="31"/>
  <c r="C931" i="31" s="1"/>
  <c r="I932" i="31"/>
  <c r="G871" i="31"/>
  <c r="C871" i="31" s="1"/>
  <c r="I872" i="31"/>
  <c r="G1649" i="31"/>
  <c r="F1649" i="31"/>
  <c r="I752" i="31"/>
  <c r="G751" i="31"/>
  <c r="C751" i="31" s="1"/>
  <c r="I907" i="31"/>
  <c r="G906" i="31"/>
  <c r="C906" i="31" s="1"/>
  <c r="H1457" i="31"/>
  <c r="F1451" i="31"/>
  <c r="H1452" i="31"/>
  <c r="G679" i="31"/>
  <c r="C679" i="31" s="1"/>
  <c r="I680" i="31"/>
  <c r="F1240" i="31"/>
  <c r="H1241" i="31"/>
  <c r="F1431" i="31"/>
  <c r="H1432" i="31"/>
  <c r="F1432" i="31" s="1"/>
  <c r="H756" i="31"/>
  <c r="H767" i="31"/>
  <c r="F755" i="31"/>
  <c r="H690" i="31"/>
  <c r="F689" i="31"/>
  <c r="H601" i="31"/>
  <c r="F600" i="31"/>
  <c r="H1679" i="31"/>
  <c r="F1678" i="31"/>
  <c r="H1210" i="31"/>
  <c r="A22" i="9"/>
  <c r="D21" i="9"/>
  <c r="F21" i="9" s="1"/>
  <c r="F1296" i="31"/>
  <c r="H1297" i="31"/>
  <c r="F70" i="6"/>
  <c r="L46" i="6"/>
  <c r="D72" i="6"/>
  <c r="H862" i="31"/>
  <c r="H846" i="31"/>
  <c r="F845" i="31"/>
  <c r="G823" i="31"/>
  <c r="C823" i="31" s="1"/>
  <c r="I824" i="31"/>
  <c r="F823" i="31"/>
  <c r="H190" i="41"/>
  <c r="J191" i="41"/>
  <c r="H279" i="31"/>
  <c r="F278" i="31"/>
  <c r="I1172" i="31"/>
  <c r="G1171" i="31"/>
  <c r="C1171" i="31" s="1"/>
  <c r="F153" i="41"/>
  <c r="G153" i="41"/>
  <c r="I154" i="41"/>
  <c r="D153" i="41"/>
  <c r="F1664" i="31"/>
  <c r="H1665" i="31"/>
  <c r="F1665" i="31" s="1"/>
  <c r="H826" i="31"/>
  <c r="H902" i="31"/>
  <c r="F901" i="31"/>
  <c r="G703" i="31"/>
  <c r="C703" i="31" s="1"/>
  <c r="I704" i="31"/>
  <c r="F590" i="31"/>
  <c r="H591" i="31"/>
  <c r="F283" i="31"/>
  <c r="H284" i="31"/>
  <c r="F345" i="31"/>
  <c r="H346" i="31"/>
  <c r="F346" i="31" s="1"/>
  <c r="F1598" i="31"/>
  <c r="H1599" i="31"/>
  <c r="H10" i="41"/>
  <c r="J11" i="41"/>
  <c r="G10" i="41"/>
  <c r="H127" i="31"/>
  <c r="F127" i="31" s="1"/>
  <c r="F126" i="31"/>
  <c r="I1365" i="31"/>
  <c r="G1364" i="31"/>
  <c r="C1364" i="31" s="1"/>
  <c r="H586" i="31"/>
  <c r="F586" i="31" s="1"/>
  <c r="F585" i="31"/>
  <c r="I885" i="31"/>
  <c r="G884" i="31"/>
  <c r="C884" i="31" s="1"/>
  <c r="G956" i="31"/>
  <c r="C956" i="31" s="1"/>
  <c r="I957" i="31"/>
  <c r="H1286" i="31"/>
  <c r="F1285" i="31"/>
  <c r="I1052" i="31"/>
  <c r="F1052" i="31" s="1"/>
  <c r="G1051" i="31"/>
  <c r="C1051" i="31" s="1"/>
  <c r="H924" i="31"/>
  <c r="F923" i="31"/>
  <c r="H935" i="31"/>
  <c r="F365" i="31"/>
  <c r="H366" i="31"/>
  <c r="H371" i="31"/>
  <c r="F1252" i="31"/>
  <c r="H1253" i="31"/>
  <c r="F447" i="31"/>
  <c r="H448" i="31"/>
  <c r="F448" i="31" s="1"/>
  <c r="H133" i="31"/>
  <c r="F132" i="31"/>
  <c r="H701" i="31"/>
  <c r="F700" i="31"/>
  <c r="F733" i="31"/>
  <c r="H734" i="31"/>
  <c r="D65" i="41"/>
  <c r="F65" i="41"/>
  <c r="G65" i="41"/>
  <c r="H1672" i="31"/>
  <c r="F1671" i="31"/>
  <c r="G859" i="31"/>
  <c r="C859" i="31" s="1"/>
  <c r="I860" i="31"/>
  <c r="F859" i="31"/>
  <c r="G776" i="31"/>
  <c r="C776" i="31" s="1"/>
  <c r="I777" i="31"/>
  <c r="I1077" i="31"/>
  <c r="G1076" i="31"/>
  <c r="C1076" i="31" s="1"/>
  <c r="H356" i="31"/>
  <c r="F355" i="31"/>
  <c r="H596" i="31"/>
  <c r="F595" i="31"/>
  <c r="F360" i="31"/>
  <c r="H361" i="31"/>
  <c r="F722" i="31"/>
  <c r="H723" i="31"/>
  <c r="F1051" i="31"/>
  <c r="H274" i="31"/>
  <c r="F274" i="31" s="1"/>
  <c r="F273" i="31"/>
  <c r="F288" i="31"/>
  <c r="H289" i="31"/>
  <c r="H1657" i="31"/>
  <c r="F1657" i="31" s="1"/>
  <c r="F1656" i="31"/>
  <c r="F912" i="31"/>
  <c r="H913" i="31"/>
  <c r="H1686" i="31"/>
  <c r="F1685" i="31"/>
  <c r="H154" i="41"/>
  <c r="J155" i="41"/>
  <c r="H1053" i="31"/>
  <c r="F605" i="31"/>
  <c r="H606" i="31"/>
  <c r="H611" i="31"/>
  <c r="H157" i="31"/>
  <c r="F156" i="31"/>
  <c r="H163" i="31"/>
  <c r="H299" i="31"/>
  <c r="F293" i="31"/>
  <c r="H294" i="31"/>
  <c r="F744" i="31"/>
  <c r="H745" i="31"/>
  <c r="H1041" i="31"/>
  <c r="F1040" i="31"/>
  <c r="D66" i="41"/>
  <c r="F66" i="41"/>
  <c r="G66" i="41"/>
  <c r="I67" i="41"/>
  <c r="I68" i="41"/>
  <c r="H1275" i="31"/>
  <c r="F1274" i="31"/>
  <c r="F1263" i="31"/>
  <c r="H1264" i="31"/>
  <c r="H145" i="31"/>
  <c r="F144" i="31"/>
  <c r="H891" i="31"/>
  <c r="F890" i="31"/>
  <c r="H869" i="31"/>
  <c r="F868" i="31"/>
  <c r="G1243" i="31"/>
  <c r="C1243" i="31" s="1"/>
  <c r="I1244" i="31"/>
  <c r="H1480" i="31"/>
  <c r="F1479" i="31"/>
  <c r="H34" i="41"/>
  <c r="J35" i="41"/>
  <c r="F452" i="31"/>
  <c r="H453" i="31"/>
  <c r="H351" i="31"/>
  <c r="F350" i="31"/>
  <c r="F1307" i="31"/>
  <c r="H1308" i="31"/>
  <c r="H1319" i="31"/>
  <c r="F711" i="31"/>
  <c r="H712" i="31"/>
  <c r="F879" i="31"/>
  <c r="H880" i="31"/>
  <c r="G1135" i="31"/>
  <c r="C1135" i="31" s="1"/>
  <c r="I1136" i="31"/>
  <c r="G1401" i="31"/>
  <c r="C1401" i="31" s="1"/>
  <c r="I1402" i="31"/>
  <c r="G1402" i="31" s="1"/>
  <c r="C1402" i="31" s="1"/>
  <c r="I717" i="31"/>
  <c r="G716" i="31"/>
  <c r="C716" i="31" s="1"/>
  <c r="F150" i="31"/>
  <c r="H151" i="31"/>
  <c r="F138" i="31"/>
  <c r="H139" i="31"/>
  <c r="I838" i="31"/>
  <c r="G838" i="31" s="1"/>
  <c r="C838" i="31" s="1"/>
  <c r="G837" i="31"/>
  <c r="C837" i="31" s="1"/>
  <c r="K45" i="6"/>
  <c r="H10" i="4" l="1"/>
  <c r="F1737" i="31" s="1"/>
  <c r="F1741" i="31"/>
  <c r="H1229" i="31"/>
  <c r="F1228" i="31"/>
  <c r="H200" i="56"/>
  <c r="H206" i="56" s="1"/>
  <c r="D169" i="56" a="1"/>
  <c r="D169" i="56" s="1"/>
  <c r="H185" i="56"/>
  <c r="D184" i="56" a="1"/>
  <c r="D184" i="56" s="1"/>
  <c r="H195" i="56"/>
  <c r="D194" i="56" a="1"/>
  <c r="D194" i="56" s="1"/>
  <c r="H190" i="56"/>
  <c r="D189" i="56" a="1"/>
  <c r="D189" i="56" s="1"/>
  <c r="D179" i="56" a="1"/>
  <c r="D179" i="56" s="1"/>
  <c r="H180" i="56"/>
  <c r="H175" i="56"/>
  <c r="D174" i="56" a="1"/>
  <c r="D174" i="56" s="1"/>
  <c r="F72" i="6"/>
  <c r="M46" i="6"/>
  <c r="H178" i="41"/>
  <c r="J179" i="41"/>
  <c r="H166" i="41"/>
  <c r="J167" i="41"/>
  <c r="F10" i="41"/>
  <c r="I11" i="41"/>
  <c r="D10" i="41"/>
  <c r="H22" i="41"/>
  <c r="J23" i="41"/>
  <c r="J216" i="41"/>
  <c r="H215" i="41"/>
  <c r="H239" i="41"/>
  <c r="J240" i="41"/>
  <c r="I203" i="41"/>
  <c r="F202" i="41"/>
  <c r="G202" i="41"/>
  <c r="D202" i="41"/>
  <c r="H47" i="41"/>
  <c r="J48" i="41"/>
  <c r="J205" i="41"/>
  <c r="H205" i="41" s="1"/>
  <c r="H204" i="41"/>
  <c r="F35" i="6"/>
  <c r="D36" i="6"/>
  <c r="H227" i="41"/>
  <c r="J228" i="41"/>
  <c r="D58" i="31"/>
  <c r="D59" i="31" s="1"/>
  <c r="D60" i="31" s="1"/>
  <c r="D61" i="31" s="1"/>
  <c r="D62" i="31" s="1"/>
  <c r="D63" i="31" s="1"/>
  <c r="D64" i="31" s="1"/>
  <c r="I969" i="31"/>
  <c r="G968" i="31"/>
  <c r="C968" i="31" s="1"/>
  <c r="I693" i="31"/>
  <c r="G692" i="31"/>
  <c r="C692" i="31" s="1"/>
  <c r="I1328" i="31"/>
  <c r="G1327" i="31"/>
  <c r="C1327" i="31" s="1"/>
  <c r="I1101" i="31"/>
  <c r="G1100" i="31"/>
  <c r="C1100" i="31" s="1"/>
  <c r="I1256" i="31"/>
  <c r="G1255" i="31"/>
  <c r="C1255" i="31" s="1"/>
  <c r="G1148" i="31"/>
  <c r="C1148" i="31" s="1"/>
  <c r="I1149" i="31"/>
  <c r="G1280" i="31"/>
  <c r="C1280" i="31" s="1"/>
  <c r="I1281" i="31"/>
  <c r="G1387" i="31"/>
  <c r="C1387" i="31" s="1"/>
  <c r="I1388" i="31"/>
  <c r="H1752" i="31"/>
  <c r="I920" i="31"/>
  <c r="G919" i="31"/>
  <c r="C919" i="31" s="1"/>
  <c r="C1641" i="31"/>
  <c r="B1641" i="31"/>
  <c r="I1028" i="31"/>
  <c r="G1027" i="31"/>
  <c r="C1027" i="31" s="1"/>
  <c r="G1112" i="31"/>
  <c r="C1112" i="31" s="1"/>
  <c r="I1113" i="31"/>
  <c r="I1125" i="31"/>
  <c r="G1124" i="31"/>
  <c r="C1124" i="31" s="1"/>
  <c r="C1697" i="31"/>
  <c r="B1697" i="31"/>
  <c r="G727" i="31"/>
  <c r="C727" i="31" s="1"/>
  <c r="I728" i="31"/>
  <c r="G979" i="31"/>
  <c r="C979" i="31" s="1"/>
  <c r="I980" i="31"/>
  <c r="F1195" i="31"/>
  <c r="I1196" i="31"/>
  <c r="G1195" i="31"/>
  <c r="C1195" i="31" s="1"/>
  <c r="I1699" i="31"/>
  <c r="G1698" i="31"/>
  <c r="H29" i="31"/>
  <c r="F29" i="31" s="1"/>
  <c r="F28" i="31"/>
  <c r="F40" i="31"/>
  <c r="H41" i="31"/>
  <c r="I801" i="31"/>
  <c r="G800" i="31"/>
  <c r="C800" i="31" s="1"/>
  <c r="H53" i="31"/>
  <c r="F52" i="31"/>
  <c r="I812" i="31"/>
  <c r="G811" i="31"/>
  <c r="C811" i="31" s="1"/>
  <c r="I1162" i="31"/>
  <c r="G1162" i="31" s="1"/>
  <c r="C1162" i="31" s="1"/>
  <c r="G1161" i="31"/>
  <c r="C1161" i="31" s="1"/>
  <c r="F46" i="31"/>
  <c r="H47" i="31"/>
  <c r="F1105" i="31"/>
  <c r="H1106" i="31"/>
  <c r="F1072" i="31"/>
  <c r="H1073" i="31"/>
  <c r="I945" i="31"/>
  <c r="G944" i="31"/>
  <c r="C944" i="31" s="1"/>
  <c r="G1183" i="31"/>
  <c r="C1183" i="31" s="1"/>
  <c r="I1184" i="31"/>
  <c r="H65" i="31"/>
  <c r="H59" i="31"/>
  <c r="F58" i="31"/>
  <c r="H1117" i="31"/>
  <c r="F1116" i="31"/>
  <c r="F669" i="31"/>
  <c r="G669" i="31"/>
  <c r="C669" i="31" s="1"/>
  <c r="I670" i="31"/>
  <c r="H1095" i="31"/>
  <c r="F1094" i="31"/>
  <c r="I1210" i="31"/>
  <c r="G1210" i="31" s="1"/>
  <c r="C1210" i="31" s="1"/>
  <c r="G1209" i="31"/>
  <c r="C1209" i="31" s="1"/>
  <c r="F34" i="31"/>
  <c r="H35" i="31"/>
  <c r="I1306" i="31"/>
  <c r="G1306" i="31" s="1"/>
  <c r="C1306" i="31" s="1"/>
  <c r="G1305" i="31"/>
  <c r="C1305" i="31" s="1"/>
  <c r="G764" i="31"/>
  <c r="C764" i="31" s="1"/>
  <c r="I765" i="31"/>
  <c r="F1083" i="31"/>
  <c r="H1084" i="31"/>
  <c r="H1062" i="31"/>
  <c r="F1061" i="31"/>
  <c r="H1139" i="31"/>
  <c r="F1127" i="31"/>
  <c r="H1128" i="31"/>
  <c r="G1339" i="31"/>
  <c r="C1339" i="31" s="1"/>
  <c r="I1340" i="31"/>
  <c r="G1015" i="31"/>
  <c r="C1015" i="31" s="1"/>
  <c r="I1016" i="31"/>
  <c r="F517" i="31"/>
  <c r="H518" i="31"/>
  <c r="G1316" i="31"/>
  <c r="C1316" i="31" s="1"/>
  <c r="I1317" i="31"/>
  <c r="H533" i="31"/>
  <c r="F527" i="31"/>
  <c r="H528" i="31"/>
  <c r="H508" i="31"/>
  <c r="F508" i="31" s="1"/>
  <c r="F507" i="31"/>
  <c r="I1377" i="31"/>
  <c r="G1376" i="31"/>
  <c r="C1376" i="31" s="1"/>
  <c r="I1221" i="31"/>
  <c r="G1220" i="31"/>
  <c r="C1220" i="31" s="1"/>
  <c r="H513" i="31"/>
  <c r="F512" i="31"/>
  <c r="F522" i="31"/>
  <c r="H523" i="31"/>
  <c r="K1725" i="31"/>
  <c r="K1726" i="31"/>
  <c r="K1728" i="31"/>
  <c r="I789" i="31"/>
  <c r="G788" i="31"/>
  <c r="C788" i="31" s="1"/>
  <c r="F1457" i="31"/>
  <c r="H1463" i="31"/>
  <c r="H1458" i="31"/>
  <c r="B1649" i="31"/>
  <c r="C1649" i="31"/>
  <c r="G932" i="31"/>
  <c r="C932" i="31" s="1"/>
  <c r="I933" i="31"/>
  <c r="I1293" i="31"/>
  <c r="G1292" i="31"/>
  <c r="C1292" i="31" s="1"/>
  <c r="H1219" i="31"/>
  <c r="F1218" i="31"/>
  <c r="F1241" i="31"/>
  <c r="H1242" i="31"/>
  <c r="H1453" i="31"/>
  <c r="F1452" i="31"/>
  <c r="I753" i="31"/>
  <c r="G752" i="31"/>
  <c r="C752" i="31" s="1"/>
  <c r="G872" i="31"/>
  <c r="C872" i="31" s="1"/>
  <c r="I873" i="31"/>
  <c r="H1448" i="31"/>
  <c r="F1447" i="31"/>
  <c r="G1004" i="31"/>
  <c r="C1004" i="31" s="1"/>
  <c r="I1005" i="31"/>
  <c r="I1233" i="31"/>
  <c r="G1232" i="31"/>
  <c r="C1232" i="31" s="1"/>
  <c r="H681" i="31"/>
  <c r="F680" i="31"/>
  <c r="H837" i="31"/>
  <c r="F836" i="31"/>
  <c r="G680" i="31"/>
  <c r="C680" i="31" s="1"/>
  <c r="I681" i="31"/>
  <c r="I908" i="31"/>
  <c r="G907" i="31"/>
  <c r="C907" i="31" s="1"/>
  <c r="G1063" i="31"/>
  <c r="C1063" i="31" s="1"/>
  <c r="I1064" i="31"/>
  <c r="H1438" i="31"/>
  <c r="F1438" i="31" s="1"/>
  <c r="F1437" i="31"/>
  <c r="G740" i="31"/>
  <c r="C740" i="31" s="1"/>
  <c r="I741" i="31"/>
  <c r="F1442" i="31"/>
  <c r="H1443" i="31"/>
  <c r="F1613" i="31"/>
  <c r="H1614" i="31"/>
  <c r="I898" i="31"/>
  <c r="G898" i="31" s="1"/>
  <c r="C898" i="31" s="1"/>
  <c r="G897" i="31"/>
  <c r="C897" i="31" s="1"/>
  <c r="H597" i="31"/>
  <c r="F596" i="31"/>
  <c r="H1600" i="31"/>
  <c r="F1599" i="31"/>
  <c r="G717" i="31"/>
  <c r="C717" i="31" s="1"/>
  <c r="I718" i="31"/>
  <c r="G718" i="31" s="1"/>
  <c r="C718" i="31" s="1"/>
  <c r="F891" i="31"/>
  <c r="H892" i="31"/>
  <c r="I1173" i="31"/>
  <c r="G1172" i="31"/>
  <c r="C1172" i="31" s="1"/>
  <c r="F601" i="31"/>
  <c r="H602" i="31"/>
  <c r="F139" i="31"/>
  <c r="H140" i="31"/>
  <c r="H1331" i="31"/>
  <c r="H1320" i="31"/>
  <c r="F1319" i="31"/>
  <c r="G1244" i="31"/>
  <c r="C1244" i="31" s="1"/>
  <c r="I1245" i="31"/>
  <c r="H300" i="31"/>
  <c r="F299" i="31"/>
  <c r="H305" i="31"/>
  <c r="F356" i="31"/>
  <c r="H357" i="31"/>
  <c r="I1053" i="31"/>
  <c r="F1053" i="31" s="1"/>
  <c r="G1052" i="31"/>
  <c r="C1052" i="31" s="1"/>
  <c r="H191" i="41"/>
  <c r="J192" i="41"/>
  <c r="F846" i="31"/>
  <c r="H847" i="31"/>
  <c r="H881" i="31"/>
  <c r="F880" i="31"/>
  <c r="H352" i="31"/>
  <c r="F352" i="31" s="1"/>
  <c r="F351" i="31"/>
  <c r="F611" i="31"/>
  <c r="H612" i="31"/>
  <c r="H617" i="31"/>
  <c r="H903" i="31"/>
  <c r="F902" i="31"/>
  <c r="F1308" i="31"/>
  <c r="H1309" i="31"/>
  <c r="H724" i="31"/>
  <c r="F723" i="31"/>
  <c r="F371" i="31"/>
  <c r="H377" i="31"/>
  <c r="H372" i="31"/>
  <c r="H1680" i="31"/>
  <c r="F1679" i="31"/>
  <c r="I1078" i="31"/>
  <c r="G1078" i="31" s="1"/>
  <c r="C1078" i="31" s="1"/>
  <c r="G1077" i="31"/>
  <c r="C1077" i="31" s="1"/>
  <c r="H735" i="31"/>
  <c r="F734" i="31"/>
  <c r="H367" i="31"/>
  <c r="F366" i="31"/>
  <c r="F1286" i="31"/>
  <c r="H1287" i="31"/>
  <c r="I886" i="31"/>
  <c r="G886" i="31" s="1"/>
  <c r="C886" i="31" s="1"/>
  <c r="G885" i="31"/>
  <c r="C885" i="31" s="1"/>
  <c r="F284" i="31"/>
  <c r="H285" i="31"/>
  <c r="H1298" i="31"/>
  <c r="F1297" i="31"/>
  <c r="H1481" i="31"/>
  <c r="F1480" i="31"/>
  <c r="H1254" i="31"/>
  <c r="F1253" i="31"/>
  <c r="F145" i="31"/>
  <c r="H146" i="31"/>
  <c r="H691" i="31"/>
  <c r="F690" i="31"/>
  <c r="F151" i="31"/>
  <c r="H152" i="31"/>
  <c r="F1264" i="31"/>
  <c r="H1265" i="31"/>
  <c r="H164" i="31"/>
  <c r="F163" i="31"/>
  <c r="H170" i="31"/>
  <c r="F869" i="31"/>
  <c r="H870" i="31"/>
  <c r="F745" i="31"/>
  <c r="H746" i="31"/>
  <c r="H1054" i="31"/>
  <c r="H1687" i="31"/>
  <c r="F1686" i="31"/>
  <c r="H290" i="31"/>
  <c r="F289" i="31"/>
  <c r="F361" i="31"/>
  <c r="H362" i="31"/>
  <c r="I778" i="31"/>
  <c r="G778" i="31" s="1"/>
  <c r="C778" i="31" s="1"/>
  <c r="G777" i="31"/>
  <c r="C777" i="31" s="1"/>
  <c r="I861" i="31"/>
  <c r="G860" i="31"/>
  <c r="C860" i="31" s="1"/>
  <c r="F860" i="31"/>
  <c r="I958" i="31"/>
  <c r="G958" i="31" s="1"/>
  <c r="C958" i="31" s="1"/>
  <c r="G957" i="31"/>
  <c r="C957" i="31" s="1"/>
  <c r="H11" i="41"/>
  <c r="J12" i="41"/>
  <c r="G11" i="41"/>
  <c r="F154" i="41"/>
  <c r="G154" i="41"/>
  <c r="D154" i="41"/>
  <c r="I155" i="41"/>
  <c r="F68" i="41"/>
  <c r="D68" i="41"/>
  <c r="G68" i="41"/>
  <c r="I69" i="41"/>
  <c r="I70" i="41"/>
  <c r="H1673" i="31"/>
  <c r="F1673" i="31" s="1"/>
  <c r="F1672" i="31"/>
  <c r="F453" i="31"/>
  <c r="H454" i="31"/>
  <c r="F454" i="31" s="1"/>
  <c r="F67" i="41"/>
  <c r="D67" i="41"/>
  <c r="G67" i="41"/>
  <c r="F606" i="31"/>
  <c r="H607" i="31"/>
  <c r="H35" i="41"/>
  <c r="J36" i="41"/>
  <c r="I1137" i="31"/>
  <c r="G1136" i="31"/>
  <c r="C1136" i="31" s="1"/>
  <c r="H713" i="31"/>
  <c r="F712" i="31"/>
  <c r="H1042" i="31"/>
  <c r="F1042" i="31" s="1"/>
  <c r="F1041" i="31"/>
  <c r="H155" i="41"/>
  <c r="J156" i="41"/>
  <c r="H914" i="31"/>
  <c r="F913" i="31"/>
  <c r="H134" i="31"/>
  <c r="F134" i="31" s="1"/>
  <c r="F133" i="31"/>
  <c r="H936" i="31"/>
  <c r="F935" i="31"/>
  <c r="H947" i="31"/>
  <c r="F591" i="31"/>
  <c r="H592" i="31"/>
  <c r="F592" i="31" s="1"/>
  <c r="H779" i="31"/>
  <c r="H768" i="31"/>
  <c r="F767" i="31"/>
  <c r="H925" i="31"/>
  <c r="F924" i="31"/>
  <c r="G704" i="31"/>
  <c r="C704" i="31" s="1"/>
  <c r="I705" i="31"/>
  <c r="I1366" i="31"/>
  <c r="G1366" i="31" s="1"/>
  <c r="C1366" i="31" s="1"/>
  <c r="G1365" i="31"/>
  <c r="C1365" i="31" s="1"/>
  <c r="H1276" i="31"/>
  <c r="F1275" i="31"/>
  <c r="F294" i="31"/>
  <c r="H295" i="31"/>
  <c r="H158" i="31"/>
  <c r="F157" i="31"/>
  <c r="F701" i="31"/>
  <c r="H702" i="31"/>
  <c r="H280" i="31"/>
  <c r="F280" i="31" s="1"/>
  <c r="F279" i="31"/>
  <c r="I825" i="31"/>
  <c r="G824" i="31"/>
  <c r="C824" i="31" s="1"/>
  <c r="F824" i="31"/>
  <c r="D73" i="6"/>
  <c r="A23" i="9"/>
  <c r="D22" i="9"/>
  <c r="F22" i="9" s="1"/>
  <c r="H757" i="31"/>
  <c r="F756" i="31"/>
  <c r="D200" i="56" l="1" a="1"/>
  <c r="D200" i="56" s="1"/>
  <c r="H201" i="56"/>
  <c r="H202" i="56" s="1"/>
  <c r="H1230" i="31"/>
  <c r="F1229" i="31"/>
  <c r="D175" i="56" a="1"/>
  <c r="D175" i="56" s="1"/>
  <c r="D201" i="56" a="1"/>
  <c r="D201" i="56" s="1"/>
  <c r="D206" i="56" a="1"/>
  <c r="D206" i="56" s="1"/>
  <c r="H212" i="56"/>
  <c r="H207" i="56"/>
  <c r="D180" i="56" a="1"/>
  <c r="D180" i="56" s="1"/>
  <c r="H181" i="56"/>
  <c r="D190" i="56" a="1"/>
  <c r="D190" i="56" s="1"/>
  <c r="H191" i="56"/>
  <c r="D195" i="56" a="1"/>
  <c r="D195" i="56" s="1"/>
  <c r="H196" i="56"/>
  <c r="H186" i="56"/>
  <c r="D185" i="56" a="1"/>
  <c r="D185" i="56" s="1"/>
  <c r="F73" i="6"/>
  <c r="N46" i="6"/>
  <c r="J168" i="41"/>
  <c r="H167" i="41"/>
  <c r="J180" i="41"/>
  <c r="H179" i="41"/>
  <c r="J49" i="41"/>
  <c r="H49" i="41" s="1"/>
  <c r="H48" i="41"/>
  <c r="F203" i="41"/>
  <c r="G203" i="41"/>
  <c r="I204" i="41"/>
  <c r="D203" i="41"/>
  <c r="J241" i="41"/>
  <c r="H241" i="41" s="1"/>
  <c r="H240" i="41"/>
  <c r="H228" i="41"/>
  <c r="J229" i="41"/>
  <c r="H229" i="41" s="1"/>
  <c r="H216" i="41"/>
  <c r="J217" i="41"/>
  <c r="H217" i="41" s="1"/>
  <c r="H23" i="41"/>
  <c r="J24" i="41"/>
  <c r="F36" i="6"/>
  <c r="N12" i="6"/>
  <c r="F11" i="41"/>
  <c r="I12" i="41"/>
  <c r="D11" i="41"/>
  <c r="I694" i="31"/>
  <c r="G694" i="31" s="1"/>
  <c r="C694" i="31" s="1"/>
  <c r="G693" i="31"/>
  <c r="C693" i="31" s="1"/>
  <c r="I970" i="31"/>
  <c r="G970" i="31" s="1"/>
  <c r="C970" i="31" s="1"/>
  <c r="G969" i="31"/>
  <c r="C969" i="31" s="1"/>
  <c r="G1328" i="31"/>
  <c r="C1328" i="31" s="1"/>
  <c r="I1329" i="31"/>
  <c r="I1102" i="31"/>
  <c r="G1102" i="31" s="1"/>
  <c r="C1102" i="31" s="1"/>
  <c r="G1101" i="31"/>
  <c r="C1101" i="31" s="1"/>
  <c r="I1389" i="31"/>
  <c r="G1388" i="31"/>
  <c r="C1388" i="31" s="1"/>
  <c r="I1150" i="31"/>
  <c r="G1150" i="31" s="1"/>
  <c r="C1150" i="31" s="1"/>
  <c r="G1149" i="31"/>
  <c r="C1149" i="31" s="1"/>
  <c r="G1256" i="31"/>
  <c r="C1256" i="31" s="1"/>
  <c r="I1257" i="31"/>
  <c r="G1281" i="31"/>
  <c r="C1281" i="31" s="1"/>
  <c r="I1282" i="31"/>
  <c r="G1282" i="31" s="1"/>
  <c r="C1282" i="31" s="1"/>
  <c r="B1698" i="31"/>
  <c r="C1698" i="31"/>
  <c r="G1196" i="31"/>
  <c r="C1196" i="31" s="1"/>
  <c r="F1196" i="31"/>
  <c r="I1197" i="31"/>
  <c r="G1125" i="31"/>
  <c r="C1125" i="31" s="1"/>
  <c r="I1126" i="31"/>
  <c r="G1126" i="31" s="1"/>
  <c r="C1126" i="31" s="1"/>
  <c r="G1699" i="31"/>
  <c r="F1699" i="31"/>
  <c r="G728" i="31"/>
  <c r="C728" i="31" s="1"/>
  <c r="I729" i="31"/>
  <c r="I1114" i="31"/>
  <c r="G1114" i="31" s="1"/>
  <c r="C1114" i="31" s="1"/>
  <c r="G1113" i="31"/>
  <c r="C1113" i="31" s="1"/>
  <c r="G1028" i="31"/>
  <c r="C1028" i="31" s="1"/>
  <c r="I1029" i="31"/>
  <c r="I981" i="31"/>
  <c r="G980" i="31"/>
  <c r="C980" i="31" s="1"/>
  <c r="I921" i="31"/>
  <c r="G920" i="31"/>
  <c r="C920" i="31" s="1"/>
  <c r="I1017" i="31"/>
  <c r="G1016" i="31"/>
  <c r="C1016" i="31" s="1"/>
  <c r="H1140" i="31"/>
  <c r="F1139" i="31"/>
  <c r="H1151" i="31"/>
  <c r="F1084" i="31"/>
  <c r="H1085" i="31"/>
  <c r="H36" i="31"/>
  <c r="F36" i="31" s="1"/>
  <c r="F35" i="31"/>
  <c r="G670" i="31"/>
  <c r="C670" i="31" s="1"/>
  <c r="F670" i="31"/>
  <c r="F59" i="31"/>
  <c r="H60" i="31"/>
  <c r="H1074" i="31"/>
  <c r="F1073" i="31"/>
  <c r="I813" i="31"/>
  <c r="G812" i="31"/>
  <c r="C812" i="31" s="1"/>
  <c r="F1128" i="31"/>
  <c r="H1129" i="31"/>
  <c r="F1117" i="31"/>
  <c r="H1118" i="31"/>
  <c r="H66" i="31"/>
  <c r="F65" i="31"/>
  <c r="H72" i="31"/>
  <c r="H48" i="31"/>
  <c r="F47" i="31"/>
  <c r="G801" i="31"/>
  <c r="C801" i="31" s="1"/>
  <c r="I802" i="31"/>
  <c r="G802" i="31" s="1"/>
  <c r="C802" i="31" s="1"/>
  <c r="I1341" i="31"/>
  <c r="G1340" i="31"/>
  <c r="C1340" i="31" s="1"/>
  <c r="H1063" i="31"/>
  <c r="F1062" i="31"/>
  <c r="G765" i="31"/>
  <c r="C765" i="31" s="1"/>
  <c r="I766" i="31"/>
  <c r="G766" i="31" s="1"/>
  <c r="C766" i="31" s="1"/>
  <c r="H1096" i="31"/>
  <c r="F1095" i="31"/>
  <c r="G1184" i="31"/>
  <c r="C1184" i="31" s="1"/>
  <c r="I1185" i="31"/>
  <c r="I946" i="31"/>
  <c r="G946" i="31" s="1"/>
  <c r="C946" i="31" s="1"/>
  <c r="G945" i="31"/>
  <c r="C945" i="31" s="1"/>
  <c r="F1106" i="31"/>
  <c r="H1107" i="31"/>
  <c r="F53" i="31"/>
  <c r="H54" i="31"/>
  <c r="H42" i="31"/>
  <c r="F41" i="31"/>
  <c r="F1210" i="31"/>
  <c r="I1222" i="31"/>
  <c r="G1222" i="31" s="1"/>
  <c r="C1222" i="31" s="1"/>
  <c r="G1221" i="31"/>
  <c r="C1221" i="31" s="1"/>
  <c r="G789" i="31"/>
  <c r="C789" i="31" s="1"/>
  <c r="I790" i="31"/>
  <c r="G790" i="31" s="1"/>
  <c r="C790" i="31" s="1"/>
  <c r="K1729" i="31"/>
  <c r="K1727" i="31"/>
  <c r="H524" i="31"/>
  <c r="F523" i="31"/>
  <c r="F513" i="31"/>
  <c r="H514" i="31"/>
  <c r="F514" i="31" s="1"/>
  <c r="H539" i="31"/>
  <c r="F533" i="31"/>
  <c r="H534" i="31"/>
  <c r="F518" i="31"/>
  <c r="H519" i="31"/>
  <c r="G1377" i="31"/>
  <c r="C1377" i="31" s="1"/>
  <c r="I1378" i="31"/>
  <c r="G1378" i="31" s="1"/>
  <c r="C1378" i="31" s="1"/>
  <c r="H529" i="31"/>
  <c r="F528" i="31"/>
  <c r="G1317" i="31"/>
  <c r="C1317" i="31" s="1"/>
  <c r="I1318" i="31"/>
  <c r="G1318" i="31" s="1"/>
  <c r="C1318" i="31" s="1"/>
  <c r="H1444" i="31"/>
  <c r="F1444" i="31" s="1"/>
  <c r="F1443" i="31"/>
  <c r="G1064" i="31"/>
  <c r="C1064" i="31" s="1"/>
  <c r="I1065" i="31"/>
  <c r="H682" i="31"/>
  <c r="F681" i="31"/>
  <c r="G873" i="31"/>
  <c r="C873" i="31" s="1"/>
  <c r="I874" i="31"/>
  <c r="G874" i="31" s="1"/>
  <c r="C874" i="31" s="1"/>
  <c r="G753" i="31"/>
  <c r="C753" i="31" s="1"/>
  <c r="I754" i="31"/>
  <c r="G754" i="31" s="1"/>
  <c r="C754" i="31" s="1"/>
  <c r="H1459" i="31"/>
  <c r="F1458" i="31"/>
  <c r="H1615" i="31"/>
  <c r="F1614" i="31"/>
  <c r="I742" i="31"/>
  <c r="G742" i="31" s="1"/>
  <c r="C742" i="31" s="1"/>
  <c r="G741" i="31"/>
  <c r="C741" i="31" s="1"/>
  <c r="G908" i="31"/>
  <c r="C908" i="31" s="1"/>
  <c r="I909" i="31"/>
  <c r="I1294" i="31"/>
  <c r="G1294" i="31" s="1"/>
  <c r="C1294" i="31" s="1"/>
  <c r="G1293" i="31"/>
  <c r="C1293" i="31" s="1"/>
  <c r="H1464" i="31"/>
  <c r="F1463" i="31"/>
  <c r="I682" i="31"/>
  <c r="G682" i="31" s="1"/>
  <c r="C682" i="31" s="1"/>
  <c r="G681" i="31"/>
  <c r="C681" i="31" s="1"/>
  <c r="H838" i="31"/>
  <c r="F838" i="31" s="1"/>
  <c r="F837" i="31"/>
  <c r="I1234" i="31"/>
  <c r="G1234" i="31" s="1"/>
  <c r="C1234" i="31" s="1"/>
  <c r="G1233" i="31"/>
  <c r="C1233" i="31" s="1"/>
  <c r="G1005" i="31"/>
  <c r="C1005" i="31" s="1"/>
  <c r="I1006" i="31"/>
  <c r="G1006" i="31" s="1"/>
  <c r="C1006" i="31" s="1"/>
  <c r="H1449" i="31"/>
  <c r="F1448" i="31"/>
  <c r="H1454" i="31"/>
  <c r="F1453" i="31"/>
  <c r="F1242" i="31"/>
  <c r="H1243" i="31"/>
  <c r="F1219" i="31"/>
  <c r="H1220" i="31"/>
  <c r="I934" i="31"/>
  <c r="G934" i="31" s="1"/>
  <c r="C934" i="31" s="1"/>
  <c r="G933" i="31"/>
  <c r="C933" i="31" s="1"/>
  <c r="F164" i="31"/>
  <c r="H165" i="31"/>
  <c r="F305" i="31"/>
  <c r="H306" i="31"/>
  <c r="H1321" i="31"/>
  <c r="F1320" i="31"/>
  <c r="H603" i="31"/>
  <c r="F602" i="31"/>
  <c r="I706" i="31"/>
  <c r="G706" i="31" s="1"/>
  <c r="C706" i="31" s="1"/>
  <c r="G705" i="31"/>
  <c r="C705" i="31" s="1"/>
  <c r="H156" i="41"/>
  <c r="J157" i="41"/>
  <c r="H157" i="41" s="1"/>
  <c r="J37" i="41"/>
  <c r="H37" i="41" s="1"/>
  <c r="H36" i="41"/>
  <c r="G861" i="31"/>
  <c r="C861" i="31" s="1"/>
  <c r="I862" i="31"/>
  <c r="F861" i="31"/>
  <c r="F290" i="31"/>
  <c r="H291" i="31"/>
  <c r="F1481" i="31"/>
  <c r="F1298" i="31"/>
  <c r="H1299" i="31"/>
  <c r="F1287" i="31"/>
  <c r="H1288" i="31"/>
  <c r="F1331" i="31"/>
  <c r="H1332" i="31"/>
  <c r="H1343" i="31"/>
  <c r="H692" i="31"/>
  <c r="F691" i="31"/>
  <c r="F881" i="31"/>
  <c r="H882" i="31"/>
  <c r="I826" i="31"/>
  <c r="G825" i="31"/>
  <c r="C825" i="31" s="1"/>
  <c r="F825" i="31"/>
  <c r="F607" i="31"/>
  <c r="H608" i="31"/>
  <c r="H12" i="41"/>
  <c r="J13" i="41"/>
  <c r="G12" i="41"/>
  <c r="F1687" i="31"/>
  <c r="H1688" i="31"/>
  <c r="H147" i="31"/>
  <c r="F146" i="31"/>
  <c r="H286" i="31"/>
  <c r="F286" i="31" s="1"/>
  <c r="F285" i="31"/>
  <c r="F847" i="31"/>
  <c r="H848" i="31"/>
  <c r="F300" i="31"/>
  <c r="H301" i="31"/>
  <c r="F757" i="31"/>
  <c r="H758" i="31"/>
  <c r="F295" i="31"/>
  <c r="H296" i="31"/>
  <c r="F914" i="31"/>
  <c r="H915" i="31"/>
  <c r="H871" i="31"/>
  <c r="F870" i="31"/>
  <c r="H780" i="31"/>
  <c r="F779" i="31"/>
  <c r="H791" i="31"/>
  <c r="D50" i="26"/>
  <c r="D65" i="31"/>
  <c r="D66" i="31" s="1"/>
  <c r="D67" i="31" s="1"/>
  <c r="D68" i="31" s="1"/>
  <c r="D69" i="31" s="1"/>
  <c r="D70" i="31" s="1"/>
  <c r="D71" i="31" s="1"/>
  <c r="G70" i="41"/>
  <c r="I72" i="41"/>
  <c r="D70" i="41"/>
  <c r="I71" i="41"/>
  <c r="F70" i="41"/>
  <c r="F362" i="31"/>
  <c r="H363" i="31"/>
  <c r="F152" i="31"/>
  <c r="H153" i="31"/>
  <c r="H368" i="31"/>
  <c r="F367" i="31"/>
  <c r="F617" i="31"/>
  <c r="H618" i="31"/>
  <c r="H623" i="31"/>
  <c r="I1246" i="31"/>
  <c r="G1246" i="31" s="1"/>
  <c r="C1246" i="31" s="1"/>
  <c r="G1245" i="31"/>
  <c r="C1245" i="31" s="1"/>
  <c r="H598" i="31"/>
  <c r="F598" i="31" s="1"/>
  <c r="F597" i="31"/>
  <c r="G1053" i="31"/>
  <c r="C1053" i="31" s="1"/>
  <c r="I1054" i="31"/>
  <c r="G1054" i="31" s="1"/>
  <c r="C1054" i="31" s="1"/>
  <c r="F768" i="31"/>
  <c r="H769" i="31"/>
  <c r="F1680" i="31"/>
  <c r="H1681" i="31"/>
  <c r="F1681" i="31" s="1"/>
  <c r="F947" i="31"/>
  <c r="H948" i="31"/>
  <c r="H959" i="31"/>
  <c r="G69" i="41"/>
  <c r="F69" i="41"/>
  <c r="D69" i="41"/>
  <c r="F372" i="31"/>
  <c r="H373" i="31"/>
  <c r="F724" i="31"/>
  <c r="H725" i="31"/>
  <c r="H613" i="31"/>
  <c r="F612" i="31"/>
  <c r="H192" i="41"/>
  <c r="J193" i="41"/>
  <c r="H193" i="41" s="1"/>
  <c r="G1173" i="31"/>
  <c r="C1173" i="31" s="1"/>
  <c r="I1174" i="31"/>
  <c r="G1174" i="31" s="1"/>
  <c r="C1174" i="31" s="1"/>
  <c r="F1309" i="31"/>
  <c r="H1310" i="31"/>
  <c r="F936" i="31"/>
  <c r="H937" i="31"/>
  <c r="I1138" i="31"/>
  <c r="G1138" i="31" s="1"/>
  <c r="C1138" i="31" s="1"/>
  <c r="G1137" i="31"/>
  <c r="C1137" i="31" s="1"/>
  <c r="F1276" i="31"/>
  <c r="H1277" i="31"/>
  <c r="F1265" i="31"/>
  <c r="H1266" i="31"/>
  <c r="F903" i="31"/>
  <c r="H904" i="31"/>
  <c r="A24" i="9"/>
  <c r="D23" i="9"/>
  <c r="F23" i="9" s="1"/>
  <c r="D74" i="6"/>
  <c r="F74" i="6" s="1"/>
  <c r="H703" i="31"/>
  <c r="F702" i="31"/>
  <c r="F158" i="31"/>
  <c r="H159" i="31"/>
  <c r="F925" i="31"/>
  <c r="H926" i="31"/>
  <c r="F713" i="31"/>
  <c r="H714" i="31"/>
  <c r="F155" i="41"/>
  <c r="G155" i="41"/>
  <c r="I156" i="41"/>
  <c r="D155" i="41"/>
  <c r="F746" i="31"/>
  <c r="H747" i="31"/>
  <c r="H171" i="31"/>
  <c r="F170" i="31"/>
  <c r="H177" i="31"/>
  <c r="F1254" i="31"/>
  <c r="H1255" i="31"/>
  <c r="F735" i="31"/>
  <c r="H736" i="31"/>
  <c r="H383" i="31"/>
  <c r="H378" i="31"/>
  <c r="F377" i="31"/>
  <c r="H358" i="31"/>
  <c r="F358" i="31" s="1"/>
  <c r="F357" i="31"/>
  <c r="H141" i="31"/>
  <c r="F141" i="31" s="1"/>
  <c r="F140" i="31"/>
  <c r="F892" i="31"/>
  <c r="H893" i="31"/>
  <c r="H1601" i="31"/>
  <c r="F1600" i="31"/>
  <c r="H1231" i="31" l="1"/>
  <c r="F1230" i="31"/>
  <c r="D181" i="56" a="1"/>
  <c r="D181" i="56" s="1"/>
  <c r="H208" i="56"/>
  <c r="D207" i="56" a="1"/>
  <c r="D207" i="56" s="1"/>
  <c r="D212" i="56" a="1"/>
  <c r="D212" i="56" s="1"/>
  <c r="H213" i="56"/>
  <c r="D202" i="56" a="1"/>
  <c r="D202" i="56" s="1"/>
  <c r="H203" i="56"/>
  <c r="D186" i="56" a="1"/>
  <c r="D186" i="56" s="1"/>
  <c r="H187" i="56"/>
  <c r="H197" i="56"/>
  <c r="D196" i="56" a="1"/>
  <c r="D196" i="56" s="1"/>
  <c r="H192" i="56"/>
  <c r="D191" i="56" a="1"/>
  <c r="D191" i="56" s="1"/>
  <c r="J181" i="41"/>
  <c r="H181" i="41" s="1"/>
  <c r="H180" i="41"/>
  <c r="J169" i="41"/>
  <c r="H169" i="41" s="1"/>
  <c r="H168" i="41"/>
  <c r="J25" i="41"/>
  <c r="H25" i="41" s="1"/>
  <c r="H24" i="41"/>
  <c r="I205" i="41"/>
  <c r="F204" i="41"/>
  <c r="G204" i="41"/>
  <c r="D204" i="41"/>
  <c r="I13" i="41"/>
  <c r="G13" i="41" s="1"/>
  <c r="F12" i="41"/>
  <c r="D12" i="41"/>
  <c r="D72" i="31"/>
  <c r="D73" i="31" s="1"/>
  <c r="D74" i="31" s="1"/>
  <c r="D75" i="31" s="1"/>
  <c r="D76" i="31" s="1"/>
  <c r="D77" i="31" s="1"/>
  <c r="D78" i="31" s="1"/>
  <c r="I1330" i="31"/>
  <c r="G1330" i="31" s="1"/>
  <c r="C1330" i="31" s="1"/>
  <c r="G1329" i="31"/>
  <c r="C1329" i="31" s="1"/>
  <c r="G1389" i="31"/>
  <c r="C1389" i="31" s="1"/>
  <c r="I1390" i="31"/>
  <c r="G1390" i="31" s="1"/>
  <c r="C1390" i="31" s="1"/>
  <c r="I1258" i="31"/>
  <c r="G1258" i="31" s="1"/>
  <c r="C1258" i="31" s="1"/>
  <c r="G1257" i="31"/>
  <c r="C1257" i="31" s="1"/>
  <c r="I922" i="31"/>
  <c r="G922" i="31" s="1"/>
  <c r="C922" i="31" s="1"/>
  <c r="G921" i="31"/>
  <c r="C921" i="31" s="1"/>
  <c r="G1029" i="31"/>
  <c r="C1029" i="31" s="1"/>
  <c r="I1030" i="31"/>
  <c r="G1030" i="31" s="1"/>
  <c r="C1030" i="31" s="1"/>
  <c r="G729" i="31"/>
  <c r="C729" i="31" s="1"/>
  <c r="I730" i="31"/>
  <c r="G730" i="31" s="1"/>
  <c r="C730" i="31" s="1"/>
  <c r="B1699" i="31"/>
  <c r="C1699" i="31"/>
  <c r="G1197" i="31"/>
  <c r="C1197" i="31" s="1"/>
  <c r="I1198" i="31"/>
  <c r="F1197" i="31"/>
  <c r="I982" i="31"/>
  <c r="G982" i="31" s="1"/>
  <c r="C982" i="31" s="1"/>
  <c r="G981" i="31"/>
  <c r="C981" i="31" s="1"/>
  <c r="H43" i="31"/>
  <c r="F43" i="31" s="1"/>
  <c r="F42" i="31"/>
  <c r="F1107" i="31"/>
  <c r="H1108" i="31"/>
  <c r="F72" i="31"/>
  <c r="H73" i="31"/>
  <c r="H79" i="31"/>
  <c r="H1119" i="31"/>
  <c r="F1118" i="31"/>
  <c r="F1140" i="31"/>
  <c r="H1141" i="31"/>
  <c r="H55" i="31"/>
  <c r="F54" i="31"/>
  <c r="G1185" i="31"/>
  <c r="C1185" i="31" s="1"/>
  <c r="I1186" i="31"/>
  <c r="G1186" i="31" s="1"/>
  <c r="C1186" i="31" s="1"/>
  <c r="H1097" i="31"/>
  <c r="F1096" i="31"/>
  <c r="I1342" i="31"/>
  <c r="G1342" i="31" s="1"/>
  <c r="C1342" i="31" s="1"/>
  <c r="G1341" i="31"/>
  <c r="C1341" i="31" s="1"/>
  <c r="F1074" i="31"/>
  <c r="H1075" i="31"/>
  <c r="H1163" i="31"/>
  <c r="H1152" i="31"/>
  <c r="F1151" i="31"/>
  <c r="H1064" i="31"/>
  <c r="F1063" i="31"/>
  <c r="F48" i="31"/>
  <c r="H49" i="31"/>
  <c r="F66" i="31"/>
  <c r="H67" i="31"/>
  <c r="H1130" i="31"/>
  <c r="F1129" i="31"/>
  <c r="I814" i="31"/>
  <c r="G814" i="31" s="1"/>
  <c r="C814" i="31" s="1"/>
  <c r="G813" i="31"/>
  <c r="C813" i="31" s="1"/>
  <c r="F60" i="31"/>
  <c r="H61" i="31"/>
  <c r="F1085" i="31"/>
  <c r="H1086" i="31"/>
  <c r="I1018" i="31"/>
  <c r="G1018" i="31" s="1"/>
  <c r="C1018" i="31" s="1"/>
  <c r="G1017" i="31"/>
  <c r="C1017" i="31" s="1"/>
  <c r="H530" i="31"/>
  <c r="F529" i="31"/>
  <c r="F519" i="31"/>
  <c r="H520" i="31"/>
  <c r="F520" i="31" s="1"/>
  <c r="F539" i="31"/>
  <c r="H545" i="31"/>
  <c r="H540" i="31"/>
  <c r="K1730" i="31"/>
  <c r="K1731" i="31"/>
  <c r="K1733" i="31" s="1"/>
  <c r="H535" i="31"/>
  <c r="F534" i="31"/>
  <c r="H525" i="31"/>
  <c r="F524" i="31"/>
  <c r="F1243" i="31"/>
  <c r="H1244" i="31"/>
  <c r="H1455" i="31"/>
  <c r="F1454" i="31"/>
  <c r="H1465" i="31"/>
  <c r="F1464" i="31"/>
  <c r="H1460" i="31"/>
  <c r="F1459" i="31"/>
  <c r="I1066" i="31"/>
  <c r="G1065" i="31"/>
  <c r="C1065" i="31" s="1"/>
  <c r="H1221" i="31"/>
  <c r="F1220" i="31"/>
  <c r="F1615" i="31"/>
  <c r="H1616" i="31"/>
  <c r="F1449" i="31"/>
  <c r="H1450" i="31"/>
  <c r="F1450" i="31" s="1"/>
  <c r="I910" i="31"/>
  <c r="G910" i="31" s="1"/>
  <c r="C910" i="31" s="1"/>
  <c r="G909" i="31"/>
  <c r="C909" i="31" s="1"/>
  <c r="F682" i="31"/>
  <c r="F904" i="31"/>
  <c r="H905" i="31"/>
  <c r="H770" i="31"/>
  <c r="F769" i="31"/>
  <c r="H148" i="31"/>
  <c r="F148" i="31" s="1"/>
  <c r="F147" i="31"/>
  <c r="H609" i="31"/>
  <c r="F608" i="31"/>
  <c r="F306" i="31"/>
  <c r="H307" i="31"/>
  <c r="H389" i="31"/>
  <c r="F383" i="31"/>
  <c r="H384" i="31"/>
  <c r="F156" i="41"/>
  <c r="G156" i="41"/>
  <c r="I157" i="41"/>
  <c r="D156" i="41"/>
  <c r="F1266" i="31"/>
  <c r="H1267" i="31"/>
  <c r="H971" i="31"/>
  <c r="H960" i="31"/>
  <c r="F959" i="31"/>
  <c r="F618" i="31"/>
  <c r="H619" i="31"/>
  <c r="F363" i="31"/>
  <c r="H364" i="31"/>
  <c r="F364" i="31" s="1"/>
  <c r="F871" i="31"/>
  <c r="H872" i="31"/>
  <c r="F848" i="31"/>
  <c r="H849" i="31"/>
  <c r="H938" i="31"/>
  <c r="F937" i="31"/>
  <c r="F780" i="31"/>
  <c r="H781" i="31"/>
  <c r="H1322" i="31"/>
  <c r="F1321" i="31"/>
  <c r="F893" i="31"/>
  <c r="H894" i="31"/>
  <c r="H379" i="31"/>
  <c r="F378" i="31"/>
  <c r="H178" i="31"/>
  <c r="F177" i="31"/>
  <c r="H184" i="31"/>
  <c r="F882" i="31"/>
  <c r="H883" i="31"/>
  <c r="F171" i="31"/>
  <c r="H172" i="31"/>
  <c r="H1278" i="31"/>
  <c r="F1277" i="31"/>
  <c r="F1310" i="31"/>
  <c r="H1311" i="31"/>
  <c r="F1054" i="31"/>
  <c r="H1689" i="31"/>
  <c r="F1689" i="31" s="1"/>
  <c r="F1688" i="31"/>
  <c r="F692" i="31"/>
  <c r="H693" i="31"/>
  <c r="F1288" i="31"/>
  <c r="H1289" i="31"/>
  <c r="F291" i="31"/>
  <c r="H292" i="31"/>
  <c r="F292" i="31" s="1"/>
  <c r="H374" i="31"/>
  <c r="F373" i="31"/>
  <c r="O45" i="6"/>
  <c r="F758" i="31"/>
  <c r="H759" i="31"/>
  <c r="G826" i="31"/>
  <c r="C826" i="31" s="1"/>
  <c r="F826" i="31"/>
  <c r="F926" i="31"/>
  <c r="H927" i="31"/>
  <c r="H748" i="31"/>
  <c r="F747" i="31"/>
  <c r="H715" i="31"/>
  <c r="F714" i="31"/>
  <c r="F159" i="31"/>
  <c r="H160" i="31"/>
  <c r="A25" i="9"/>
  <c r="D24" i="9"/>
  <c r="F24" i="9" s="1"/>
  <c r="F613" i="31"/>
  <c r="H614" i="31"/>
  <c r="F368" i="31"/>
  <c r="H369" i="31"/>
  <c r="D71" i="41"/>
  <c r="F71" i="41"/>
  <c r="G71" i="41"/>
  <c r="H803" i="31"/>
  <c r="F791" i="31"/>
  <c r="H792" i="31"/>
  <c r="F301" i="31"/>
  <c r="H302" i="31"/>
  <c r="H1344" i="31"/>
  <c r="F1343" i="31"/>
  <c r="H1355" i="31"/>
  <c r="H737" i="31"/>
  <c r="F736" i="31"/>
  <c r="F948" i="31"/>
  <c r="H949" i="31"/>
  <c r="F725" i="31"/>
  <c r="H726" i="31"/>
  <c r="H1333" i="31"/>
  <c r="F1332" i="31"/>
  <c r="F1299" i="31"/>
  <c r="H1300" i="31"/>
  <c r="H604" i="31"/>
  <c r="F604" i="31" s="1"/>
  <c r="F603" i="31"/>
  <c r="H166" i="31"/>
  <c r="F165" i="31"/>
  <c r="F703" i="31"/>
  <c r="H704" i="31"/>
  <c r="F153" i="31"/>
  <c r="H154" i="31"/>
  <c r="H624" i="31"/>
  <c r="H629" i="31"/>
  <c r="F623" i="31"/>
  <c r="H916" i="31"/>
  <c r="F915" i="31"/>
  <c r="F1601" i="31"/>
  <c r="H1602" i="31"/>
  <c r="F1255" i="31"/>
  <c r="H1256" i="31"/>
  <c r="D72" i="41"/>
  <c r="I74" i="41"/>
  <c r="I73" i="41"/>
  <c r="F72" i="41"/>
  <c r="F296" i="31"/>
  <c r="H297" i="31"/>
  <c r="H13" i="41"/>
  <c r="G862" i="31"/>
  <c r="C862" i="31" s="1"/>
  <c r="F862" i="31"/>
  <c r="H1232" i="31" l="1"/>
  <c r="F1231" i="31"/>
  <c r="D187" i="56" a="1"/>
  <c r="D187" i="56" s="1"/>
  <c r="H204" i="56"/>
  <c r="D203" i="56" a="1"/>
  <c r="D203" i="56" s="1"/>
  <c r="H214" i="56"/>
  <c r="D213" i="56" a="1"/>
  <c r="D213" i="56" s="1"/>
  <c r="H209" i="56"/>
  <c r="D208" i="56" a="1"/>
  <c r="D208" i="56" s="1"/>
  <c r="H193" i="56"/>
  <c r="D192" i="56" a="1"/>
  <c r="D192" i="56" s="1"/>
  <c r="H198" i="56"/>
  <c r="D197" i="56" a="1"/>
  <c r="D197" i="56" s="1"/>
  <c r="I14" i="41"/>
  <c r="F13" i="41"/>
  <c r="D13" i="41"/>
  <c r="I206" i="41"/>
  <c r="F205" i="41"/>
  <c r="D205" i="41"/>
  <c r="G205" i="41"/>
  <c r="D79" i="31"/>
  <c r="D80" i="31" s="1"/>
  <c r="D81" i="31" s="1"/>
  <c r="D82" i="31" s="1"/>
  <c r="D83" i="31" s="1"/>
  <c r="D84" i="31" s="1"/>
  <c r="D85" i="31" s="1"/>
  <c r="G1198" i="31"/>
  <c r="C1198" i="31" s="1"/>
  <c r="F1198" i="31"/>
  <c r="H62" i="31"/>
  <c r="F61" i="31"/>
  <c r="H68" i="31"/>
  <c r="F67" i="31"/>
  <c r="H1076" i="31"/>
  <c r="F1075" i="31"/>
  <c r="F55" i="31"/>
  <c r="H56" i="31"/>
  <c r="H74" i="31"/>
  <c r="F73" i="31"/>
  <c r="F1086" i="31"/>
  <c r="H1087" i="31"/>
  <c r="F1152" i="31"/>
  <c r="H1153" i="31"/>
  <c r="H1142" i="31"/>
  <c r="F1141" i="31"/>
  <c r="F1119" i="31"/>
  <c r="H1120" i="31"/>
  <c r="H1131" i="31"/>
  <c r="F1130" i="31"/>
  <c r="H50" i="31"/>
  <c r="F50" i="31" s="1"/>
  <c r="F49" i="31"/>
  <c r="H1065" i="31"/>
  <c r="F1064" i="31"/>
  <c r="H1164" i="31"/>
  <c r="H1175" i="31"/>
  <c r="F1163" i="31"/>
  <c r="H1098" i="31"/>
  <c r="F1097" i="31"/>
  <c r="F79" i="31"/>
  <c r="H86" i="31"/>
  <c r="H80" i="31"/>
  <c r="F1108" i="31"/>
  <c r="H1109" i="31"/>
  <c r="F525" i="31"/>
  <c r="H526" i="31"/>
  <c r="F526" i="31" s="1"/>
  <c r="F545" i="31"/>
  <c r="H546" i="31"/>
  <c r="K1732" i="31"/>
  <c r="K1734" i="31"/>
  <c r="H536" i="31"/>
  <c r="F535" i="31"/>
  <c r="H541" i="31"/>
  <c r="F540" i="31"/>
  <c r="F530" i="31"/>
  <c r="H531" i="31"/>
  <c r="H1617" i="31"/>
  <c r="F1617" i="31" s="1"/>
  <c r="F1616" i="31"/>
  <c r="H1456" i="31"/>
  <c r="F1456" i="31" s="1"/>
  <c r="F1455" i="31"/>
  <c r="G1066" i="31"/>
  <c r="C1066" i="31" s="1"/>
  <c r="F1460" i="31"/>
  <c r="H1461" i="31"/>
  <c r="F1465" i="31"/>
  <c r="H1466" i="31"/>
  <c r="H1245" i="31"/>
  <c r="F1244" i="31"/>
  <c r="F1221" i="31"/>
  <c r="H1222" i="31"/>
  <c r="F1222" i="31" s="1"/>
  <c r="F609" i="31"/>
  <c r="H610" i="31"/>
  <c r="F610" i="31" s="1"/>
  <c r="G73" i="41"/>
  <c r="D73" i="41"/>
  <c r="F73" i="41"/>
  <c r="H155" i="31"/>
  <c r="F155" i="31" s="1"/>
  <c r="F154" i="31"/>
  <c r="F792" i="31"/>
  <c r="H793" i="31"/>
  <c r="H716" i="31"/>
  <c r="F715" i="31"/>
  <c r="H185" i="31"/>
  <c r="H191" i="31"/>
  <c r="F184" i="31"/>
  <c r="F1322" i="31"/>
  <c r="H1323" i="31"/>
  <c r="F849" i="31"/>
  <c r="H850" i="31"/>
  <c r="F850" i="31" s="1"/>
  <c r="H395" i="31"/>
  <c r="H390" i="31"/>
  <c r="F389" i="31"/>
  <c r="H625" i="31"/>
  <c r="F624" i="31"/>
  <c r="F759" i="31"/>
  <c r="H760" i="31"/>
  <c r="H173" i="31"/>
  <c r="F172" i="31"/>
  <c r="H1367" i="31"/>
  <c r="F1355" i="31"/>
  <c r="H1356" i="31"/>
  <c r="H1301" i="31"/>
  <c r="F1300" i="31"/>
  <c r="H727" i="31"/>
  <c r="F726" i="31"/>
  <c r="F748" i="31"/>
  <c r="H749" i="31"/>
  <c r="F178" i="31"/>
  <c r="H179" i="31"/>
  <c r="H873" i="31"/>
  <c r="F872" i="31"/>
  <c r="H972" i="31"/>
  <c r="H983" i="31"/>
  <c r="F971" i="31"/>
  <c r="F307" i="31"/>
  <c r="H308" i="31"/>
  <c r="F693" i="31"/>
  <c r="H694" i="31"/>
  <c r="F694" i="31" s="1"/>
  <c r="F1278" i="31"/>
  <c r="H1279" i="31"/>
  <c r="F619" i="31"/>
  <c r="H620" i="31"/>
  <c r="H385" i="31"/>
  <c r="F384" i="31"/>
  <c r="H1257" i="31"/>
  <c r="F1256" i="31"/>
  <c r="H738" i="31"/>
  <c r="F737" i="31"/>
  <c r="H1603" i="31"/>
  <c r="F1602" i="31"/>
  <c r="F614" i="31"/>
  <c r="H615" i="31"/>
  <c r="H782" i="31"/>
  <c r="F781" i="31"/>
  <c r="F1344" i="31"/>
  <c r="H1345" i="31"/>
  <c r="F803" i="31"/>
  <c r="H804" i="31"/>
  <c r="F927" i="31"/>
  <c r="H928" i="31"/>
  <c r="H1312" i="31"/>
  <c r="F1311" i="31"/>
  <c r="F883" i="31"/>
  <c r="H884" i="31"/>
  <c r="F157" i="41"/>
  <c r="G157" i="41"/>
  <c r="I158" i="41"/>
  <c r="D157" i="41"/>
  <c r="F770" i="31"/>
  <c r="H771" i="31"/>
  <c r="F629" i="31"/>
  <c r="H630" i="31"/>
  <c r="H635" i="31"/>
  <c r="I75" i="41"/>
  <c r="D74" i="41"/>
  <c r="I76" i="41"/>
  <c r="H961" i="31"/>
  <c r="F960" i="31"/>
  <c r="F297" i="31"/>
  <c r="H298" i="31"/>
  <c r="F298" i="31" s="1"/>
  <c r="H705" i="31"/>
  <c r="F704" i="31"/>
  <c r="H950" i="31"/>
  <c r="F949" i="31"/>
  <c r="H303" i="31"/>
  <c r="F302" i="31"/>
  <c r="D25" i="9"/>
  <c r="F25" i="9" s="1"/>
  <c r="A44" i="9"/>
  <c r="F374" i="31"/>
  <c r="H375" i="31"/>
  <c r="F1289" i="31"/>
  <c r="H1290" i="31"/>
  <c r="F379" i="31"/>
  <c r="H380" i="31"/>
  <c r="H939" i="31"/>
  <c r="F938" i="31"/>
  <c r="H1268" i="31"/>
  <c r="F1267" i="31"/>
  <c r="F905" i="31"/>
  <c r="H906" i="31"/>
  <c r="F916" i="31"/>
  <c r="H917" i="31"/>
  <c r="F166" i="31"/>
  <c r="H167" i="31"/>
  <c r="F369" i="31"/>
  <c r="H370" i="31"/>
  <c r="F370" i="31" s="1"/>
  <c r="H1334" i="31"/>
  <c r="F1333" i="31"/>
  <c r="F160" i="31"/>
  <c r="H161" i="31"/>
  <c r="F894" i="31"/>
  <c r="H895" i="31"/>
  <c r="H1233" i="31" l="1"/>
  <c r="F1232" i="31"/>
  <c r="D193" i="56" a="1"/>
  <c r="D193" i="56" s="1"/>
  <c r="H210" i="56"/>
  <c r="D209" i="56" a="1"/>
  <c r="D209" i="56" s="1"/>
  <c r="H215" i="56"/>
  <c r="D214" i="56" a="1"/>
  <c r="D214" i="56" s="1"/>
  <c r="H205" i="56"/>
  <c r="D204" i="56" a="1"/>
  <c r="D204" i="56" s="1"/>
  <c r="H199" i="56"/>
  <c r="D198" i="56" a="1"/>
  <c r="D198" i="56" s="1"/>
  <c r="I207" i="41"/>
  <c r="D206" i="41"/>
  <c r="G206" i="41"/>
  <c r="I15" i="41"/>
  <c r="D14" i="41"/>
  <c r="G14" i="41"/>
  <c r="D86" i="31"/>
  <c r="D87" i="31" s="1"/>
  <c r="D88" i="31" s="1"/>
  <c r="D89" i="31" s="1"/>
  <c r="D90" i="31" s="1"/>
  <c r="D91" i="31" s="1"/>
  <c r="D92" i="31" s="1"/>
  <c r="F1120" i="31"/>
  <c r="H1121" i="31"/>
  <c r="H1143" i="31"/>
  <c r="F1142" i="31"/>
  <c r="F1087" i="31"/>
  <c r="H1088" i="31"/>
  <c r="F74" i="31"/>
  <c r="H75" i="31"/>
  <c r="F68" i="31"/>
  <c r="H69" i="31"/>
  <c r="H81" i="31"/>
  <c r="F80" i="31"/>
  <c r="H1176" i="31"/>
  <c r="F1175" i="31"/>
  <c r="H1066" i="31"/>
  <c r="F1066" i="31" s="1"/>
  <c r="F1065" i="31"/>
  <c r="H1154" i="31"/>
  <c r="F1153" i="31"/>
  <c r="H57" i="31"/>
  <c r="F57" i="31" s="1"/>
  <c r="F56" i="31"/>
  <c r="F1076" i="31"/>
  <c r="H1077" i="31"/>
  <c r="F1109" i="31"/>
  <c r="H1110" i="31"/>
  <c r="F86" i="31"/>
  <c r="H87" i="31"/>
  <c r="F1098" i="31"/>
  <c r="H1099" i="31"/>
  <c r="H1165" i="31"/>
  <c r="F1164" i="31"/>
  <c r="H1132" i="31"/>
  <c r="F1131" i="31"/>
  <c r="H63" i="31"/>
  <c r="F62" i="31"/>
  <c r="H532" i="31"/>
  <c r="F532" i="31" s="1"/>
  <c r="F531" i="31"/>
  <c r="H542" i="31"/>
  <c r="F541" i="31"/>
  <c r="F536" i="31"/>
  <c r="H537" i="31"/>
  <c r="F546" i="31"/>
  <c r="H547" i="31"/>
  <c r="H1462" i="31"/>
  <c r="F1462" i="31" s="1"/>
  <c r="F1461" i="31"/>
  <c r="F1245" i="31"/>
  <c r="H1246" i="31"/>
  <c r="F1246" i="31" s="1"/>
  <c r="H1467" i="31"/>
  <c r="F1466" i="31"/>
  <c r="H739" i="31"/>
  <c r="F738" i="31"/>
  <c r="F727" i="31"/>
  <c r="H728" i="31"/>
  <c r="F303" i="31"/>
  <c r="H304" i="31"/>
  <c r="F304" i="31" s="1"/>
  <c r="F961" i="31"/>
  <c r="H962" i="31"/>
  <c r="F1312" i="31"/>
  <c r="H1313" i="31"/>
  <c r="F1345" i="31"/>
  <c r="H1346" i="31"/>
  <c r="H616" i="31"/>
  <c r="F616" i="31" s="1"/>
  <c r="F615" i="31"/>
  <c r="F1257" i="31"/>
  <c r="H1258" i="31"/>
  <c r="F1258" i="31" s="1"/>
  <c r="F1301" i="31"/>
  <c r="H1302" i="31"/>
  <c r="H1357" i="31"/>
  <c r="F1356" i="31"/>
  <c r="H717" i="31"/>
  <c r="F716" i="31"/>
  <c r="F873" i="31"/>
  <c r="H874" i="31"/>
  <c r="F874" i="31" s="1"/>
  <c r="H174" i="31"/>
  <c r="F173" i="31"/>
  <c r="H401" i="31"/>
  <c r="F395" i="31"/>
  <c r="H396" i="31"/>
  <c r="H186" i="31"/>
  <c r="F185" i="31"/>
  <c r="F917" i="31"/>
  <c r="H918" i="31"/>
  <c r="H381" i="31"/>
  <c r="F380" i="31"/>
  <c r="H772" i="31"/>
  <c r="F771" i="31"/>
  <c r="H309" i="31"/>
  <c r="F308" i="31"/>
  <c r="F179" i="31"/>
  <c r="H180" i="31"/>
  <c r="H761" i="31"/>
  <c r="F760" i="31"/>
  <c r="H896" i="31"/>
  <c r="F895" i="31"/>
  <c r="F906" i="31"/>
  <c r="H907" i="31"/>
  <c r="F1290" i="31"/>
  <c r="H1291" i="31"/>
  <c r="F928" i="31"/>
  <c r="H929" i="31"/>
  <c r="H1324" i="31"/>
  <c r="F1323" i="31"/>
  <c r="H794" i="31"/>
  <c r="F793" i="31"/>
  <c r="F950" i="31"/>
  <c r="H951" i="31"/>
  <c r="G158" i="41"/>
  <c r="I159" i="41"/>
  <c r="D158" i="41"/>
  <c r="H386" i="31"/>
  <c r="F385" i="31"/>
  <c r="F1367" i="31"/>
  <c r="H1368" i="31"/>
  <c r="H1379" i="31"/>
  <c r="H626" i="31"/>
  <c r="F625" i="31"/>
  <c r="F1334" i="31"/>
  <c r="H1335" i="31"/>
  <c r="F939" i="31"/>
  <c r="H940" i="31"/>
  <c r="H805" i="31"/>
  <c r="F804" i="31"/>
  <c r="H641" i="31"/>
  <c r="F635" i="31"/>
  <c r="H636" i="31"/>
  <c r="F749" i="31"/>
  <c r="H750" i="31"/>
  <c r="F972" i="31"/>
  <c r="H973" i="31"/>
  <c r="H192" i="31"/>
  <c r="F191" i="31"/>
  <c r="H198" i="31"/>
  <c r="G75" i="41"/>
  <c r="D75" i="41"/>
  <c r="F161" i="31"/>
  <c r="H162" i="31"/>
  <c r="F162" i="31" s="1"/>
  <c r="F375" i="31"/>
  <c r="H376" i="31"/>
  <c r="F376" i="31" s="1"/>
  <c r="F1603" i="31"/>
  <c r="H621" i="31"/>
  <c r="F620" i="31"/>
  <c r="F983" i="31"/>
  <c r="H984" i="31"/>
  <c r="H995" i="31"/>
  <c r="H1269" i="31"/>
  <c r="F1268" i="31"/>
  <c r="F705" i="31"/>
  <c r="H706" i="31"/>
  <c r="F706" i="31" s="1"/>
  <c r="F76" i="41"/>
  <c r="D76" i="41"/>
  <c r="I77" i="41"/>
  <c r="G76" i="41"/>
  <c r="I78" i="41"/>
  <c r="F630" i="31"/>
  <c r="H631" i="31"/>
  <c r="F167" i="31"/>
  <c r="H168" i="31"/>
  <c r="A45" i="9"/>
  <c r="D44" i="9"/>
  <c r="F44" i="9" s="1"/>
  <c r="D93" i="31" s="1"/>
  <c r="D94" i="31" s="1"/>
  <c r="D95" i="31" s="1"/>
  <c r="D96" i="31" s="1"/>
  <c r="D97" i="31" s="1"/>
  <c r="D98" i="31" s="1"/>
  <c r="D99" i="31" s="1"/>
  <c r="F884" i="31"/>
  <c r="H885" i="31"/>
  <c r="F782" i="31"/>
  <c r="H783" i="31"/>
  <c r="H1280" i="31"/>
  <c r="F1279" i="31"/>
  <c r="H391" i="31"/>
  <c r="F390" i="31"/>
  <c r="H1234" i="31" l="1"/>
  <c r="F1234" i="31" s="1"/>
  <c r="F1233" i="31"/>
  <c r="D199" i="56" a="1"/>
  <c r="D199" i="56" s="1"/>
  <c r="D205" i="56" a="1"/>
  <c r="D205" i="56" s="1"/>
  <c r="D215" i="56" a="1"/>
  <c r="D215" i="56" s="1"/>
  <c r="H216" i="56"/>
  <c r="H211" i="56"/>
  <c r="D210" i="56" a="1"/>
  <c r="D210" i="56" s="1"/>
  <c r="D15" i="41"/>
  <c r="F15" i="41"/>
  <c r="I16" i="41"/>
  <c r="G15" i="41"/>
  <c r="I208" i="41"/>
  <c r="F207" i="41"/>
  <c r="G207" i="41"/>
  <c r="D207" i="41"/>
  <c r="H64" i="31"/>
  <c r="F64" i="31" s="1"/>
  <c r="F63" i="31"/>
  <c r="H1111" i="31"/>
  <c r="F1110" i="31"/>
  <c r="H1144" i="31"/>
  <c r="F1143" i="31"/>
  <c r="F1165" i="31"/>
  <c r="H1166" i="31"/>
  <c r="H88" i="31"/>
  <c r="F87" i="31"/>
  <c r="F1154" i="31"/>
  <c r="H1155" i="31"/>
  <c r="F81" i="31"/>
  <c r="H82" i="31"/>
  <c r="H76" i="31"/>
  <c r="F75" i="31"/>
  <c r="H1122" i="31"/>
  <c r="F1121" i="31"/>
  <c r="F1088" i="31"/>
  <c r="H1089" i="31"/>
  <c r="F1132" i="31"/>
  <c r="H1133" i="31"/>
  <c r="F1099" i="31"/>
  <c r="H1100" i="31"/>
  <c r="H1078" i="31"/>
  <c r="F1078" i="31" s="1"/>
  <c r="F1077" i="31"/>
  <c r="H1177" i="31"/>
  <c r="F1176" i="31"/>
  <c r="F69" i="31"/>
  <c r="H70" i="31"/>
  <c r="H543" i="31"/>
  <c r="F542" i="31"/>
  <c r="H548" i="31"/>
  <c r="F547" i="31"/>
  <c r="F537" i="31"/>
  <c r="H538" i="31"/>
  <c r="F538" i="31" s="1"/>
  <c r="F1467" i="31"/>
  <c r="H1468" i="31"/>
  <c r="F1468" i="31" s="1"/>
  <c r="H751" i="31"/>
  <c r="F750" i="31"/>
  <c r="H952" i="31"/>
  <c r="F951" i="31"/>
  <c r="F896" i="31"/>
  <c r="H897" i="31"/>
  <c r="H718" i="31"/>
  <c r="F718" i="31" s="1"/>
  <c r="F717" i="31"/>
  <c r="H1007" i="31"/>
  <c r="H996" i="31"/>
  <c r="F995" i="31"/>
  <c r="F198" i="31"/>
  <c r="H205" i="31"/>
  <c r="H199" i="31"/>
  <c r="H806" i="31"/>
  <c r="F805" i="31"/>
  <c r="F1291" i="31"/>
  <c r="H1292" i="31"/>
  <c r="F1346" i="31"/>
  <c r="H1347" i="31"/>
  <c r="F626" i="31"/>
  <c r="H627" i="31"/>
  <c r="H886" i="31"/>
  <c r="F886" i="31" s="1"/>
  <c r="F885" i="31"/>
  <c r="H1380" i="31"/>
  <c r="H1391" i="31"/>
  <c r="F1379" i="31"/>
  <c r="G77" i="41"/>
  <c r="F77" i="41"/>
  <c r="D77" i="41"/>
  <c r="F984" i="31"/>
  <c r="H985" i="31"/>
  <c r="F940" i="31"/>
  <c r="H941" i="31"/>
  <c r="H1369" i="31"/>
  <c r="F1368" i="31"/>
  <c r="H795" i="31"/>
  <c r="F794" i="31"/>
  <c r="F761" i="31"/>
  <c r="H762" i="31"/>
  <c r="D45" i="9"/>
  <c r="F45" i="9" s="1"/>
  <c r="D100" i="31" s="1"/>
  <c r="D101" i="31" s="1"/>
  <c r="D102" i="31" s="1"/>
  <c r="D103" i="31" s="1"/>
  <c r="D104" i="31" s="1"/>
  <c r="D105" i="31" s="1"/>
  <c r="D106" i="31" s="1"/>
  <c r="A46" i="9"/>
  <c r="H193" i="31"/>
  <c r="F192" i="31"/>
  <c r="G159" i="41"/>
  <c r="I160" i="41"/>
  <c r="D159" i="41"/>
  <c r="F159" i="41"/>
  <c r="F907" i="31"/>
  <c r="H908" i="31"/>
  <c r="F180" i="31"/>
  <c r="H181" i="31"/>
  <c r="F1302" i="31"/>
  <c r="H1303" i="31"/>
  <c r="F1313" i="31"/>
  <c r="H1314" i="31"/>
  <c r="H729" i="31"/>
  <c r="F728" i="31"/>
  <c r="H647" i="31"/>
  <c r="H642" i="31"/>
  <c r="F641" i="31"/>
  <c r="H387" i="31"/>
  <c r="F386" i="31"/>
  <c r="H919" i="31"/>
  <c r="F918" i="31"/>
  <c r="H397" i="31"/>
  <c r="F396" i="31"/>
  <c r="H392" i="31"/>
  <c r="F391" i="31"/>
  <c r="G78" i="41"/>
  <c r="D78" i="41"/>
  <c r="F78" i="41"/>
  <c r="I79" i="41"/>
  <c r="I80" i="41"/>
  <c r="F1269" i="31"/>
  <c r="H1270" i="31"/>
  <c r="F1270" i="31" s="1"/>
  <c r="H773" i="31"/>
  <c r="F772" i="31"/>
  <c r="F168" i="31"/>
  <c r="H169" i="31"/>
  <c r="F169" i="31" s="1"/>
  <c r="F636" i="31"/>
  <c r="H637" i="31"/>
  <c r="H1336" i="31"/>
  <c r="F1335" i="31"/>
  <c r="F1324" i="31"/>
  <c r="H1325" i="31"/>
  <c r="F174" i="31"/>
  <c r="H175" i="31"/>
  <c r="H963" i="31"/>
  <c r="F962" i="31"/>
  <c r="H930" i="31"/>
  <c r="F929" i="31"/>
  <c r="F401" i="31"/>
  <c r="H407" i="31"/>
  <c r="H402" i="31"/>
  <c r="H1358" i="31"/>
  <c r="F1357" i="31"/>
  <c r="F1280" i="31"/>
  <c r="H1281" i="31"/>
  <c r="F973" i="31"/>
  <c r="H974" i="31"/>
  <c r="H784" i="31"/>
  <c r="F783" i="31"/>
  <c r="H632" i="31"/>
  <c r="F631" i="31"/>
  <c r="H622" i="31"/>
  <c r="F622" i="31" s="1"/>
  <c r="F621" i="31"/>
  <c r="F309" i="31"/>
  <c r="H310" i="31"/>
  <c r="F310" i="31" s="1"/>
  <c r="H382" i="31"/>
  <c r="F382" i="31" s="1"/>
  <c r="F381" i="31"/>
  <c r="F186" i="31"/>
  <c r="H187" i="31"/>
  <c r="H740" i="31"/>
  <c r="F739" i="31"/>
  <c r="D211" i="56" l="1" a="1"/>
  <c r="D211" i="56" s="1"/>
  <c r="H217" i="56"/>
  <c r="D216" i="56" a="1"/>
  <c r="D216" i="56" s="1"/>
  <c r="I209" i="41"/>
  <c r="F208" i="41"/>
  <c r="G208" i="41"/>
  <c r="D208" i="41"/>
  <c r="G16" i="41"/>
  <c r="D16" i="41"/>
  <c r="I17" i="41"/>
  <c r="F16" i="41"/>
  <c r="F70" i="31"/>
  <c r="H71" i="31"/>
  <c r="F71" i="31" s="1"/>
  <c r="H1178" i="31"/>
  <c r="F1177" i="31"/>
  <c r="H1101" i="31"/>
  <c r="F1100" i="31"/>
  <c r="H77" i="31"/>
  <c r="F76" i="31"/>
  <c r="F1155" i="31"/>
  <c r="H1156" i="31"/>
  <c r="H89" i="31"/>
  <c r="F88" i="31"/>
  <c r="H1112" i="31"/>
  <c r="F1111" i="31"/>
  <c r="F1089" i="31"/>
  <c r="H1090" i="31"/>
  <c r="F1090" i="31" s="1"/>
  <c r="H1123" i="31"/>
  <c r="F1122" i="31"/>
  <c r="F82" i="31"/>
  <c r="H83" i="31"/>
  <c r="H1167" i="31"/>
  <c r="F1166" i="31"/>
  <c r="F1144" i="31"/>
  <c r="H1145" i="31"/>
  <c r="F1133" i="31"/>
  <c r="H1134" i="31"/>
  <c r="F548" i="31"/>
  <c r="H549" i="31"/>
  <c r="F543" i="31"/>
  <c r="H544" i="31"/>
  <c r="F544" i="31" s="1"/>
  <c r="H653" i="31"/>
  <c r="F647" i="31"/>
  <c r="H648" i="31"/>
  <c r="F1369" i="31"/>
  <c r="H1370" i="31"/>
  <c r="F1347" i="31"/>
  <c r="H1348" i="31"/>
  <c r="H997" i="31"/>
  <c r="F996" i="31"/>
  <c r="H898" i="31"/>
  <c r="F898" i="31" s="1"/>
  <c r="F897" i="31"/>
  <c r="F407" i="31"/>
  <c r="H408" i="31"/>
  <c r="H413" i="31"/>
  <c r="I81" i="41"/>
  <c r="I82" i="41"/>
  <c r="G80" i="41"/>
  <c r="F80" i="41"/>
  <c r="D80" i="41"/>
  <c r="F193" i="31"/>
  <c r="H194" i="31"/>
  <c r="F908" i="31"/>
  <c r="H909" i="31"/>
  <c r="H1008" i="31"/>
  <c r="H1019" i="31"/>
  <c r="F1007" i="31"/>
  <c r="F387" i="31"/>
  <c r="H388" i="31"/>
  <c r="F388" i="31" s="1"/>
  <c r="F627" i="31"/>
  <c r="H628" i="31"/>
  <c r="F628" i="31" s="1"/>
  <c r="F1292" i="31"/>
  <c r="H1293" i="31"/>
  <c r="H200" i="31"/>
  <c r="F199" i="31"/>
  <c r="H188" i="31"/>
  <c r="F187" i="31"/>
  <c r="H975" i="31"/>
  <c r="F974" i="31"/>
  <c r="H638" i="31"/>
  <c r="F637" i="31"/>
  <c r="F397" i="31"/>
  <c r="H398" i="31"/>
  <c r="H796" i="31"/>
  <c r="F795" i="31"/>
  <c r="F729" i="31"/>
  <c r="H730" i="31"/>
  <c r="F730" i="31" s="1"/>
  <c r="H1315" i="31"/>
  <c r="F1314" i="31"/>
  <c r="F632" i="31"/>
  <c r="H633" i="31"/>
  <c r="H1359" i="31"/>
  <c r="F1358" i="31"/>
  <c r="F963" i="31"/>
  <c r="H964" i="31"/>
  <c r="H774" i="31"/>
  <c r="F773" i="31"/>
  <c r="H1304" i="31"/>
  <c r="F1303" i="31"/>
  <c r="G160" i="41"/>
  <c r="I161" i="41"/>
  <c r="F160" i="41"/>
  <c r="D160" i="41"/>
  <c r="F762" i="31"/>
  <c r="H763" i="31"/>
  <c r="H986" i="31"/>
  <c r="F985" i="31"/>
  <c r="F952" i="31"/>
  <c r="H953" i="31"/>
  <c r="F79" i="41"/>
  <c r="D79" i="41"/>
  <c r="G79" i="41"/>
  <c r="D46" i="9"/>
  <c r="F46" i="9" s="1"/>
  <c r="D107" i="31" s="1"/>
  <c r="D108" i="31" s="1"/>
  <c r="D109" i="31" s="1"/>
  <c r="D110" i="31" s="1"/>
  <c r="D111" i="31" s="1"/>
  <c r="D112" i="31" s="1"/>
  <c r="D113" i="31" s="1"/>
  <c r="A47" i="9"/>
  <c r="F919" i="31"/>
  <c r="H920" i="31"/>
  <c r="F392" i="31"/>
  <c r="H393" i="31"/>
  <c r="F205" i="31"/>
  <c r="H206" i="31"/>
  <c r="F1380" i="31"/>
  <c r="H1381" i="31"/>
  <c r="H1282" i="31"/>
  <c r="F1282" i="31" s="1"/>
  <c r="F1281" i="31"/>
  <c r="H1326" i="31"/>
  <c r="F1325" i="31"/>
  <c r="F930" i="31"/>
  <c r="H931" i="31"/>
  <c r="F941" i="31"/>
  <c r="H942" i="31"/>
  <c r="H403" i="31"/>
  <c r="F402" i="31"/>
  <c r="H176" i="31"/>
  <c r="F176" i="31" s="1"/>
  <c r="F175" i="31"/>
  <c r="H741" i="31"/>
  <c r="F740" i="31"/>
  <c r="F784" i="31"/>
  <c r="H785" i="31"/>
  <c r="F1336" i="31"/>
  <c r="H1337" i="31"/>
  <c r="F642" i="31"/>
  <c r="H643" i="31"/>
  <c r="H182" i="31"/>
  <c r="F181" i="31"/>
  <c r="F1391" i="31"/>
  <c r="H1392" i="31"/>
  <c r="F806" i="31"/>
  <c r="H807" i="31"/>
  <c r="H752" i="31"/>
  <c r="F751" i="31"/>
  <c r="D217" i="56" l="1" a="1"/>
  <c r="D217" i="56" s="1"/>
  <c r="D17" i="41"/>
  <c r="F17" i="41"/>
  <c r="G17" i="41"/>
  <c r="I18" i="41"/>
  <c r="F209" i="41"/>
  <c r="G209" i="41"/>
  <c r="I210" i="41"/>
  <c r="D209" i="41"/>
  <c r="F1167" i="31"/>
  <c r="H1168" i="31"/>
  <c r="F1178" i="31"/>
  <c r="H1179" i="31"/>
  <c r="H1146" i="31"/>
  <c r="F1145" i="31"/>
  <c r="F1134" i="31"/>
  <c r="H1135" i="31"/>
  <c r="H84" i="31"/>
  <c r="F83" i="31"/>
  <c r="F1123" i="31"/>
  <c r="H1124" i="31"/>
  <c r="F89" i="31"/>
  <c r="H90" i="31"/>
  <c r="H1102" i="31"/>
  <c r="F1102" i="31" s="1"/>
  <c r="F1101" i="31"/>
  <c r="H1113" i="31"/>
  <c r="F1112" i="31"/>
  <c r="F1156" i="31"/>
  <c r="H1157" i="31"/>
  <c r="H78" i="31"/>
  <c r="F78" i="31" s="1"/>
  <c r="F77" i="31"/>
  <c r="F549" i="31"/>
  <c r="H550" i="31"/>
  <c r="F550" i="31" s="1"/>
  <c r="F182" i="31"/>
  <c r="H183" i="31"/>
  <c r="F183" i="31" s="1"/>
  <c r="A48" i="9"/>
  <c r="D47" i="9"/>
  <c r="F47" i="9" s="1"/>
  <c r="D114" i="31" s="1"/>
  <c r="D115" i="31" s="1"/>
  <c r="D116" i="31" s="1"/>
  <c r="D117" i="31" s="1"/>
  <c r="D118" i="31" s="1"/>
  <c r="D119" i="31" s="1"/>
  <c r="D120" i="31" s="1"/>
  <c r="H1305" i="31"/>
  <c r="F1304" i="31"/>
  <c r="F633" i="31"/>
  <c r="H634" i="31"/>
  <c r="F634" i="31" s="1"/>
  <c r="F1293" i="31"/>
  <c r="H1294" i="31"/>
  <c r="F1294" i="31" s="1"/>
  <c r="F194" i="31"/>
  <c r="H195" i="31"/>
  <c r="F408" i="31"/>
  <c r="H409" i="31"/>
  <c r="F807" i="31"/>
  <c r="H808" i="31"/>
  <c r="H1327" i="31"/>
  <c r="F1326" i="31"/>
  <c r="H775" i="31"/>
  <c r="F774" i="31"/>
  <c r="H639" i="31"/>
  <c r="F638" i="31"/>
  <c r="H1371" i="31"/>
  <c r="F1370" i="31"/>
  <c r="F1337" i="31"/>
  <c r="H1338" i="31"/>
  <c r="H1393" i="31"/>
  <c r="F1392" i="31"/>
  <c r="H976" i="31"/>
  <c r="F975" i="31"/>
  <c r="F1008" i="31"/>
  <c r="H1009" i="31"/>
  <c r="H649" i="31"/>
  <c r="F648" i="31"/>
  <c r="H207" i="31"/>
  <c r="F206" i="31"/>
  <c r="F986" i="31"/>
  <c r="H987" i="31"/>
  <c r="F200" i="31"/>
  <c r="H201" i="31"/>
  <c r="H414" i="31"/>
  <c r="F413" i="31"/>
  <c r="H644" i="31"/>
  <c r="F643" i="31"/>
  <c r="F763" i="31"/>
  <c r="H764" i="31"/>
  <c r="F1019" i="31"/>
  <c r="H1020" i="31"/>
  <c r="F785" i="31"/>
  <c r="H786" i="31"/>
  <c r="F942" i="31"/>
  <c r="H943" i="31"/>
  <c r="H1382" i="31"/>
  <c r="F1381" i="31"/>
  <c r="G161" i="41"/>
  <c r="I162" i="41"/>
  <c r="D161" i="41"/>
  <c r="F161" i="41"/>
  <c r="F964" i="31"/>
  <c r="H965" i="31"/>
  <c r="H404" i="31"/>
  <c r="F403" i="31"/>
  <c r="H394" i="31"/>
  <c r="F394" i="31" s="1"/>
  <c r="F393" i="31"/>
  <c r="F1315" i="31"/>
  <c r="H1316" i="31"/>
  <c r="H797" i="31"/>
  <c r="F796" i="31"/>
  <c r="H189" i="31"/>
  <c r="F188" i="31"/>
  <c r="D82" i="41"/>
  <c r="F82" i="41"/>
  <c r="G82" i="41"/>
  <c r="I84" i="41"/>
  <c r="I83" i="41"/>
  <c r="F741" i="31"/>
  <c r="H742" i="31"/>
  <c r="F742" i="31" s="1"/>
  <c r="H1360" i="31"/>
  <c r="F1359" i="31"/>
  <c r="F1348" i="31"/>
  <c r="H1349" i="31"/>
  <c r="F752" i="31"/>
  <c r="H753" i="31"/>
  <c r="H921" i="31"/>
  <c r="F920" i="31"/>
  <c r="F931" i="31"/>
  <c r="H932" i="31"/>
  <c r="H954" i="31"/>
  <c r="F953" i="31"/>
  <c r="H399" i="31"/>
  <c r="F398" i="31"/>
  <c r="F909" i="31"/>
  <c r="H910" i="31"/>
  <c r="F910" i="31" s="1"/>
  <c r="D81" i="41"/>
  <c r="F81" i="41"/>
  <c r="G81" i="41"/>
  <c r="F997" i="31"/>
  <c r="H998" i="31"/>
  <c r="H654" i="31"/>
  <c r="F653" i="31"/>
  <c r="I211" i="41" l="1"/>
  <c r="F210" i="41"/>
  <c r="G210" i="41"/>
  <c r="D210" i="41"/>
  <c r="G18" i="41"/>
  <c r="D18" i="41"/>
  <c r="F18" i="41"/>
  <c r="I19" i="41"/>
  <c r="H1125" i="31"/>
  <c r="F1124" i="31"/>
  <c r="H85" i="31"/>
  <c r="F85" i="31" s="1"/>
  <c r="F84" i="31"/>
  <c r="H1158" i="31"/>
  <c r="F1157" i="31"/>
  <c r="H1114" i="31"/>
  <c r="F1114" i="31" s="1"/>
  <c r="F1113" i="31"/>
  <c r="F90" i="31"/>
  <c r="H91" i="31"/>
  <c r="H1136" i="31"/>
  <c r="F1135" i="31"/>
  <c r="H1147" i="31"/>
  <c r="F1146" i="31"/>
  <c r="F1168" i="31"/>
  <c r="H1169" i="31"/>
  <c r="H1180" i="31"/>
  <c r="F1179" i="31"/>
  <c r="F965" i="31"/>
  <c r="H966" i="31"/>
  <c r="F1382" i="31"/>
  <c r="H1383" i="31"/>
  <c r="H955" i="31"/>
  <c r="F954" i="31"/>
  <c r="F943" i="31"/>
  <c r="H944" i="31"/>
  <c r="H988" i="31"/>
  <c r="F987" i="31"/>
  <c r="H1339" i="31"/>
  <c r="F1338" i="31"/>
  <c r="H202" i="31"/>
  <c r="F201" i="31"/>
  <c r="H1010" i="31"/>
  <c r="F1009" i="31"/>
  <c r="H196" i="31"/>
  <c r="F195" i="31"/>
  <c r="H190" i="31"/>
  <c r="F190" i="31" s="1"/>
  <c r="F189" i="31"/>
  <c r="H1317" i="31"/>
  <c r="F1316" i="31"/>
  <c r="H787" i="31"/>
  <c r="F786" i="31"/>
  <c r="H645" i="31"/>
  <c r="F644" i="31"/>
  <c r="H809" i="31"/>
  <c r="F808" i="31"/>
  <c r="H400" i="31"/>
  <c r="F400" i="31" s="1"/>
  <c r="F399" i="31"/>
  <c r="H776" i="31"/>
  <c r="F775" i="31"/>
  <c r="H754" i="31"/>
  <c r="F754" i="31" s="1"/>
  <c r="F753" i="31"/>
  <c r="H1328" i="31"/>
  <c r="F1327" i="31"/>
  <c r="F84" i="41"/>
  <c r="I86" i="41"/>
  <c r="D84" i="41"/>
  <c r="I85" i="41"/>
  <c r="G84" i="41"/>
  <c r="G162" i="41"/>
  <c r="I163" i="41"/>
  <c r="D162" i="41"/>
  <c r="F162" i="41"/>
  <c r="H1350" i="31"/>
  <c r="F1349" i="31"/>
  <c r="F207" i="31"/>
  <c r="H208" i="31"/>
  <c r="F1371" i="31"/>
  <c r="H1372" i="31"/>
  <c r="D48" i="9"/>
  <c r="F48" i="9" s="1"/>
  <c r="D121" i="31" s="1"/>
  <c r="D122" i="31" s="1"/>
  <c r="D123" i="31" s="1"/>
  <c r="D124" i="31" s="1"/>
  <c r="D125" i="31" s="1"/>
  <c r="D126" i="31" s="1"/>
  <c r="D127" i="31" s="1"/>
  <c r="A49" i="9"/>
  <c r="H798" i="31"/>
  <c r="F797" i="31"/>
  <c r="H415" i="31"/>
  <c r="F414" i="31"/>
  <c r="F409" i="31"/>
  <c r="H410" i="31"/>
  <c r="H999" i="31"/>
  <c r="F998" i="31"/>
  <c r="F1360" i="31"/>
  <c r="H1361" i="31"/>
  <c r="H765" i="31"/>
  <c r="F764" i="31"/>
  <c r="H933" i="31"/>
  <c r="F932" i="31"/>
  <c r="F83" i="41"/>
  <c r="D83" i="41"/>
  <c r="G83" i="41"/>
  <c r="F404" i="31"/>
  <c r="H405" i="31"/>
  <c r="H977" i="31"/>
  <c r="F976" i="31"/>
  <c r="F1305" i="31"/>
  <c r="H1306" i="31"/>
  <c r="F1306" i="31" s="1"/>
  <c r="F921" i="31"/>
  <c r="H922" i="31"/>
  <c r="F922" i="31" s="1"/>
  <c r="H655" i="31"/>
  <c r="F654" i="31"/>
  <c r="H1021" i="31"/>
  <c r="F1020" i="31"/>
  <c r="H650" i="31"/>
  <c r="F649" i="31"/>
  <c r="F1393" i="31"/>
  <c r="H1394" i="31"/>
  <c r="F639" i="31"/>
  <c r="H640" i="31"/>
  <c r="F640" i="31" s="1"/>
  <c r="D19" i="41" l="1"/>
  <c r="G19" i="41"/>
  <c r="I20" i="41"/>
  <c r="F19" i="41"/>
  <c r="F211" i="41"/>
  <c r="G211" i="41"/>
  <c r="I212" i="41"/>
  <c r="D211" i="41"/>
  <c r="F1180" i="31"/>
  <c r="H1181" i="31"/>
  <c r="H1137" i="31"/>
  <c r="F1136" i="31"/>
  <c r="H1159" i="31"/>
  <c r="F1158" i="31"/>
  <c r="F1169" i="31"/>
  <c r="H1170" i="31"/>
  <c r="F1147" i="31"/>
  <c r="H1148" i="31"/>
  <c r="H92" i="31"/>
  <c r="F92" i="31" s="1"/>
  <c r="F91" i="31"/>
  <c r="H1126" i="31"/>
  <c r="F1126" i="31" s="1"/>
  <c r="F1125" i="31"/>
  <c r="F86" i="41"/>
  <c r="G86" i="41"/>
  <c r="I88" i="41"/>
  <c r="D86" i="41"/>
  <c r="I87" i="41"/>
  <c r="F944" i="31"/>
  <c r="H945" i="31"/>
  <c r="F1317" i="31"/>
  <c r="H1318" i="31"/>
  <c r="F1318" i="31" s="1"/>
  <c r="H1373" i="31"/>
  <c r="F1372" i="31"/>
  <c r="G163" i="41"/>
  <c r="I164" i="41"/>
  <c r="D163" i="41"/>
  <c r="F163" i="41"/>
  <c r="F645" i="31"/>
  <c r="H646" i="31"/>
  <c r="F646" i="31" s="1"/>
  <c r="F1383" i="31"/>
  <c r="H1384" i="31"/>
  <c r="H799" i="31"/>
  <c r="F798" i="31"/>
  <c r="F1010" i="31"/>
  <c r="H1011" i="31"/>
  <c r="H1000" i="31"/>
  <c r="F999" i="31"/>
  <c r="H651" i="31"/>
  <c r="F650" i="31"/>
  <c r="F410" i="31"/>
  <c r="H411" i="31"/>
  <c r="F1328" i="31"/>
  <c r="H1329" i="31"/>
  <c r="H956" i="31"/>
  <c r="F955" i="31"/>
  <c r="F977" i="31"/>
  <c r="H978" i="31"/>
  <c r="H209" i="31"/>
  <c r="F208" i="31"/>
  <c r="H788" i="31"/>
  <c r="F787" i="31"/>
  <c r="H1340" i="31"/>
  <c r="F1339" i="31"/>
  <c r="A50" i="9"/>
  <c r="D49" i="9"/>
  <c r="F49" i="9" s="1"/>
  <c r="D128" i="31" s="1"/>
  <c r="D129" i="31" s="1"/>
  <c r="D130" i="31" s="1"/>
  <c r="D131" i="31" s="1"/>
  <c r="D132" i="31" s="1"/>
  <c r="D133" i="31" s="1"/>
  <c r="D134" i="31" s="1"/>
  <c r="F405" i="31"/>
  <c r="H406" i="31"/>
  <c r="F406" i="31" s="1"/>
  <c r="H416" i="31"/>
  <c r="F415" i="31"/>
  <c r="G85" i="41"/>
  <c r="F85" i="41"/>
  <c r="D85" i="41"/>
  <c r="F966" i="31"/>
  <c r="H967" i="31"/>
  <c r="F1394" i="31"/>
  <c r="H1395" i="31"/>
  <c r="F1350" i="31"/>
  <c r="H1351" i="31"/>
  <c r="F202" i="31"/>
  <c r="H203" i="31"/>
  <c r="H934" i="31"/>
  <c r="F934" i="31" s="1"/>
  <c r="F933" i="31"/>
  <c r="F1021" i="31"/>
  <c r="H1022" i="31"/>
  <c r="F765" i="31"/>
  <c r="H766" i="31"/>
  <c r="F766" i="31" s="1"/>
  <c r="F655" i="31"/>
  <c r="H656" i="31"/>
  <c r="F1361" i="31"/>
  <c r="H1362" i="31"/>
  <c r="F776" i="31"/>
  <c r="H777" i="31"/>
  <c r="F809" i="31"/>
  <c r="H810" i="31"/>
  <c r="F196" i="31"/>
  <c r="H197" i="31"/>
  <c r="F197" i="31" s="1"/>
  <c r="F988" i="31"/>
  <c r="H989" i="31"/>
  <c r="F212" i="41" l="1"/>
  <c r="G212" i="41"/>
  <c r="I213" i="41"/>
  <c r="D212" i="41"/>
  <c r="D20" i="41"/>
  <c r="I21" i="41"/>
  <c r="F20" i="41"/>
  <c r="G20" i="41"/>
  <c r="H1138" i="31"/>
  <c r="F1138" i="31" s="1"/>
  <c r="F1137" i="31"/>
  <c r="F1170" i="31"/>
  <c r="H1171" i="31"/>
  <c r="H1160" i="31"/>
  <c r="F1159" i="31"/>
  <c r="F1181" i="31"/>
  <c r="H1182" i="31"/>
  <c r="F1148" i="31"/>
  <c r="H1149" i="31"/>
  <c r="H778" i="31"/>
  <c r="F778" i="31" s="1"/>
  <c r="F777" i="31"/>
  <c r="H1023" i="31"/>
  <c r="F1022" i="31"/>
  <c r="H1396" i="31"/>
  <c r="F1395" i="31"/>
  <c r="A51" i="9"/>
  <c r="D50" i="9"/>
  <c r="F50" i="9" s="1"/>
  <c r="D135" i="31" s="1"/>
  <c r="D136" i="31" s="1"/>
  <c r="D137" i="31" s="1"/>
  <c r="D138" i="31" s="1"/>
  <c r="D139" i="31" s="1"/>
  <c r="D140" i="31" s="1"/>
  <c r="D141" i="31" s="1"/>
  <c r="H652" i="31"/>
  <c r="F652" i="31" s="1"/>
  <c r="F651" i="31"/>
  <c r="G164" i="41"/>
  <c r="I165" i="41"/>
  <c r="F164" i="41"/>
  <c r="D164" i="41"/>
  <c r="D87" i="41"/>
  <c r="F87" i="41"/>
  <c r="G87" i="41"/>
  <c r="H990" i="31"/>
  <c r="F989" i="31"/>
  <c r="F1362" i="31"/>
  <c r="H1363" i="31"/>
  <c r="H968" i="31"/>
  <c r="F967" i="31"/>
  <c r="H417" i="31"/>
  <c r="F416" i="31"/>
  <c r="F1340" i="31"/>
  <c r="H1341" i="31"/>
  <c r="H957" i="31"/>
  <c r="F956" i="31"/>
  <c r="H1001" i="31"/>
  <c r="F1000" i="31"/>
  <c r="F810" i="31"/>
  <c r="H811" i="31"/>
  <c r="H1385" i="31"/>
  <c r="F1384" i="31"/>
  <c r="H1330" i="31"/>
  <c r="F1330" i="31" s="1"/>
  <c r="F1329" i="31"/>
  <c r="F1011" i="31"/>
  <c r="H1012" i="31"/>
  <c r="I89" i="41"/>
  <c r="I90" i="41"/>
  <c r="D88" i="41"/>
  <c r="F88" i="41"/>
  <c r="G88" i="41"/>
  <c r="H1352" i="31"/>
  <c r="F1351" i="31"/>
  <c r="F209" i="31"/>
  <c r="H210" i="31"/>
  <c r="F978" i="31"/>
  <c r="H979" i="31"/>
  <c r="H657" i="31"/>
  <c r="F656" i="31"/>
  <c r="F203" i="31"/>
  <c r="H204" i="31"/>
  <c r="F204" i="31" s="1"/>
  <c r="F788" i="31"/>
  <c r="H789" i="31"/>
  <c r="H1374" i="31"/>
  <c r="F1373" i="31"/>
  <c r="F799" i="31"/>
  <c r="H800" i="31"/>
  <c r="H412" i="31"/>
  <c r="F412" i="31" s="1"/>
  <c r="F411" i="31"/>
  <c r="F945" i="31"/>
  <c r="H946" i="31"/>
  <c r="F946" i="31" s="1"/>
  <c r="D21" i="41" l="1"/>
  <c r="F21" i="41"/>
  <c r="I22" i="41"/>
  <c r="G21" i="41"/>
  <c r="I214" i="41"/>
  <c r="F213" i="41"/>
  <c r="G213" i="41"/>
  <c r="D213" i="41"/>
  <c r="F1182" i="31"/>
  <c r="H1183" i="31"/>
  <c r="H1161" i="31"/>
  <c r="F1160" i="31"/>
  <c r="F1149" i="31"/>
  <c r="H1150" i="31"/>
  <c r="F1150" i="31" s="1"/>
  <c r="H1172" i="31"/>
  <c r="F1171" i="31"/>
  <c r="F657" i="31"/>
  <c r="H658" i="31"/>
  <c r="F658" i="31" s="1"/>
  <c r="F1396" i="31"/>
  <c r="H1397" i="31"/>
  <c r="F979" i="31"/>
  <c r="H980" i="31"/>
  <c r="H1386" i="31"/>
  <c r="F1385" i="31"/>
  <c r="F990" i="31"/>
  <c r="H991" i="31"/>
  <c r="F210" i="31"/>
  <c r="H211" i="31"/>
  <c r="F211" i="31" s="1"/>
  <c r="F89" i="41"/>
  <c r="G89" i="41"/>
  <c r="D89" i="41"/>
  <c r="H418" i="31"/>
  <c r="F418" i="31" s="1"/>
  <c r="F417" i="31"/>
  <c r="G165" i="41"/>
  <c r="I166" i="41"/>
  <c r="D165" i="41"/>
  <c r="F165" i="41"/>
  <c r="H801" i="31"/>
  <c r="F800" i="31"/>
  <c r="F1341" i="31"/>
  <c r="H1342" i="31"/>
  <c r="F1342" i="31" s="1"/>
  <c r="F90" i="41"/>
  <c r="G90" i="41"/>
  <c r="I91" i="41"/>
  <c r="I92" i="41"/>
  <c r="D90" i="41"/>
  <c r="F1023" i="31"/>
  <c r="H1024" i="31"/>
  <c r="F789" i="31"/>
  <c r="H790" i="31"/>
  <c r="F790" i="31" s="1"/>
  <c r="H1013" i="31"/>
  <c r="F1012" i="31"/>
  <c r="H958" i="31"/>
  <c r="F958" i="31" s="1"/>
  <c r="F957" i="31"/>
  <c r="H1375" i="31"/>
  <c r="F1374" i="31"/>
  <c r="F811" i="31"/>
  <c r="H812" i="31"/>
  <c r="F1001" i="31"/>
  <c r="H1002" i="31"/>
  <c r="H969" i="31"/>
  <c r="F968" i="31"/>
  <c r="H1353" i="31"/>
  <c r="F1352" i="31"/>
  <c r="F1363" i="31"/>
  <c r="H1364" i="31"/>
  <c r="A52" i="9"/>
  <c r="D51" i="9"/>
  <c r="F51" i="9" s="1"/>
  <c r="D142" i="31" s="1"/>
  <c r="D143" i="31" s="1"/>
  <c r="D144" i="31" s="1"/>
  <c r="D145" i="31" s="1"/>
  <c r="D146" i="31" s="1"/>
  <c r="D147" i="31" s="1"/>
  <c r="D148" i="31" s="1"/>
  <c r="F214" i="41" l="1"/>
  <c r="G214" i="41"/>
  <c r="I215" i="41"/>
  <c r="D214" i="41"/>
  <c r="D22" i="41"/>
  <c r="F22" i="41"/>
  <c r="G22" i="41"/>
  <c r="I23" i="41"/>
  <c r="F1161" i="31"/>
  <c r="H1162" i="31"/>
  <c r="F1162" i="31" s="1"/>
  <c r="H1184" i="31"/>
  <c r="F1183" i="31"/>
  <c r="H1173" i="31"/>
  <c r="F1172" i="31"/>
  <c r="H802" i="31"/>
  <c r="F802" i="31" s="1"/>
  <c r="F801" i="31"/>
  <c r="H981" i="31"/>
  <c r="F980" i="31"/>
  <c r="F1386" i="31"/>
  <c r="H1387" i="31"/>
  <c r="F969" i="31"/>
  <c r="H970" i="31"/>
  <c r="F970" i="31" s="1"/>
  <c r="D91" i="41"/>
  <c r="F91" i="41"/>
  <c r="G91" i="41"/>
  <c r="F1397" i="31"/>
  <c r="H1398" i="31"/>
  <c r="F1375" i="31"/>
  <c r="H1376" i="31"/>
  <c r="F1364" i="31"/>
  <c r="H1365" i="31"/>
  <c r="F1002" i="31"/>
  <c r="H1003" i="31"/>
  <c r="F1013" i="31"/>
  <c r="H1014" i="31"/>
  <c r="G166" i="41"/>
  <c r="I167" i="41"/>
  <c r="D166" i="41"/>
  <c r="F166" i="41"/>
  <c r="A53" i="9"/>
  <c r="D52" i="9"/>
  <c r="F52" i="9" s="1"/>
  <c r="D149" i="31" s="1"/>
  <c r="D150" i="31" s="1"/>
  <c r="D151" i="31" s="1"/>
  <c r="D152" i="31" s="1"/>
  <c r="D153" i="31" s="1"/>
  <c r="D154" i="31" s="1"/>
  <c r="D155" i="31" s="1"/>
  <c r="D92" i="41"/>
  <c r="I93" i="41"/>
  <c r="F92" i="41"/>
  <c r="G92" i="41"/>
  <c r="I94" i="41"/>
  <c r="H992" i="31"/>
  <c r="F991" i="31"/>
  <c r="F1024" i="31"/>
  <c r="H1025" i="31"/>
  <c r="H813" i="31"/>
  <c r="F812" i="31"/>
  <c r="H1354" i="31"/>
  <c r="F1354" i="31" s="1"/>
  <c r="F1353" i="31"/>
  <c r="D23" i="41" l="1"/>
  <c r="F23" i="41"/>
  <c r="G23" i="41"/>
  <c r="I24" i="41"/>
  <c r="I216" i="41"/>
  <c r="F215" i="41"/>
  <c r="G215" i="41"/>
  <c r="D215" i="41"/>
  <c r="F1184" i="31"/>
  <c r="H1185" i="31"/>
  <c r="H1174" i="31"/>
  <c r="F1174" i="31" s="1"/>
  <c r="F1173" i="31"/>
  <c r="H814" i="31"/>
  <c r="F814" i="31" s="1"/>
  <c r="F813" i="31"/>
  <c r="H1366" i="31"/>
  <c r="F1366" i="31" s="1"/>
  <c r="F1365" i="31"/>
  <c r="D94" i="41"/>
  <c r="I96" i="41"/>
  <c r="F94" i="41"/>
  <c r="I95" i="41"/>
  <c r="G94" i="41"/>
  <c r="A54" i="9"/>
  <c r="D53" i="9"/>
  <c r="F53" i="9" s="1"/>
  <c r="D156" i="31" s="1"/>
  <c r="D157" i="31" s="1"/>
  <c r="D158" i="31" s="1"/>
  <c r="D159" i="31" s="1"/>
  <c r="D160" i="31" s="1"/>
  <c r="D161" i="31" s="1"/>
  <c r="D162" i="31" s="1"/>
  <c r="G167" i="41"/>
  <c r="I168" i="41"/>
  <c r="D167" i="41"/>
  <c r="F167" i="41"/>
  <c r="H1377" i="31"/>
  <c r="F1376" i="31"/>
  <c r="H993" i="31"/>
  <c r="F992" i="31"/>
  <c r="D93" i="41"/>
  <c r="G93" i="41"/>
  <c r="F93" i="41"/>
  <c r="F1014" i="31"/>
  <c r="H1015" i="31"/>
  <c r="F1025" i="31"/>
  <c r="H1026" i="31"/>
  <c r="F1387" i="31"/>
  <c r="H1388" i="31"/>
  <c r="H982" i="31"/>
  <c r="F982" i="31" s="1"/>
  <c r="F981" i="31"/>
  <c r="F1003" i="31"/>
  <c r="H1004" i="31"/>
  <c r="F1398" i="31"/>
  <c r="H1399" i="31"/>
  <c r="I217" i="41" l="1"/>
  <c r="F216" i="41"/>
  <c r="G216" i="41"/>
  <c r="D216" i="41"/>
  <c r="D24" i="41"/>
  <c r="F24" i="41"/>
  <c r="G24" i="41"/>
  <c r="I25" i="41"/>
  <c r="F1185" i="31"/>
  <c r="H1186" i="31"/>
  <c r="F1186" i="31" s="1"/>
  <c r="F1004" i="31"/>
  <c r="H1005" i="31"/>
  <c r="D96" i="41"/>
  <c r="F96" i="41"/>
  <c r="I97" i="41"/>
  <c r="I98" i="41"/>
  <c r="F1388" i="31"/>
  <c r="H1389" i="31"/>
  <c r="F1377" i="31"/>
  <c r="H1378" i="31"/>
  <c r="F1378" i="31" s="1"/>
  <c r="F1015" i="31"/>
  <c r="H1016" i="31"/>
  <c r="D95" i="41"/>
  <c r="F95" i="41"/>
  <c r="G95" i="41"/>
  <c r="H1400" i="31"/>
  <c r="F1399" i="31"/>
  <c r="H1027" i="31"/>
  <c r="F1026" i="31"/>
  <c r="F993" i="31"/>
  <c r="H994" i="31"/>
  <c r="F994" i="31" s="1"/>
  <c r="A55" i="9"/>
  <c r="D54" i="9"/>
  <c r="F54" i="9" s="1"/>
  <c r="D163" i="31" s="1"/>
  <c r="D164" i="31" s="1"/>
  <c r="D165" i="31" s="1"/>
  <c r="D166" i="31" s="1"/>
  <c r="D167" i="31" s="1"/>
  <c r="D168" i="31" s="1"/>
  <c r="D169" i="31" s="1"/>
  <c r="G168" i="41"/>
  <c r="I169" i="41"/>
  <c r="F168" i="41"/>
  <c r="D168" i="41"/>
  <c r="D25" i="41" l="1"/>
  <c r="I26" i="41"/>
  <c r="F25" i="41"/>
  <c r="G25" i="41"/>
  <c r="I218" i="41"/>
  <c r="F217" i="41"/>
  <c r="D217" i="41"/>
  <c r="G217" i="41"/>
  <c r="A56" i="9"/>
  <c r="D55" i="9"/>
  <c r="F55" i="9" s="1"/>
  <c r="D170" i="31" s="1"/>
  <c r="D171" i="31" s="1"/>
  <c r="D172" i="31" s="1"/>
  <c r="D173" i="31" s="1"/>
  <c r="D174" i="31" s="1"/>
  <c r="D175" i="31" s="1"/>
  <c r="D176" i="31" s="1"/>
  <c r="D98" i="41"/>
  <c r="I100" i="41"/>
  <c r="I99" i="41"/>
  <c r="H1006" i="31"/>
  <c r="F1006" i="31" s="1"/>
  <c r="F1005" i="31"/>
  <c r="F97" i="41"/>
  <c r="G97" i="41"/>
  <c r="D97" i="41"/>
  <c r="H1028" i="31"/>
  <c r="F1027" i="31"/>
  <c r="G169" i="41"/>
  <c r="I170" i="41"/>
  <c r="D169" i="41"/>
  <c r="F169" i="41"/>
  <c r="H1401" i="31"/>
  <c r="F1400" i="31"/>
  <c r="F1016" i="31"/>
  <c r="H1017" i="31"/>
  <c r="F1389" i="31"/>
  <c r="H1390" i="31"/>
  <c r="F1390" i="31" s="1"/>
  <c r="I219" i="41" l="1"/>
  <c r="D218" i="41"/>
  <c r="G218" i="41"/>
  <c r="D26" i="41"/>
  <c r="I27" i="41"/>
  <c r="G26" i="41"/>
  <c r="F100" i="41"/>
  <c r="I102" i="41"/>
  <c r="G100" i="41"/>
  <c r="I101" i="41"/>
  <c r="D100" i="41"/>
  <c r="I171" i="41"/>
  <c r="D170" i="41"/>
  <c r="G170" i="41"/>
  <c r="H1018" i="31"/>
  <c r="F1018" i="31" s="1"/>
  <c r="F1017" i="31"/>
  <c r="A57" i="9"/>
  <c r="D56" i="9"/>
  <c r="F56" i="9" s="1"/>
  <c r="D177" i="31" s="1"/>
  <c r="D178" i="31" s="1"/>
  <c r="D179" i="31" s="1"/>
  <c r="D180" i="31" s="1"/>
  <c r="D181" i="31" s="1"/>
  <c r="D182" i="31" s="1"/>
  <c r="D183" i="31" s="1"/>
  <c r="D99" i="41"/>
  <c r="G99" i="41"/>
  <c r="F1028" i="31"/>
  <c r="H1029" i="31"/>
  <c r="H1402" i="31"/>
  <c r="F1402" i="31" s="1"/>
  <c r="F1401" i="31"/>
  <c r="D27" i="41" l="1"/>
  <c r="F27" i="41"/>
  <c r="G27" i="41"/>
  <c r="I28" i="41"/>
  <c r="G219" i="41"/>
  <c r="F219" i="41"/>
  <c r="I220" i="41"/>
  <c r="D219" i="41"/>
  <c r="I172" i="41"/>
  <c r="D171" i="41"/>
  <c r="G171" i="41"/>
  <c r="F171" i="41"/>
  <c r="G101" i="41"/>
  <c r="D101" i="41"/>
  <c r="F101" i="41"/>
  <c r="F1029" i="31"/>
  <c r="H1030" i="31"/>
  <c r="F1030" i="31" s="1"/>
  <c r="D57" i="9"/>
  <c r="F57" i="9" s="1"/>
  <c r="D184" i="31" s="1"/>
  <c r="D185" i="31" s="1"/>
  <c r="D186" i="31" s="1"/>
  <c r="D187" i="31" s="1"/>
  <c r="D188" i="31" s="1"/>
  <c r="D189" i="31" s="1"/>
  <c r="D190" i="31" s="1"/>
  <c r="A58" i="9"/>
  <c r="F102" i="41"/>
  <c r="G102" i="41"/>
  <c r="I104" i="41"/>
  <c r="I103" i="41"/>
  <c r="D102" i="41"/>
  <c r="I221" i="41" l="1"/>
  <c r="D220" i="41"/>
  <c r="F220" i="41"/>
  <c r="G220" i="41"/>
  <c r="D28" i="41"/>
  <c r="F28" i="41"/>
  <c r="G28" i="41"/>
  <c r="I29" i="41"/>
  <c r="D104" i="41"/>
  <c r="F104" i="41"/>
  <c r="I105" i="41"/>
  <c r="G104" i="41"/>
  <c r="I106" i="41"/>
  <c r="D103" i="41"/>
  <c r="F103" i="41"/>
  <c r="G103" i="41"/>
  <c r="A59" i="9"/>
  <c r="D58" i="9"/>
  <c r="F58" i="9" s="1"/>
  <c r="D191" i="31" s="1"/>
  <c r="D192" i="31" s="1"/>
  <c r="D193" i="31" s="1"/>
  <c r="D194" i="31" s="1"/>
  <c r="D195" i="31" s="1"/>
  <c r="D196" i="31" s="1"/>
  <c r="D197" i="31" s="1"/>
  <c r="I173" i="41"/>
  <c r="D172" i="41"/>
  <c r="F172" i="41"/>
  <c r="G172" i="41"/>
  <c r="G29" i="41" l="1"/>
  <c r="D29" i="41"/>
  <c r="F29" i="41"/>
  <c r="I30" i="41"/>
  <c r="I222" i="41"/>
  <c r="F221" i="41"/>
  <c r="G221" i="41"/>
  <c r="D221" i="41"/>
  <c r="D59" i="9"/>
  <c r="F59" i="9" s="1"/>
  <c r="D198" i="31" s="1"/>
  <c r="D199" i="31" s="1"/>
  <c r="D200" i="31" s="1"/>
  <c r="D201" i="31" s="1"/>
  <c r="D202" i="31" s="1"/>
  <c r="D203" i="31" s="1"/>
  <c r="D204" i="31" s="1"/>
  <c r="A60" i="9"/>
  <c r="D106" i="41"/>
  <c r="F106" i="41"/>
  <c r="I108" i="41"/>
  <c r="G106" i="41"/>
  <c r="I107" i="41"/>
  <c r="D105" i="41"/>
  <c r="F105" i="41"/>
  <c r="G105" i="41"/>
  <c r="I174" i="41"/>
  <c r="D173" i="41"/>
  <c r="F173" i="41"/>
  <c r="G173" i="41"/>
  <c r="I223" i="41" l="1"/>
  <c r="D222" i="41"/>
  <c r="G222" i="41"/>
  <c r="F222" i="41"/>
  <c r="D30" i="41"/>
  <c r="I31" i="41"/>
  <c r="F30" i="41"/>
  <c r="G30" i="41"/>
  <c r="F107" i="41"/>
  <c r="G107" i="41"/>
  <c r="D107" i="41"/>
  <c r="F108" i="41"/>
  <c r="G108" i="41"/>
  <c r="I109" i="41"/>
  <c r="D108" i="41"/>
  <c r="I110" i="41"/>
  <c r="I175" i="41"/>
  <c r="D174" i="41"/>
  <c r="F174" i="41"/>
  <c r="G174" i="41"/>
  <c r="D60" i="9"/>
  <c r="F60" i="9" s="1"/>
  <c r="D205" i="31" s="1"/>
  <c r="D206" i="31" s="1"/>
  <c r="D207" i="31" s="1"/>
  <c r="D208" i="31" s="1"/>
  <c r="D209" i="31" s="1"/>
  <c r="D210" i="31" s="1"/>
  <c r="D211" i="31" s="1"/>
  <c r="A13" i="10"/>
  <c r="I32" i="41" l="1"/>
  <c r="D31" i="41"/>
  <c r="F31" i="41"/>
  <c r="G31" i="41"/>
  <c r="I224" i="41"/>
  <c r="D223" i="41"/>
  <c r="F223" i="41"/>
  <c r="G223" i="41"/>
  <c r="G110" i="41"/>
  <c r="D110" i="41"/>
  <c r="I111" i="41"/>
  <c r="F110" i="41"/>
  <c r="I112" i="41"/>
  <c r="I176" i="41"/>
  <c r="D175" i="41"/>
  <c r="G175" i="41"/>
  <c r="F175" i="41"/>
  <c r="A14" i="10"/>
  <c r="D13" i="10"/>
  <c r="G109" i="41"/>
  <c r="F109" i="41"/>
  <c r="D109" i="41"/>
  <c r="G224" i="41" l="1"/>
  <c r="F224" i="41"/>
  <c r="I225" i="41"/>
  <c r="D224" i="41"/>
  <c r="D32" i="41"/>
  <c r="F32" i="41"/>
  <c r="G32" i="41"/>
  <c r="I33" i="41"/>
  <c r="A15" i="10"/>
  <c r="D14" i="10"/>
  <c r="F14" i="10" s="1"/>
  <c r="D239" i="31" s="1"/>
  <c r="D240" i="31" s="1"/>
  <c r="D241" i="31" s="1"/>
  <c r="D242" i="31" s="1"/>
  <c r="D243" i="31" s="1"/>
  <c r="D244" i="31" s="1"/>
  <c r="F13" i="10"/>
  <c r="D233" i="31" s="1"/>
  <c r="D234" i="31" s="1"/>
  <c r="D235" i="31" s="1"/>
  <c r="D236" i="31" s="1"/>
  <c r="D237" i="31" s="1"/>
  <c r="D238" i="31" s="1"/>
  <c r="D72" i="26"/>
  <c r="I113" i="41"/>
  <c r="I114" i="41"/>
  <c r="D112" i="41"/>
  <c r="F112" i="41"/>
  <c r="G112" i="41"/>
  <c r="D111" i="41"/>
  <c r="F111" i="41"/>
  <c r="G111" i="41"/>
  <c r="I177" i="41"/>
  <c r="D176" i="41"/>
  <c r="F176" i="41"/>
  <c r="G176" i="41"/>
  <c r="G33" i="41" l="1"/>
  <c r="I34" i="41"/>
  <c r="D33" i="41"/>
  <c r="F33" i="41"/>
  <c r="I226" i="41"/>
  <c r="D225" i="41"/>
  <c r="F225" i="41"/>
  <c r="G225" i="41"/>
  <c r="F114" i="41"/>
  <c r="G114" i="41"/>
  <c r="I115" i="41"/>
  <c r="I116" i="41"/>
  <c r="D114" i="41"/>
  <c r="F113" i="41"/>
  <c r="G113" i="41"/>
  <c r="D113" i="41"/>
  <c r="I178" i="41"/>
  <c r="D177" i="41"/>
  <c r="F177" i="41"/>
  <c r="G177" i="41"/>
  <c r="A16" i="10"/>
  <c r="D15" i="10"/>
  <c r="F15" i="10" s="1"/>
  <c r="D245" i="31" s="1"/>
  <c r="D246" i="31" s="1"/>
  <c r="D247" i="31" s="1"/>
  <c r="D248" i="31" s="1"/>
  <c r="D249" i="31" s="1"/>
  <c r="D250" i="31" s="1"/>
  <c r="G226" i="41" l="1"/>
  <c r="I227" i="41"/>
  <c r="D226" i="41"/>
  <c r="F226" i="41"/>
  <c r="D34" i="41"/>
  <c r="F34" i="41"/>
  <c r="G34" i="41"/>
  <c r="I35" i="41"/>
  <c r="G116" i="41"/>
  <c r="I118" i="41"/>
  <c r="D116" i="41"/>
  <c r="F116" i="41"/>
  <c r="I117" i="41"/>
  <c r="I179" i="41"/>
  <c r="D178" i="41"/>
  <c r="F178" i="41"/>
  <c r="G178" i="41"/>
  <c r="F115" i="41"/>
  <c r="G115" i="41"/>
  <c r="D115" i="41"/>
  <c r="D16" i="10"/>
  <c r="A17" i="10"/>
  <c r="G35" i="41" l="1"/>
  <c r="D35" i="41"/>
  <c r="F35" i="41"/>
  <c r="I36" i="41"/>
  <c r="D227" i="41"/>
  <c r="F227" i="41"/>
  <c r="G227" i="41"/>
  <c r="I228" i="41"/>
  <c r="D118" i="41"/>
  <c r="I120" i="41"/>
  <c r="F118" i="41"/>
  <c r="G118" i="41"/>
  <c r="I119" i="41"/>
  <c r="D17" i="10"/>
  <c r="F17" i="10" s="1"/>
  <c r="D257" i="31" s="1"/>
  <c r="D258" i="31" s="1"/>
  <c r="D259" i="31" s="1"/>
  <c r="D260" i="31" s="1"/>
  <c r="D261" i="31" s="1"/>
  <c r="D262" i="31" s="1"/>
  <c r="A18" i="10"/>
  <c r="I180" i="41"/>
  <c r="D179" i="41"/>
  <c r="G179" i="41"/>
  <c r="F179" i="41"/>
  <c r="D84" i="26"/>
  <c r="F16" i="10"/>
  <c r="D251" i="31" s="1"/>
  <c r="D252" i="31" s="1"/>
  <c r="D253" i="31" s="1"/>
  <c r="D254" i="31" s="1"/>
  <c r="D255" i="31" s="1"/>
  <c r="D256" i="31" s="1"/>
  <c r="D117" i="41"/>
  <c r="F117" i="41"/>
  <c r="G117" i="41"/>
  <c r="D228" i="41" l="1"/>
  <c r="I229" i="41"/>
  <c r="F228" i="41"/>
  <c r="G228" i="41"/>
  <c r="D36" i="41"/>
  <c r="G36" i="41"/>
  <c r="I37" i="41"/>
  <c r="F36" i="41"/>
  <c r="D18" i="10"/>
  <c r="F18" i="10" s="1"/>
  <c r="D263" i="31" s="1"/>
  <c r="D264" i="31" s="1"/>
  <c r="D265" i="31" s="1"/>
  <c r="D266" i="31" s="1"/>
  <c r="D267" i="31" s="1"/>
  <c r="D268" i="31" s="1"/>
  <c r="A19" i="10"/>
  <c r="D120" i="41"/>
  <c r="F120" i="41"/>
  <c r="I121" i="41"/>
  <c r="I122" i="41"/>
  <c r="D119" i="41"/>
  <c r="F119" i="41"/>
  <c r="G119" i="41"/>
  <c r="I181" i="41"/>
  <c r="D180" i="41"/>
  <c r="G180" i="41"/>
  <c r="F180" i="41"/>
  <c r="D37" i="41" l="1"/>
  <c r="F37" i="41"/>
  <c r="G37" i="41"/>
  <c r="I38" i="41"/>
  <c r="D229" i="41"/>
  <c r="I230" i="41"/>
  <c r="F229" i="41"/>
  <c r="G229" i="41"/>
  <c r="D181" i="41"/>
  <c r="F181" i="41"/>
  <c r="I182" i="41"/>
  <c r="G181" i="41"/>
  <c r="D122" i="41"/>
  <c r="I124" i="41"/>
  <c r="I123" i="41"/>
  <c r="F121" i="41"/>
  <c r="D121" i="41"/>
  <c r="G121" i="41"/>
  <c r="A20" i="10"/>
  <c r="D19" i="10"/>
  <c r="D230" i="41" l="1"/>
  <c r="G230" i="41"/>
  <c r="I231" i="41"/>
  <c r="D38" i="41"/>
  <c r="G38" i="41"/>
  <c r="I39" i="41"/>
  <c r="A21" i="10"/>
  <c r="D20" i="10"/>
  <c r="F20" i="10" s="1"/>
  <c r="D275" i="31" s="1"/>
  <c r="D276" i="31" s="1"/>
  <c r="D277" i="31" s="1"/>
  <c r="D278" i="31" s="1"/>
  <c r="D279" i="31" s="1"/>
  <c r="D280" i="31" s="1"/>
  <c r="D182" i="41"/>
  <c r="G182" i="41"/>
  <c r="I183" i="41"/>
  <c r="F19" i="10"/>
  <c r="D269" i="31" s="1"/>
  <c r="D270" i="31" s="1"/>
  <c r="D271" i="31" s="1"/>
  <c r="D272" i="31" s="1"/>
  <c r="D273" i="31" s="1"/>
  <c r="D274" i="31" s="1"/>
  <c r="D96" i="26"/>
  <c r="D123" i="41"/>
  <c r="G123" i="41"/>
  <c r="F124" i="41"/>
  <c r="G124" i="41"/>
  <c r="I125" i="41"/>
  <c r="I126" i="41"/>
  <c r="D124" i="41"/>
  <c r="D231" i="41" l="1"/>
  <c r="F231" i="41"/>
  <c r="G231" i="41"/>
  <c r="I232" i="41"/>
  <c r="D39" i="41"/>
  <c r="G39" i="41"/>
  <c r="F39" i="41"/>
  <c r="I40" i="41"/>
  <c r="F126" i="41"/>
  <c r="G126" i="41"/>
  <c r="I127" i="41"/>
  <c r="I128" i="41"/>
  <c r="D126" i="41"/>
  <c r="D183" i="41"/>
  <c r="F183" i="41"/>
  <c r="I184" i="41"/>
  <c r="G183" i="41"/>
  <c r="F125" i="41"/>
  <c r="G125" i="41"/>
  <c r="D125" i="41"/>
  <c r="A22" i="10"/>
  <c r="D21" i="10"/>
  <c r="F21" i="10" s="1"/>
  <c r="D281" i="31" s="1"/>
  <c r="D282" i="31" s="1"/>
  <c r="D283" i="31" s="1"/>
  <c r="D284" i="31" s="1"/>
  <c r="D285" i="31" s="1"/>
  <c r="D286" i="31" s="1"/>
  <c r="G40" i="41" l="1"/>
  <c r="I41" i="41"/>
  <c r="D40" i="41"/>
  <c r="F40" i="41"/>
  <c r="F232" i="41"/>
  <c r="D232" i="41"/>
  <c r="G232" i="41"/>
  <c r="I233" i="41"/>
  <c r="D184" i="41"/>
  <c r="F184" i="41"/>
  <c r="G184" i="41"/>
  <c r="I185" i="41"/>
  <c r="G128" i="41"/>
  <c r="I129" i="41"/>
  <c r="I130" i="41"/>
  <c r="D128" i="41"/>
  <c r="F128" i="41"/>
  <c r="D22" i="10"/>
  <c r="F22" i="10" s="1"/>
  <c r="A23" i="10"/>
  <c r="G127" i="41"/>
  <c r="D127" i="41"/>
  <c r="F127" i="41"/>
  <c r="D233" i="41" l="1"/>
  <c r="F233" i="41"/>
  <c r="G233" i="41"/>
  <c r="I234" i="41"/>
  <c r="G41" i="41"/>
  <c r="D41" i="41"/>
  <c r="I42" i="41"/>
  <c r="F41" i="41"/>
  <c r="F129" i="41"/>
  <c r="G129" i="41"/>
  <c r="D129" i="41"/>
  <c r="I131" i="41"/>
  <c r="I132" i="41"/>
  <c r="G130" i="41"/>
  <c r="D130" i="41"/>
  <c r="F130" i="41"/>
  <c r="D185" i="41"/>
  <c r="F185" i="41"/>
  <c r="G185" i="41"/>
  <c r="I186" i="41"/>
  <c r="D23" i="10"/>
  <c r="F23" i="10" s="1"/>
  <c r="D293" i="31" s="1"/>
  <c r="D294" i="31" s="1"/>
  <c r="D295" i="31" s="1"/>
  <c r="D296" i="31" s="1"/>
  <c r="D297" i="31" s="1"/>
  <c r="D298" i="31" s="1"/>
  <c r="A24" i="10"/>
  <c r="D108" i="26"/>
  <c r="D287" i="31"/>
  <c r="D288" i="31" s="1"/>
  <c r="D289" i="31" s="1"/>
  <c r="D290" i="31" s="1"/>
  <c r="D291" i="31" s="1"/>
  <c r="D292" i="31" s="1"/>
  <c r="D42" i="41" l="1"/>
  <c r="F42" i="41"/>
  <c r="G42" i="41"/>
  <c r="I43" i="41"/>
  <c r="F234" i="41"/>
  <c r="G234" i="41"/>
  <c r="D234" i="41"/>
  <c r="I235" i="41"/>
  <c r="D132" i="41"/>
  <c r="F132" i="41"/>
  <c r="G132" i="41"/>
  <c r="I133" i="41"/>
  <c r="I134" i="41"/>
  <c r="D186" i="41"/>
  <c r="F186" i="41"/>
  <c r="I187" i="41"/>
  <c r="G186" i="41"/>
  <c r="D131" i="41"/>
  <c r="F131" i="41"/>
  <c r="G131" i="41"/>
  <c r="D24" i="10"/>
  <c r="F24" i="10" s="1"/>
  <c r="D299" i="31" s="1"/>
  <c r="D300" i="31" s="1"/>
  <c r="D301" i="31" s="1"/>
  <c r="D302" i="31" s="1"/>
  <c r="D303" i="31" s="1"/>
  <c r="D304" i="31" s="1"/>
  <c r="A25" i="10"/>
  <c r="D235" i="41" l="1"/>
  <c r="F235" i="41"/>
  <c r="G235" i="41"/>
  <c r="I236" i="41"/>
  <c r="F43" i="41"/>
  <c r="D43" i="41"/>
  <c r="I44" i="41"/>
  <c r="G43" i="41"/>
  <c r="A46" i="10"/>
  <c r="D25" i="10"/>
  <c r="F25" i="10" s="1"/>
  <c r="D305" i="31" s="1"/>
  <c r="D306" i="31" s="1"/>
  <c r="D307" i="31" s="1"/>
  <c r="D308" i="31" s="1"/>
  <c r="D309" i="31" s="1"/>
  <c r="D310" i="31" s="1"/>
  <c r="D134" i="41"/>
  <c r="I135" i="41"/>
  <c r="F134" i="41"/>
  <c r="G134" i="41"/>
  <c r="I136" i="41"/>
  <c r="D133" i="41"/>
  <c r="F133" i="41"/>
  <c r="G133" i="41"/>
  <c r="D187" i="41"/>
  <c r="F187" i="41"/>
  <c r="G187" i="41"/>
  <c r="I188" i="41"/>
  <c r="G44" i="41" l="1"/>
  <c r="D44" i="41"/>
  <c r="F44" i="41"/>
  <c r="I45" i="41"/>
  <c r="F236" i="41"/>
  <c r="D236" i="41"/>
  <c r="G236" i="41"/>
  <c r="I237" i="41"/>
  <c r="D135" i="41"/>
  <c r="F135" i="41"/>
  <c r="G135" i="41"/>
  <c r="D136" i="41"/>
  <c r="F136" i="41"/>
  <c r="I137" i="41"/>
  <c r="G136" i="41"/>
  <c r="I138" i="41"/>
  <c r="D188" i="41"/>
  <c r="F188" i="41"/>
  <c r="G188" i="41"/>
  <c r="I189" i="41"/>
  <c r="D46" i="10"/>
  <c r="F46" i="10" s="1"/>
  <c r="D311" i="31" s="1"/>
  <c r="D312" i="31" s="1"/>
  <c r="D313" i="31" s="1"/>
  <c r="D314" i="31" s="1"/>
  <c r="D315" i="31" s="1"/>
  <c r="D316" i="31" s="1"/>
  <c r="A47" i="10"/>
  <c r="D237" i="41" l="1"/>
  <c r="F237" i="41"/>
  <c r="G237" i="41"/>
  <c r="I238" i="41"/>
  <c r="G45" i="41"/>
  <c r="D45" i="41"/>
  <c r="F45" i="41"/>
  <c r="I46" i="41"/>
  <c r="D47" i="10"/>
  <c r="F47" i="10" s="1"/>
  <c r="D317" i="31" s="1"/>
  <c r="D318" i="31" s="1"/>
  <c r="D319" i="31" s="1"/>
  <c r="D320" i="31" s="1"/>
  <c r="D321" i="31" s="1"/>
  <c r="D322" i="31" s="1"/>
  <c r="A48" i="10"/>
  <c r="D137" i="41"/>
  <c r="F137" i="41"/>
  <c r="G137" i="41"/>
  <c r="D189" i="41"/>
  <c r="F189" i="41"/>
  <c r="G189" i="41"/>
  <c r="I190" i="41"/>
  <c r="D138" i="41"/>
  <c r="F138" i="41"/>
  <c r="G138" i="41"/>
  <c r="I140" i="41"/>
  <c r="I139" i="41"/>
  <c r="G46" i="41" l="1"/>
  <c r="F46" i="41"/>
  <c r="I47" i="41"/>
  <c r="D46" i="41"/>
  <c r="F238" i="41"/>
  <c r="G238" i="41"/>
  <c r="D238" i="41"/>
  <c r="I239" i="41"/>
  <c r="F139" i="41"/>
  <c r="G139" i="41"/>
  <c r="D139" i="41"/>
  <c r="F140" i="41"/>
  <c r="G140" i="41"/>
  <c r="I141" i="41"/>
  <c r="I142" i="41"/>
  <c r="D140" i="41"/>
  <c r="D190" i="41"/>
  <c r="F190" i="41"/>
  <c r="I191" i="41"/>
  <c r="G190" i="41"/>
  <c r="D48" i="10"/>
  <c r="F48" i="10" s="1"/>
  <c r="D323" i="31" s="1"/>
  <c r="D324" i="31" s="1"/>
  <c r="D325" i="31" s="1"/>
  <c r="D326" i="31" s="1"/>
  <c r="D327" i="31" s="1"/>
  <c r="D328" i="31" s="1"/>
  <c r="A49" i="10"/>
  <c r="D239" i="41" l="1"/>
  <c r="F239" i="41"/>
  <c r="I240" i="41"/>
  <c r="G239" i="41"/>
  <c r="D47" i="41"/>
  <c r="G47" i="41"/>
  <c r="F47" i="41"/>
  <c r="I48" i="41"/>
  <c r="D191" i="41"/>
  <c r="F191" i="41"/>
  <c r="G191" i="41"/>
  <c r="I192" i="41"/>
  <c r="F142" i="41"/>
  <c r="G142" i="41"/>
  <c r="I144" i="41"/>
  <c r="I143" i="41"/>
  <c r="D142" i="41"/>
  <c r="D49" i="10"/>
  <c r="F49" i="10" s="1"/>
  <c r="D329" i="31" s="1"/>
  <c r="D330" i="31" s="1"/>
  <c r="D331" i="31" s="1"/>
  <c r="D332" i="31" s="1"/>
  <c r="D333" i="31" s="1"/>
  <c r="D334" i="31" s="1"/>
  <c r="A50" i="10"/>
  <c r="F141" i="41"/>
  <c r="G141" i="41"/>
  <c r="D141" i="41"/>
  <c r="F48" i="41" l="1"/>
  <c r="D48" i="41"/>
  <c r="G48" i="41"/>
  <c r="I49" i="41"/>
  <c r="I241" i="41"/>
  <c r="D240" i="41"/>
  <c r="F240" i="41"/>
  <c r="G240" i="41"/>
  <c r="G143" i="41"/>
  <c r="D143" i="41"/>
  <c r="F143" i="41"/>
  <c r="I145" i="41"/>
  <c r="D144" i="41"/>
  <c r="F144" i="41"/>
  <c r="D192" i="41"/>
  <c r="F192" i="41"/>
  <c r="G192" i="41"/>
  <c r="I193" i="41"/>
  <c r="A51" i="10"/>
  <c r="D50" i="10"/>
  <c r="F50" i="10" s="1"/>
  <c r="D335" i="31" s="1"/>
  <c r="D336" i="31" s="1"/>
  <c r="D337" i="31" s="1"/>
  <c r="D338" i="31" s="1"/>
  <c r="D339" i="31" s="1"/>
  <c r="D340" i="31" s="1"/>
  <c r="G241" i="41" l="1"/>
  <c r="D241" i="41"/>
  <c r="F241" i="41"/>
  <c r="D49" i="41"/>
  <c r="F49" i="41"/>
  <c r="G49" i="41"/>
  <c r="A52" i="10"/>
  <c r="D51" i="10"/>
  <c r="F51" i="10" s="1"/>
  <c r="D341" i="31" s="1"/>
  <c r="D342" i="31" s="1"/>
  <c r="D343" i="31" s="1"/>
  <c r="D344" i="31" s="1"/>
  <c r="D345" i="31" s="1"/>
  <c r="D346" i="31" s="1"/>
  <c r="D145" i="41"/>
  <c r="F145" i="41"/>
  <c r="G145" i="41"/>
  <c r="D193" i="41"/>
  <c r="F193" i="41"/>
  <c r="G193" i="41"/>
  <c r="A53" i="10" l="1"/>
  <c r="D52" i="10"/>
  <c r="F52" i="10" s="1"/>
  <c r="D347" i="31" s="1"/>
  <c r="D348" i="31" s="1"/>
  <c r="D349" i="31" s="1"/>
  <c r="D350" i="31" s="1"/>
  <c r="D351" i="31" s="1"/>
  <c r="D352" i="31" s="1"/>
  <c r="D53" i="10" l="1"/>
  <c r="F53" i="10" s="1"/>
  <c r="D353" i="31" s="1"/>
  <c r="D354" i="31" s="1"/>
  <c r="D355" i="31" s="1"/>
  <c r="D356" i="31" s="1"/>
  <c r="D357" i="31" s="1"/>
  <c r="D358" i="31" s="1"/>
  <c r="A54" i="10"/>
  <c r="D54" i="10" l="1"/>
  <c r="F54" i="10" s="1"/>
  <c r="D359" i="31" s="1"/>
  <c r="D360" i="31" s="1"/>
  <c r="D361" i="31" s="1"/>
  <c r="D362" i="31" s="1"/>
  <c r="D363" i="31" s="1"/>
  <c r="D364" i="31" s="1"/>
  <c r="A55" i="10"/>
  <c r="D55" i="10" l="1"/>
  <c r="F55" i="10" s="1"/>
  <c r="D365" i="31" s="1"/>
  <c r="D366" i="31" s="1"/>
  <c r="D367" i="31" s="1"/>
  <c r="D368" i="31" s="1"/>
  <c r="D369" i="31" s="1"/>
  <c r="D370" i="31" s="1"/>
  <c r="A56" i="10"/>
  <c r="A57" i="10" l="1"/>
  <c r="D56" i="10"/>
  <c r="F56" i="10" s="1"/>
  <c r="D371" i="31" s="1"/>
  <c r="D372" i="31" s="1"/>
  <c r="D373" i="31" s="1"/>
  <c r="D374" i="31" s="1"/>
  <c r="D375" i="31" s="1"/>
  <c r="D376" i="31" s="1"/>
  <c r="A58" i="10" l="1"/>
  <c r="D57" i="10"/>
  <c r="F57" i="10" s="1"/>
  <c r="D377" i="31" s="1"/>
  <c r="D378" i="31" s="1"/>
  <c r="D379" i="31" s="1"/>
  <c r="D380" i="31" s="1"/>
  <c r="D381" i="31" s="1"/>
  <c r="D382" i="31" s="1"/>
  <c r="A59" i="10" l="1"/>
  <c r="D58" i="10"/>
  <c r="F58" i="10" s="1"/>
  <c r="D383" i="31" s="1"/>
  <c r="D384" i="31" s="1"/>
  <c r="D385" i="31" s="1"/>
  <c r="D386" i="31" s="1"/>
  <c r="D387" i="31" s="1"/>
  <c r="D388" i="31" s="1"/>
  <c r="D59" i="10" l="1"/>
  <c r="F59" i="10" s="1"/>
  <c r="D389" i="31" s="1"/>
  <c r="D390" i="31" s="1"/>
  <c r="D391" i="31" s="1"/>
  <c r="D392" i="31" s="1"/>
  <c r="D393" i="31" s="1"/>
  <c r="D394" i="31" s="1"/>
  <c r="A60" i="10"/>
  <c r="D60" i="10" l="1"/>
  <c r="F60" i="10" s="1"/>
  <c r="D395" i="31" s="1"/>
  <c r="D396" i="31" s="1"/>
  <c r="D397" i="31" s="1"/>
  <c r="D398" i="31" s="1"/>
  <c r="D399" i="31" s="1"/>
  <c r="D400" i="31" s="1"/>
  <c r="A61" i="10"/>
  <c r="D61" i="10" l="1"/>
  <c r="F61" i="10" s="1"/>
  <c r="D401" i="31" s="1"/>
  <c r="D402" i="31" s="1"/>
  <c r="D403" i="31" s="1"/>
  <c r="D404" i="31" s="1"/>
  <c r="D405" i="31" s="1"/>
  <c r="D406" i="31" s="1"/>
  <c r="A62" i="10"/>
  <c r="A63" i="10" l="1"/>
  <c r="D62" i="10"/>
  <c r="F62" i="10" s="1"/>
  <c r="D407" i="31" s="1"/>
  <c r="D408" i="31" s="1"/>
  <c r="D409" i="31" s="1"/>
  <c r="D410" i="31" s="1"/>
  <c r="D411" i="31" s="1"/>
  <c r="D412" i="31" s="1"/>
  <c r="D63" i="10" l="1"/>
  <c r="F63" i="10" s="1"/>
  <c r="D413" i="31" s="1"/>
  <c r="D414" i="31" s="1"/>
  <c r="D415" i="31" s="1"/>
  <c r="D416" i="31" s="1"/>
  <c r="D417" i="31" s="1"/>
  <c r="D418" i="31" s="1"/>
  <c r="A75" i="10"/>
  <c r="A13" i="38"/>
  <c r="A14" i="38" l="1"/>
  <c r="D13" i="38"/>
  <c r="F13" i="38" s="1"/>
  <c r="D473" i="31" s="1"/>
  <c r="D474" i="31" s="1"/>
  <c r="D475" i="31" s="1"/>
  <c r="D476" i="31" s="1"/>
  <c r="D477" i="31" s="1"/>
  <c r="D478" i="31" s="1"/>
  <c r="A76" i="10"/>
  <c r="D75" i="10"/>
  <c r="F75" i="10" s="1"/>
  <c r="D455" i="31" s="1"/>
  <c r="D456" i="31" s="1"/>
  <c r="D457" i="31" s="1"/>
  <c r="D458" i="31" s="1"/>
  <c r="D459" i="31" s="1"/>
  <c r="D460" i="31" s="1"/>
  <c r="A67" i="10"/>
  <c r="D67" i="10" l="1"/>
  <c r="F67" i="10" s="1"/>
  <c r="D419" i="31" s="1"/>
  <c r="D420" i="31" s="1"/>
  <c r="D421" i="31" s="1"/>
  <c r="D422" i="31" s="1"/>
  <c r="D423" i="31" s="1"/>
  <c r="D424" i="31" s="1"/>
  <c r="A68" i="10"/>
  <c r="A70" i="10"/>
  <c r="D76" i="10"/>
  <c r="F76" i="10" s="1"/>
  <c r="D461" i="31" s="1"/>
  <c r="D462" i="31" s="1"/>
  <c r="D463" i="31" s="1"/>
  <c r="D464" i="31" s="1"/>
  <c r="D465" i="31" s="1"/>
  <c r="D466" i="31" s="1"/>
  <c r="A77" i="10"/>
  <c r="D77" i="10" s="1"/>
  <c r="F77" i="10" s="1"/>
  <c r="D467" i="31" s="1"/>
  <c r="D468" i="31" s="1"/>
  <c r="D469" i="31" s="1"/>
  <c r="D470" i="31" s="1"/>
  <c r="D471" i="31" s="1"/>
  <c r="D472" i="31" s="1"/>
  <c r="D14" i="38"/>
  <c r="F14" i="38" s="1"/>
  <c r="D479" i="31" s="1"/>
  <c r="D480" i="31" s="1"/>
  <c r="D481" i="31" s="1"/>
  <c r="D482" i="31" s="1"/>
  <c r="D483" i="31" s="1"/>
  <c r="D484" i="31" s="1"/>
  <c r="A15" i="38"/>
  <c r="D15" i="38" l="1"/>
  <c r="F15" i="38" s="1"/>
  <c r="D485" i="31" s="1"/>
  <c r="D486" i="31" s="1"/>
  <c r="D487" i="31" s="1"/>
  <c r="D488" i="31" s="1"/>
  <c r="D489" i="31" s="1"/>
  <c r="D490" i="31" s="1"/>
  <c r="A16" i="38"/>
  <c r="A71" i="10"/>
  <c r="D70" i="10"/>
  <c r="F70" i="10" s="1"/>
  <c r="D437" i="31" s="1"/>
  <c r="D438" i="31" s="1"/>
  <c r="D439" i="31" s="1"/>
  <c r="D440" i="31" s="1"/>
  <c r="D441" i="31" s="1"/>
  <c r="D442" i="31" s="1"/>
  <c r="D68" i="10"/>
  <c r="F68" i="10" s="1"/>
  <c r="D425" i="31" s="1"/>
  <c r="D426" i="31" s="1"/>
  <c r="D427" i="31" s="1"/>
  <c r="D428" i="31" s="1"/>
  <c r="D429" i="31" s="1"/>
  <c r="D430" i="31" s="1"/>
  <c r="A69" i="10"/>
  <c r="D69" i="10" s="1"/>
  <c r="F69" i="10" s="1"/>
  <c r="D431" i="31" s="1"/>
  <c r="D432" i="31" s="1"/>
  <c r="D433" i="31" s="1"/>
  <c r="D434" i="31" s="1"/>
  <c r="D435" i="31" s="1"/>
  <c r="D436" i="31" s="1"/>
  <c r="D71" i="10" l="1"/>
  <c r="F71" i="10" s="1"/>
  <c r="D443" i="31" s="1"/>
  <c r="D444" i="31" s="1"/>
  <c r="D445" i="31" s="1"/>
  <c r="D446" i="31" s="1"/>
  <c r="D447" i="31" s="1"/>
  <c r="D448" i="31" s="1"/>
  <c r="A72" i="10"/>
  <c r="D72" i="10" s="1"/>
  <c r="F72" i="10" s="1"/>
  <c r="D449" i="31" s="1"/>
  <c r="D450" i="31" s="1"/>
  <c r="D451" i="31" s="1"/>
  <c r="D452" i="31" s="1"/>
  <c r="D453" i="31" s="1"/>
  <c r="D454" i="31" s="1"/>
  <c r="D16" i="38"/>
  <c r="F16" i="38" s="1"/>
  <c r="D491" i="31" s="1"/>
  <c r="D492" i="31" s="1"/>
  <c r="D493" i="31" s="1"/>
  <c r="D494" i="31" s="1"/>
  <c r="D495" i="31" s="1"/>
  <c r="D496" i="31" s="1"/>
  <c r="A17" i="38"/>
  <c r="D17" i="38" l="1"/>
  <c r="F17" i="38" s="1"/>
  <c r="D497" i="31" s="1"/>
  <c r="D498" i="31" s="1"/>
  <c r="D499" i="31" s="1"/>
  <c r="D500" i="31" s="1"/>
  <c r="D501" i="31" s="1"/>
  <c r="D502" i="31" s="1"/>
  <c r="A18" i="38"/>
  <c r="A19" i="38" l="1"/>
  <c r="D18" i="38"/>
  <c r="F18" i="38" s="1"/>
  <c r="D503" i="31" s="1"/>
  <c r="D504" i="31" s="1"/>
  <c r="D505" i="31" s="1"/>
  <c r="D506" i="31" s="1"/>
  <c r="D507" i="31" s="1"/>
  <c r="D508" i="31" s="1"/>
  <c r="A20" i="38" l="1"/>
  <c r="D19" i="38"/>
  <c r="F19" i="38" s="1"/>
  <c r="D509" i="31" s="1"/>
  <c r="D510" i="31" s="1"/>
  <c r="D511" i="31" s="1"/>
  <c r="D512" i="31" s="1"/>
  <c r="D513" i="31" s="1"/>
  <c r="D514" i="31" s="1"/>
  <c r="D20" i="38" l="1"/>
  <c r="F20" i="38" s="1"/>
  <c r="D515" i="31" s="1"/>
  <c r="D516" i="31" s="1"/>
  <c r="D517" i="31" s="1"/>
  <c r="D518" i="31" s="1"/>
  <c r="D519" i="31" s="1"/>
  <c r="D520" i="31" s="1"/>
  <c r="A21" i="38"/>
  <c r="D21" i="38" l="1"/>
  <c r="F21" i="38" s="1"/>
  <c r="D521" i="31" s="1"/>
  <c r="D522" i="31" s="1"/>
  <c r="D523" i="31" s="1"/>
  <c r="D524" i="31" s="1"/>
  <c r="D525" i="31" s="1"/>
  <c r="D526" i="31" s="1"/>
  <c r="A22" i="38"/>
  <c r="D22" i="38" l="1"/>
  <c r="F22" i="38" s="1"/>
  <c r="D527" i="31" s="1"/>
  <c r="D528" i="31" s="1"/>
  <c r="D529" i="31" s="1"/>
  <c r="D530" i="31" s="1"/>
  <c r="D531" i="31" s="1"/>
  <c r="D532" i="31" s="1"/>
  <c r="A23" i="38"/>
  <c r="D23" i="38" l="1"/>
  <c r="F23" i="38" s="1"/>
  <c r="D533" i="31" s="1"/>
  <c r="D534" i="31" s="1"/>
  <c r="D535" i="31" s="1"/>
  <c r="D536" i="31" s="1"/>
  <c r="D537" i="31" s="1"/>
  <c r="D538" i="31" s="1"/>
  <c r="A24" i="38"/>
  <c r="A25" i="38" l="1"/>
  <c r="D24" i="38"/>
  <c r="F24" i="38" s="1"/>
  <c r="D539" i="31" s="1"/>
  <c r="D540" i="31" s="1"/>
  <c r="D541" i="31" s="1"/>
  <c r="D542" i="31" s="1"/>
  <c r="D543" i="31" s="1"/>
  <c r="D544" i="31" s="1"/>
  <c r="D25" i="38" l="1"/>
  <c r="F25" i="38" s="1"/>
  <c r="D545" i="31" s="1"/>
  <c r="D546" i="31" s="1"/>
  <c r="D547" i="31" s="1"/>
  <c r="D548" i="31" s="1"/>
  <c r="D549" i="31" s="1"/>
  <c r="D550" i="31" s="1"/>
  <c r="A38" i="38"/>
  <c r="A39" i="38" l="1"/>
  <c r="D38" i="38"/>
  <c r="F38" i="38" s="1"/>
  <c r="D551" i="31" s="1"/>
  <c r="D552" i="31" s="1"/>
  <c r="D553" i="31" s="1"/>
  <c r="D554" i="31" s="1"/>
  <c r="D555" i="31" s="1"/>
  <c r="D556" i="31" s="1"/>
  <c r="D39" i="38" l="1"/>
  <c r="F39" i="38" s="1"/>
  <c r="D557" i="31" s="1"/>
  <c r="D558" i="31" s="1"/>
  <c r="D559" i="31" s="1"/>
  <c r="D560" i="31" s="1"/>
  <c r="D561" i="31" s="1"/>
  <c r="D562" i="31" s="1"/>
  <c r="A40" i="38"/>
  <c r="D40" i="38" l="1"/>
  <c r="F40" i="38" s="1"/>
  <c r="D563" i="31" s="1"/>
  <c r="D564" i="31" s="1"/>
  <c r="D565" i="31" s="1"/>
  <c r="D566" i="31" s="1"/>
  <c r="D567" i="31" s="1"/>
  <c r="D568" i="31" s="1"/>
  <c r="A41" i="38"/>
  <c r="A42" i="38" l="1"/>
  <c r="D41" i="38"/>
  <c r="F41" i="38" s="1"/>
  <c r="D569" i="31" s="1"/>
  <c r="D570" i="31" s="1"/>
  <c r="D571" i="31" s="1"/>
  <c r="D572" i="31" s="1"/>
  <c r="D573" i="31" s="1"/>
  <c r="D574" i="31" s="1"/>
  <c r="A43" i="38" l="1"/>
  <c r="D42" i="38"/>
  <c r="F42" i="38" s="1"/>
  <c r="D575" i="31" s="1"/>
  <c r="D576" i="31" s="1"/>
  <c r="D577" i="31" s="1"/>
  <c r="D578" i="31" s="1"/>
  <c r="D579" i="31" s="1"/>
  <c r="D580" i="31" s="1"/>
  <c r="D43" i="38" l="1"/>
  <c r="F43" i="38" s="1"/>
  <c r="D581" i="31" s="1"/>
  <c r="D582" i="31" s="1"/>
  <c r="D583" i="31" s="1"/>
  <c r="D584" i="31" s="1"/>
  <c r="D585" i="31" s="1"/>
  <c r="D586" i="31" s="1"/>
  <c r="A44" i="38"/>
  <c r="D44" i="38" l="1"/>
  <c r="F44" i="38" s="1"/>
  <c r="D587" i="31" s="1"/>
  <c r="D588" i="31" s="1"/>
  <c r="D589" i="31" s="1"/>
  <c r="D590" i="31" s="1"/>
  <c r="D591" i="31" s="1"/>
  <c r="D592" i="31" s="1"/>
  <c r="A45" i="38"/>
  <c r="D45" i="38" l="1"/>
  <c r="F45" i="38" s="1"/>
  <c r="D593" i="31" s="1"/>
  <c r="D594" i="31" s="1"/>
  <c r="D595" i="31" s="1"/>
  <c r="D596" i="31" s="1"/>
  <c r="D597" i="31" s="1"/>
  <c r="D598" i="31" s="1"/>
  <c r="A46" i="38"/>
  <c r="D46" i="38" l="1"/>
  <c r="F46" i="38" s="1"/>
  <c r="D599" i="31" s="1"/>
  <c r="D600" i="31" s="1"/>
  <c r="D601" i="31" s="1"/>
  <c r="D602" i="31" s="1"/>
  <c r="D603" i="31" s="1"/>
  <c r="D604" i="31" s="1"/>
  <c r="A47" i="38"/>
  <c r="A48" i="38" l="1"/>
  <c r="D47" i="38"/>
  <c r="F47" i="38" s="1"/>
  <c r="D605" i="31" s="1"/>
  <c r="D606" i="31" s="1"/>
  <c r="D607" i="31" s="1"/>
  <c r="D608" i="31" s="1"/>
  <c r="D609" i="31" s="1"/>
  <c r="D610" i="31" s="1"/>
  <c r="D48" i="38" l="1"/>
  <c r="F48" i="38" s="1"/>
  <c r="D611" i="31" s="1"/>
  <c r="D612" i="31" s="1"/>
  <c r="D613" i="31" s="1"/>
  <c r="D614" i="31" s="1"/>
  <c r="D615" i="31" s="1"/>
  <c r="D616" i="31" s="1"/>
  <c r="A49" i="38"/>
  <c r="D49" i="38" l="1"/>
  <c r="F49" i="38" s="1"/>
  <c r="D617" i="31" s="1"/>
  <c r="D618" i="31" s="1"/>
  <c r="D619" i="31" s="1"/>
  <c r="D620" i="31" s="1"/>
  <c r="D621" i="31" s="1"/>
  <c r="D622" i="31" s="1"/>
  <c r="A50" i="38"/>
  <c r="D50" i="38" l="1"/>
  <c r="F50" i="38" s="1"/>
  <c r="D623" i="31" s="1"/>
  <c r="D624" i="31" s="1"/>
  <c r="D625" i="31" s="1"/>
  <c r="D626" i="31" s="1"/>
  <c r="D627" i="31" s="1"/>
  <c r="D628" i="31" s="1"/>
  <c r="A51" i="38"/>
  <c r="A52" i="38" l="1"/>
  <c r="D51" i="38"/>
  <c r="F51" i="38" s="1"/>
  <c r="D629" i="31" s="1"/>
  <c r="D630" i="31" s="1"/>
  <c r="D631" i="31" s="1"/>
  <c r="D632" i="31" s="1"/>
  <c r="D633" i="31" s="1"/>
  <c r="D634" i="31" s="1"/>
  <c r="A53" i="38" l="1"/>
  <c r="D52" i="38"/>
  <c r="F52" i="38" s="1"/>
  <c r="D635" i="31" s="1"/>
  <c r="D636" i="31" s="1"/>
  <c r="D637" i="31" s="1"/>
  <c r="D638" i="31" s="1"/>
  <c r="D639" i="31" s="1"/>
  <c r="D640" i="31" s="1"/>
  <c r="A54" i="38" l="1"/>
  <c r="D53" i="38"/>
  <c r="F53" i="38" s="1"/>
  <c r="D641" i="31" s="1"/>
  <c r="D642" i="31" s="1"/>
  <c r="D643" i="31" s="1"/>
  <c r="D644" i="31" s="1"/>
  <c r="D645" i="31" s="1"/>
  <c r="D646" i="31" s="1"/>
  <c r="A55" i="38" l="1"/>
  <c r="D54" i="38"/>
  <c r="F54" i="38" s="1"/>
  <c r="D647" i="31" s="1"/>
  <c r="D648" i="31" s="1"/>
  <c r="D649" i="31" s="1"/>
  <c r="D650" i="31" s="1"/>
  <c r="D651" i="31" s="1"/>
  <c r="D652" i="31" s="1"/>
  <c r="D55" i="38" l="1"/>
  <c r="F55" i="38" s="1"/>
  <c r="D653" i="31" s="1"/>
  <c r="D654" i="31" s="1"/>
  <c r="D655" i="31" s="1"/>
  <c r="D656" i="31" s="1"/>
  <c r="D657" i="31" s="1"/>
  <c r="D658" i="31" s="1"/>
  <c r="A12" i="7"/>
  <c r="A13" i="7" l="1"/>
  <c r="D12" i="7"/>
  <c r="F12" i="7" s="1"/>
  <c r="D659" i="31" s="1"/>
  <c r="D660" i="31" s="1"/>
  <c r="D661" i="31" s="1"/>
  <c r="D662" i="31" s="1"/>
  <c r="D663" i="31" s="1"/>
  <c r="D664" i="31" s="1"/>
  <c r="D665" i="31" s="1"/>
  <c r="D666" i="31" s="1"/>
  <c r="D667" i="31" s="1"/>
  <c r="D668" i="31" s="1"/>
  <c r="D669" i="31" s="1"/>
  <c r="D670" i="31" s="1"/>
  <c r="A14" i="7" l="1"/>
  <c r="D13" i="7"/>
  <c r="F13" i="7" s="1"/>
  <c r="D671" i="31" s="1"/>
  <c r="D672" i="31" s="1"/>
  <c r="D673" i="31" s="1"/>
  <c r="D674" i="31" s="1"/>
  <c r="D675" i="31" s="1"/>
  <c r="D676" i="31" s="1"/>
  <c r="D677" i="31" s="1"/>
  <c r="D678" i="31" s="1"/>
  <c r="D679" i="31" s="1"/>
  <c r="D680" i="31" s="1"/>
  <c r="D681" i="31" s="1"/>
  <c r="D682" i="31" s="1"/>
  <c r="A15" i="7" l="1"/>
  <c r="D14" i="7"/>
  <c r="F14" i="7" s="1"/>
  <c r="D683" i="31" s="1"/>
  <c r="D684" i="31" s="1"/>
  <c r="D685" i="31" s="1"/>
  <c r="D686" i="31" s="1"/>
  <c r="D687" i="31" s="1"/>
  <c r="D688" i="31" s="1"/>
  <c r="D689" i="31" s="1"/>
  <c r="D690" i="31" s="1"/>
  <c r="D691" i="31" s="1"/>
  <c r="D692" i="31" s="1"/>
  <c r="D693" i="31" s="1"/>
  <c r="D694" i="31" s="1"/>
  <c r="A16" i="7" l="1"/>
  <c r="D15" i="7"/>
  <c r="F15" i="7" s="1"/>
  <c r="D695" i="31" s="1"/>
  <c r="D696" i="31" s="1"/>
  <c r="D697" i="31" s="1"/>
  <c r="D698" i="31" s="1"/>
  <c r="D699" i="31" s="1"/>
  <c r="D700" i="31" s="1"/>
  <c r="D701" i="31" s="1"/>
  <c r="D702" i="31" s="1"/>
  <c r="D703" i="31" s="1"/>
  <c r="D704" i="31" s="1"/>
  <c r="D705" i="31" s="1"/>
  <c r="D706" i="31" s="1"/>
  <c r="A17" i="7" l="1"/>
  <c r="D16" i="7"/>
  <c r="F16" i="7" s="1"/>
  <c r="D707" i="31" s="1"/>
  <c r="D708" i="31" s="1"/>
  <c r="D709" i="31" s="1"/>
  <c r="D710" i="31" s="1"/>
  <c r="D711" i="31" s="1"/>
  <c r="D712" i="31" s="1"/>
  <c r="D713" i="31" s="1"/>
  <c r="D714" i="31" s="1"/>
  <c r="D715" i="31" s="1"/>
  <c r="D716" i="31" s="1"/>
  <c r="D717" i="31" s="1"/>
  <c r="D718" i="31" s="1"/>
  <c r="D17" i="7" l="1"/>
  <c r="F17" i="7" s="1"/>
  <c r="D719" i="31" s="1"/>
  <c r="D720" i="31" s="1"/>
  <c r="D721" i="31" s="1"/>
  <c r="D722" i="31" s="1"/>
  <c r="D723" i="31" s="1"/>
  <c r="D724" i="31" s="1"/>
  <c r="D725" i="31" s="1"/>
  <c r="D726" i="31" s="1"/>
  <c r="D727" i="31" s="1"/>
  <c r="D728" i="31" s="1"/>
  <c r="D729" i="31" s="1"/>
  <c r="D730" i="31" s="1"/>
  <c r="A18" i="7"/>
  <c r="A19" i="7" l="1"/>
  <c r="D18" i="7"/>
  <c r="F18" i="7" s="1"/>
  <c r="D731" i="31" s="1"/>
  <c r="D732" i="31" s="1"/>
  <c r="D733" i="31" s="1"/>
  <c r="D734" i="31" s="1"/>
  <c r="D735" i="31" s="1"/>
  <c r="D736" i="31" s="1"/>
  <c r="D737" i="31" s="1"/>
  <c r="D738" i="31" s="1"/>
  <c r="D739" i="31" s="1"/>
  <c r="D740" i="31" s="1"/>
  <c r="D741" i="31" s="1"/>
  <c r="D742" i="31" s="1"/>
  <c r="D19" i="7" l="1"/>
  <c r="F19" i="7" s="1"/>
  <c r="D743" i="31" s="1"/>
  <c r="D744" i="31" s="1"/>
  <c r="D745" i="31" s="1"/>
  <c r="D746" i="31" s="1"/>
  <c r="D747" i="31" s="1"/>
  <c r="D748" i="31" s="1"/>
  <c r="D749" i="31" s="1"/>
  <c r="D750" i="31" s="1"/>
  <c r="D751" i="31" s="1"/>
  <c r="D752" i="31" s="1"/>
  <c r="D753" i="31" s="1"/>
  <c r="D754" i="31" s="1"/>
  <c r="A20" i="7"/>
  <c r="D20" i="7" l="1"/>
  <c r="F20" i="7" s="1"/>
  <c r="D755" i="31" s="1"/>
  <c r="D756" i="31" s="1"/>
  <c r="D757" i="31" s="1"/>
  <c r="D758" i="31" s="1"/>
  <c r="D759" i="31" s="1"/>
  <c r="D760" i="31" s="1"/>
  <c r="D761" i="31" s="1"/>
  <c r="D762" i="31" s="1"/>
  <c r="D763" i="31" s="1"/>
  <c r="D764" i="31" s="1"/>
  <c r="D765" i="31" s="1"/>
  <c r="D766" i="31" s="1"/>
  <c r="A21" i="7"/>
  <c r="D21" i="7" l="1"/>
  <c r="F21" i="7" s="1"/>
  <c r="D767" i="31" s="1"/>
  <c r="D768" i="31" s="1"/>
  <c r="D769" i="31" s="1"/>
  <c r="D770" i="31" s="1"/>
  <c r="D771" i="31" s="1"/>
  <c r="D772" i="31" s="1"/>
  <c r="D773" i="31" s="1"/>
  <c r="D774" i="31" s="1"/>
  <c r="D775" i="31" s="1"/>
  <c r="D776" i="31" s="1"/>
  <c r="D777" i="31" s="1"/>
  <c r="D778" i="31" s="1"/>
  <c r="A22" i="7"/>
  <c r="D22" i="7" l="1"/>
  <c r="F22" i="7" s="1"/>
  <c r="D779" i="31" s="1"/>
  <c r="D780" i="31" s="1"/>
  <c r="D781" i="31" s="1"/>
  <c r="D782" i="31" s="1"/>
  <c r="D783" i="31" s="1"/>
  <c r="D784" i="31" s="1"/>
  <c r="D785" i="31" s="1"/>
  <c r="D786" i="31" s="1"/>
  <c r="D787" i="31" s="1"/>
  <c r="D788" i="31" s="1"/>
  <c r="D789" i="31" s="1"/>
  <c r="D790" i="31" s="1"/>
  <c r="A23" i="7"/>
  <c r="A24" i="7" l="1"/>
  <c r="D23" i="7"/>
  <c r="F23" i="7" s="1"/>
  <c r="D791" i="31" s="1"/>
  <c r="D792" i="31" s="1"/>
  <c r="D793" i="31" s="1"/>
  <c r="D794" i="31" s="1"/>
  <c r="D795" i="31" s="1"/>
  <c r="D796" i="31" s="1"/>
  <c r="D797" i="31" s="1"/>
  <c r="D798" i="31" s="1"/>
  <c r="D799" i="31" s="1"/>
  <c r="D800" i="31" s="1"/>
  <c r="D801" i="31" s="1"/>
  <c r="D802" i="31" s="1"/>
  <c r="D24" i="7" l="1"/>
  <c r="F24" i="7" s="1"/>
  <c r="D803" i="31" s="1"/>
  <c r="D804" i="31" s="1"/>
  <c r="D805" i="31" s="1"/>
  <c r="D806" i="31" s="1"/>
  <c r="D807" i="31" s="1"/>
  <c r="D808" i="31" s="1"/>
  <c r="D809" i="31" s="1"/>
  <c r="D810" i="31" s="1"/>
  <c r="D811" i="31" s="1"/>
  <c r="D812" i="31" s="1"/>
  <c r="D813" i="31" s="1"/>
  <c r="D814" i="31" s="1"/>
  <c r="A37" i="7"/>
  <c r="A38" i="7" l="1"/>
  <c r="D37" i="7"/>
  <c r="F37" i="7" s="1"/>
  <c r="D815" i="31" s="1"/>
  <c r="D816" i="31" s="1"/>
  <c r="D817" i="31" s="1"/>
  <c r="D818" i="31" s="1"/>
  <c r="D819" i="31" s="1"/>
  <c r="D820" i="31" s="1"/>
  <c r="D821" i="31" s="1"/>
  <c r="D822" i="31" s="1"/>
  <c r="D823" i="31" s="1"/>
  <c r="D824" i="31" s="1"/>
  <c r="D825" i="31" s="1"/>
  <c r="D826" i="31" s="1"/>
  <c r="D38" i="7" l="1"/>
  <c r="F38" i="7" s="1"/>
  <c r="D827" i="31" s="1"/>
  <c r="D828" i="31" s="1"/>
  <c r="D829" i="31" s="1"/>
  <c r="D830" i="31" s="1"/>
  <c r="D831" i="31" s="1"/>
  <c r="D832" i="31" s="1"/>
  <c r="D833" i="31" s="1"/>
  <c r="D834" i="31" s="1"/>
  <c r="D835" i="31" s="1"/>
  <c r="D836" i="31" s="1"/>
  <c r="D837" i="31" s="1"/>
  <c r="D838" i="31" s="1"/>
  <c r="A39" i="7"/>
  <c r="A40" i="7" l="1"/>
  <c r="D39" i="7"/>
  <c r="F39" i="7" s="1"/>
  <c r="D839" i="31" s="1"/>
  <c r="D840" i="31" s="1"/>
  <c r="D841" i="31" s="1"/>
  <c r="D842" i="31" s="1"/>
  <c r="D843" i="31" s="1"/>
  <c r="D844" i="31" s="1"/>
  <c r="D845" i="31" s="1"/>
  <c r="D846" i="31" s="1"/>
  <c r="D847" i="31" s="1"/>
  <c r="D848" i="31" s="1"/>
  <c r="D849" i="31" s="1"/>
  <c r="D850" i="31" s="1"/>
  <c r="A41" i="7" l="1"/>
  <c r="D40" i="7"/>
  <c r="F40" i="7" s="1"/>
  <c r="D851" i="31" s="1"/>
  <c r="D852" i="31" s="1"/>
  <c r="D853" i="31" s="1"/>
  <c r="D854" i="31" s="1"/>
  <c r="D855" i="31" s="1"/>
  <c r="D856" i="31" s="1"/>
  <c r="D857" i="31" s="1"/>
  <c r="D858" i="31" s="1"/>
  <c r="D859" i="31" s="1"/>
  <c r="D860" i="31" s="1"/>
  <c r="D861" i="31" s="1"/>
  <c r="D862" i="31" s="1"/>
  <c r="D41" i="7" l="1"/>
  <c r="F41" i="7" s="1"/>
  <c r="D863" i="31" s="1"/>
  <c r="D864" i="31" s="1"/>
  <c r="D865" i="31" s="1"/>
  <c r="D866" i="31" s="1"/>
  <c r="D867" i="31" s="1"/>
  <c r="D868" i="31" s="1"/>
  <c r="D869" i="31" s="1"/>
  <c r="D870" i="31" s="1"/>
  <c r="D871" i="31" s="1"/>
  <c r="D872" i="31" s="1"/>
  <c r="D873" i="31" s="1"/>
  <c r="D874" i="31" s="1"/>
  <c r="A42" i="7"/>
  <c r="D42" i="7" l="1"/>
  <c r="F42" i="7" s="1"/>
  <c r="D875" i="31" s="1"/>
  <c r="D876" i="31" s="1"/>
  <c r="D877" i="31" s="1"/>
  <c r="D878" i="31" s="1"/>
  <c r="D879" i="31" s="1"/>
  <c r="D880" i="31" s="1"/>
  <c r="D881" i="31" s="1"/>
  <c r="D882" i="31" s="1"/>
  <c r="D883" i="31" s="1"/>
  <c r="D884" i="31" s="1"/>
  <c r="D885" i="31" s="1"/>
  <c r="D886" i="31" s="1"/>
  <c r="A43" i="7"/>
  <c r="A44" i="7" l="1"/>
  <c r="D43" i="7"/>
  <c r="F43" i="7" s="1"/>
  <c r="D887" i="31" s="1"/>
  <c r="D888" i="31" s="1"/>
  <c r="D889" i="31" s="1"/>
  <c r="D890" i="31" s="1"/>
  <c r="D891" i="31" s="1"/>
  <c r="D892" i="31" s="1"/>
  <c r="D893" i="31" s="1"/>
  <c r="D894" i="31" s="1"/>
  <c r="D895" i="31" s="1"/>
  <c r="D896" i="31" s="1"/>
  <c r="D897" i="31" s="1"/>
  <c r="D898" i="31" s="1"/>
  <c r="A45" i="7" l="1"/>
  <c r="D44" i="7"/>
  <c r="F44" i="7" s="1"/>
  <c r="D899" i="31" s="1"/>
  <c r="D900" i="31" s="1"/>
  <c r="D901" i="31" s="1"/>
  <c r="D902" i="31" s="1"/>
  <c r="D903" i="31" s="1"/>
  <c r="D904" i="31" s="1"/>
  <c r="D905" i="31" s="1"/>
  <c r="D906" i="31" s="1"/>
  <c r="D907" i="31" s="1"/>
  <c r="D908" i="31" s="1"/>
  <c r="D909" i="31" s="1"/>
  <c r="D910" i="31" s="1"/>
  <c r="A46" i="7" l="1"/>
  <c r="D45" i="7"/>
  <c r="F45" i="7" s="1"/>
  <c r="D911" i="31" s="1"/>
  <c r="D912" i="31" s="1"/>
  <c r="D913" i="31" s="1"/>
  <c r="D914" i="31" s="1"/>
  <c r="D915" i="31" s="1"/>
  <c r="D916" i="31" s="1"/>
  <c r="D917" i="31" s="1"/>
  <c r="D918" i="31" s="1"/>
  <c r="D919" i="31" s="1"/>
  <c r="D920" i="31" s="1"/>
  <c r="D921" i="31" s="1"/>
  <c r="D922" i="31" s="1"/>
  <c r="A47" i="7" l="1"/>
  <c r="D46" i="7"/>
  <c r="F46" i="7" s="1"/>
  <c r="D923" i="31" s="1"/>
  <c r="D924" i="31" s="1"/>
  <c r="D925" i="31" s="1"/>
  <c r="D926" i="31" s="1"/>
  <c r="D927" i="31" s="1"/>
  <c r="D928" i="31" s="1"/>
  <c r="D929" i="31" s="1"/>
  <c r="D930" i="31" s="1"/>
  <c r="D931" i="31" s="1"/>
  <c r="D932" i="31" s="1"/>
  <c r="D933" i="31" s="1"/>
  <c r="D934" i="31" s="1"/>
  <c r="A48" i="7" l="1"/>
  <c r="D47" i="7"/>
  <c r="F47" i="7" s="1"/>
  <c r="D935" i="31" s="1"/>
  <c r="D936" i="31" s="1"/>
  <c r="D937" i="31" s="1"/>
  <c r="D938" i="31" s="1"/>
  <c r="D939" i="31" s="1"/>
  <c r="D940" i="31" s="1"/>
  <c r="D941" i="31" s="1"/>
  <c r="D942" i="31" s="1"/>
  <c r="D943" i="31" s="1"/>
  <c r="D944" i="31" s="1"/>
  <c r="D945" i="31" s="1"/>
  <c r="D946" i="31" s="1"/>
  <c r="A49" i="7" l="1"/>
  <c r="D48" i="7"/>
  <c r="F48" i="7" s="1"/>
  <c r="D947" i="31" s="1"/>
  <c r="D948" i="31" s="1"/>
  <c r="D949" i="31" s="1"/>
  <c r="D950" i="31" s="1"/>
  <c r="D951" i="31" s="1"/>
  <c r="D952" i="31" s="1"/>
  <c r="D953" i="31" s="1"/>
  <c r="D954" i="31" s="1"/>
  <c r="D955" i="31" s="1"/>
  <c r="D956" i="31" s="1"/>
  <c r="D957" i="31" s="1"/>
  <c r="D958" i="31" s="1"/>
  <c r="D49" i="7" l="1"/>
  <c r="F49" i="7" s="1"/>
  <c r="D959" i="31" s="1"/>
  <c r="D960" i="31" s="1"/>
  <c r="D961" i="31" s="1"/>
  <c r="D962" i="31" s="1"/>
  <c r="D963" i="31" s="1"/>
  <c r="D964" i="31" s="1"/>
  <c r="D965" i="31" s="1"/>
  <c r="D966" i="31" s="1"/>
  <c r="D967" i="31" s="1"/>
  <c r="D968" i="31" s="1"/>
  <c r="D969" i="31" s="1"/>
  <c r="D970" i="31" s="1"/>
  <c r="A50" i="7"/>
  <c r="A51" i="7" l="1"/>
  <c r="D50" i="7"/>
  <c r="F50" i="7" s="1"/>
  <c r="D971" i="31" s="1"/>
  <c r="D972" i="31" s="1"/>
  <c r="D973" i="31" s="1"/>
  <c r="D974" i="31" s="1"/>
  <c r="D975" i="31" s="1"/>
  <c r="D976" i="31" s="1"/>
  <c r="D977" i="31" s="1"/>
  <c r="D978" i="31" s="1"/>
  <c r="D979" i="31" s="1"/>
  <c r="D980" i="31" s="1"/>
  <c r="D981" i="31" s="1"/>
  <c r="D982" i="31" s="1"/>
  <c r="A52" i="7" l="1"/>
  <c r="D51" i="7"/>
  <c r="F51" i="7" s="1"/>
  <c r="D983" i="31" s="1"/>
  <c r="D984" i="31" s="1"/>
  <c r="D985" i="31" s="1"/>
  <c r="D986" i="31" s="1"/>
  <c r="D987" i="31" s="1"/>
  <c r="D988" i="31" s="1"/>
  <c r="D989" i="31" s="1"/>
  <c r="D990" i="31" s="1"/>
  <c r="D991" i="31" s="1"/>
  <c r="D992" i="31" s="1"/>
  <c r="D993" i="31" s="1"/>
  <c r="D994" i="31" s="1"/>
  <c r="D52" i="7" l="1"/>
  <c r="F52" i="7" s="1"/>
  <c r="D995" i="31" s="1"/>
  <c r="D996" i="31" s="1"/>
  <c r="D997" i="31" s="1"/>
  <c r="D998" i="31" s="1"/>
  <c r="D999" i="31" s="1"/>
  <c r="D1000" i="31" s="1"/>
  <c r="D1001" i="31" s="1"/>
  <c r="D1002" i="31" s="1"/>
  <c r="D1003" i="31" s="1"/>
  <c r="D1004" i="31" s="1"/>
  <c r="D1005" i="31" s="1"/>
  <c r="D1006" i="31" s="1"/>
  <c r="A53" i="7"/>
  <c r="A54" i="7" l="1"/>
  <c r="D53" i="7"/>
  <c r="F53" i="7" s="1"/>
  <c r="D1007" i="31" s="1"/>
  <c r="D1008" i="31" s="1"/>
  <c r="D1009" i="31" s="1"/>
  <c r="D1010" i="31" s="1"/>
  <c r="D1011" i="31" s="1"/>
  <c r="D1012" i="31" s="1"/>
  <c r="D1013" i="31" s="1"/>
  <c r="D1014" i="31" s="1"/>
  <c r="D1015" i="31" s="1"/>
  <c r="D1016" i="31" s="1"/>
  <c r="D1017" i="31" s="1"/>
  <c r="D1018" i="31" s="1"/>
  <c r="D54" i="7" l="1"/>
  <c r="F54" i="7" s="1"/>
  <c r="D1019" i="31" s="1"/>
  <c r="D1020" i="31" s="1"/>
  <c r="D1021" i="31" s="1"/>
  <c r="D1022" i="31" s="1"/>
  <c r="D1023" i="31" s="1"/>
  <c r="D1024" i="31" s="1"/>
  <c r="D1025" i="31" s="1"/>
  <c r="D1026" i="31" s="1"/>
  <c r="D1027" i="31" s="1"/>
  <c r="D1028" i="31" s="1"/>
  <c r="D1029" i="31" s="1"/>
  <c r="D1030" i="31" s="1"/>
  <c r="A12" i="8"/>
  <c r="A13" i="8" l="1"/>
  <c r="D12" i="8"/>
  <c r="F12" i="8" s="1"/>
  <c r="D1031" i="31" s="1"/>
  <c r="D1032" i="31" s="1"/>
  <c r="D1033" i="31" s="1"/>
  <c r="D1034" i="31" s="1"/>
  <c r="D1035" i="31" s="1"/>
  <c r="D1036" i="31" s="1"/>
  <c r="D1037" i="31" s="1"/>
  <c r="D1038" i="31" s="1"/>
  <c r="D1039" i="31" s="1"/>
  <c r="D1040" i="31" s="1"/>
  <c r="D1041" i="31" s="1"/>
  <c r="D1042" i="31" s="1"/>
  <c r="A14" i="8" l="1"/>
  <c r="D13" i="8"/>
  <c r="F13" i="8" s="1"/>
  <c r="D1043" i="31" s="1"/>
  <c r="D1044" i="31" s="1"/>
  <c r="D1045" i="31" s="1"/>
  <c r="D1046" i="31" s="1"/>
  <c r="D1047" i="31" s="1"/>
  <c r="D1048" i="31" s="1"/>
  <c r="D1049" i="31" s="1"/>
  <c r="D1050" i="31" s="1"/>
  <c r="D1051" i="31" s="1"/>
  <c r="D1052" i="31" s="1"/>
  <c r="D1053" i="31" s="1"/>
  <c r="D1054" i="31" s="1"/>
  <c r="D14" i="8" l="1"/>
  <c r="F14" i="8" s="1"/>
  <c r="D1055" i="31" s="1"/>
  <c r="D1056" i="31" s="1"/>
  <c r="D1057" i="31" s="1"/>
  <c r="D1058" i="31" s="1"/>
  <c r="D1059" i="31" s="1"/>
  <c r="D1060" i="31" s="1"/>
  <c r="D1061" i="31" s="1"/>
  <c r="D1062" i="31" s="1"/>
  <c r="D1063" i="31" s="1"/>
  <c r="D1064" i="31" s="1"/>
  <c r="D1065" i="31" s="1"/>
  <c r="D1066" i="31" s="1"/>
  <c r="A15" i="8"/>
  <c r="D15" i="8" l="1"/>
  <c r="F15" i="8" s="1"/>
  <c r="D1067" i="31" s="1"/>
  <c r="D1068" i="31" s="1"/>
  <c r="D1069" i="31" s="1"/>
  <c r="D1070" i="31" s="1"/>
  <c r="D1071" i="31" s="1"/>
  <c r="D1072" i="31" s="1"/>
  <c r="D1073" i="31" s="1"/>
  <c r="D1074" i="31" s="1"/>
  <c r="D1075" i="31" s="1"/>
  <c r="D1076" i="31" s="1"/>
  <c r="D1077" i="31" s="1"/>
  <c r="D1078" i="31" s="1"/>
  <c r="A16" i="8"/>
  <c r="A17" i="8" l="1"/>
  <c r="D16" i="8"/>
  <c r="F16" i="8" s="1"/>
  <c r="D1079" i="31" s="1"/>
  <c r="D1080" i="31" s="1"/>
  <c r="D1081" i="31" s="1"/>
  <c r="D1082" i="31" s="1"/>
  <c r="D1083" i="31" s="1"/>
  <c r="D1084" i="31" s="1"/>
  <c r="D1085" i="31" s="1"/>
  <c r="D1086" i="31" s="1"/>
  <c r="D1087" i="31" s="1"/>
  <c r="D1088" i="31" s="1"/>
  <c r="D1089" i="31" s="1"/>
  <c r="D1090" i="31" s="1"/>
  <c r="A18" i="8" l="1"/>
  <c r="D17" i="8"/>
  <c r="F17" i="8" s="1"/>
  <c r="D1091" i="31" s="1"/>
  <c r="D1092" i="31" s="1"/>
  <c r="D1093" i="31" s="1"/>
  <c r="D1094" i="31" s="1"/>
  <c r="D1095" i="31" s="1"/>
  <c r="D1096" i="31" s="1"/>
  <c r="D1097" i="31" s="1"/>
  <c r="D1098" i="31" s="1"/>
  <c r="D1099" i="31" s="1"/>
  <c r="D1100" i="31" s="1"/>
  <c r="D1101" i="31" s="1"/>
  <c r="D1102" i="31" s="1"/>
  <c r="D18" i="8" l="1"/>
  <c r="F18" i="8" s="1"/>
  <c r="D1103" i="31" s="1"/>
  <c r="D1104" i="31" s="1"/>
  <c r="D1105" i="31" s="1"/>
  <c r="D1106" i="31" s="1"/>
  <c r="D1107" i="31" s="1"/>
  <c r="D1108" i="31" s="1"/>
  <c r="D1109" i="31" s="1"/>
  <c r="D1110" i="31" s="1"/>
  <c r="D1111" i="31" s="1"/>
  <c r="D1112" i="31" s="1"/>
  <c r="D1113" i="31" s="1"/>
  <c r="D1114" i="31" s="1"/>
  <c r="A19" i="8"/>
  <c r="D19" i="8" l="1"/>
  <c r="F19" i="8" s="1"/>
  <c r="D1115" i="31" s="1"/>
  <c r="D1116" i="31" s="1"/>
  <c r="D1117" i="31" s="1"/>
  <c r="D1118" i="31" s="1"/>
  <c r="D1119" i="31" s="1"/>
  <c r="D1120" i="31" s="1"/>
  <c r="D1121" i="31" s="1"/>
  <c r="D1122" i="31" s="1"/>
  <c r="D1123" i="31" s="1"/>
  <c r="D1124" i="31" s="1"/>
  <c r="D1125" i="31" s="1"/>
  <c r="D1126" i="31" s="1"/>
  <c r="A20" i="8"/>
  <c r="A21" i="8" l="1"/>
  <c r="D20" i="8"/>
  <c r="F20" i="8" s="1"/>
  <c r="D1127" i="31" s="1"/>
  <c r="D1128" i="31" s="1"/>
  <c r="D1129" i="31" s="1"/>
  <c r="D1130" i="31" s="1"/>
  <c r="D1131" i="31" s="1"/>
  <c r="D1132" i="31" s="1"/>
  <c r="D1133" i="31" s="1"/>
  <c r="D1134" i="31" s="1"/>
  <c r="D1135" i="31" s="1"/>
  <c r="D1136" i="31" s="1"/>
  <c r="D1137" i="31" s="1"/>
  <c r="D1138" i="31" s="1"/>
  <c r="A22" i="8" l="1"/>
  <c r="D21" i="8"/>
  <c r="F21" i="8" s="1"/>
  <c r="D1139" i="31" s="1"/>
  <c r="D1140" i="31" s="1"/>
  <c r="D1141" i="31" s="1"/>
  <c r="D1142" i="31" s="1"/>
  <c r="D1143" i="31" s="1"/>
  <c r="D1144" i="31" s="1"/>
  <c r="D1145" i="31" s="1"/>
  <c r="D1146" i="31" s="1"/>
  <c r="D1147" i="31" s="1"/>
  <c r="D1148" i="31" s="1"/>
  <c r="D1149" i="31" s="1"/>
  <c r="D1150" i="31" s="1"/>
  <c r="D22" i="8" l="1"/>
  <c r="F22" i="8" s="1"/>
  <c r="D1151" i="31" s="1"/>
  <c r="D1152" i="31" s="1"/>
  <c r="D1153" i="31" s="1"/>
  <c r="D1154" i="31" s="1"/>
  <c r="D1155" i="31" s="1"/>
  <c r="D1156" i="31" s="1"/>
  <c r="D1157" i="31" s="1"/>
  <c r="D1158" i="31" s="1"/>
  <c r="D1159" i="31" s="1"/>
  <c r="D1160" i="31" s="1"/>
  <c r="D1161" i="31" s="1"/>
  <c r="D1162" i="31" s="1"/>
  <c r="A23" i="8"/>
  <c r="A24" i="8" l="1"/>
  <c r="D23" i="8"/>
  <c r="F23" i="8" s="1"/>
  <c r="D1163" i="31" s="1"/>
  <c r="D1164" i="31" s="1"/>
  <c r="D1165" i="31" s="1"/>
  <c r="D1166" i="31" s="1"/>
  <c r="D1167" i="31" s="1"/>
  <c r="D1168" i="31" s="1"/>
  <c r="D1169" i="31" s="1"/>
  <c r="D1170" i="31" s="1"/>
  <c r="D1171" i="31" s="1"/>
  <c r="D1172" i="31" s="1"/>
  <c r="D1173" i="31" s="1"/>
  <c r="D1174" i="31" s="1"/>
  <c r="D24" i="8" l="1"/>
  <c r="F24" i="8" s="1"/>
  <c r="D1175" i="31" s="1"/>
  <c r="D1176" i="31" s="1"/>
  <c r="D1177" i="31" s="1"/>
  <c r="D1178" i="31" s="1"/>
  <c r="D1179" i="31" s="1"/>
  <c r="D1180" i="31" s="1"/>
  <c r="D1181" i="31" s="1"/>
  <c r="D1182" i="31" s="1"/>
  <c r="D1183" i="31" s="1"/>
  <c r="D1184" i="31" s="1"/>
  <c r="D1185" i="31" s="1"/>
  <c r="D1186" i="31" s="1"/>
  <c r="A37" i="8"/>
  <c r="A38" i="8" l="1"/>
  <c r="D37" i="8"/>
  <c r="F37" i="8" s="1"/>
  <c r="D1187" i="31" s="1"/>
  <c r="D1188" i="31" s="1"/>
  <c r="D1189" i="31" s="1"/>
  <c r="D1190" i="31" s="1"/>
  <c r="D1191" i="31" s="1"/>
  <c r="D1192" i="31" s="1"/>
  <c r="D1193" i="31" s="1"/>
  <c r="D1194" i="31" s="1"/>
  <c r="D1195" i="31" s="1"/>
  <c r="D1196" i="31" s="1"/>
  <c r="D1197" i="31" s="1"/>
  <c r="D1198" i="31" s="1"/>
  <c r="D38" i="8" l="1"/>
  <c r="F38" i="8" s="1"/>
  <c r="D1199" i="31" s="1"/>
  <c r="D1200" i="31" s="1"/>
  <c r="D1201" i="31" s="1"/>
  <c r="D1202" i="31" s="1"/>
  <c r="D1203" i="31" s="1"/>
  <c r="D1204" i="31" s="1"/>
  <c r="D1205" i="31" s="1"/>
  <c r="D1206" i="31" s="1"/>
  <c r="D1207" i="31" s="1"/>
  <c r="D1208" i="31" s="1"/>
  <c r="D1209" i="31" s="1"/>
  <c r="D1210" i="31" s="1"/>
  <c r="A39" i="8"/>
  <c r="D39" i="8" l="1"/>
  <c r="F39" i="8" s="1"/>
  <c r="D1211" i="31" s="1"/>
  <c r="D1212" i="31" s="1"/>
  <c r="D1213" i="31" s="1"/>
  <c r="D1214" i="31" s="1"/>
  <c r="D1215" i="31" s="1"/>
  <c r="D1216" i="31" s="1"/>
  <c r="D1217" i="31" s="1"/>
  <c r="D1218" i="31" s="1"/>
  <c r="D1219" i="31" s="1"/>
  <c r="D1220" i="31" s="1"/>
  <c r="D1221" i="31" s="1"/>
  <c r="D1222" i="31" s="1"/>
  <c r="A40" i="8"/>
  <c r="D40" i="8" l="1"/>
  <c r="F40" i="8" s="1"/>
  <c r="D1223" i="31" s="1"/>
  <c r="D1224" i="31" s="1"/>
  <c r="D1225" i="31" s="1"/>
  <c r="D1226" i="31" s="1"/>
  <c r="D1227" i="31" s="1"/>
  <c r="D1228" i="31" s="1"/>
  <c r="D1229" i="31" s="1"/>
  <c r="D1230" i="31" s="1"/>
  <c r="D1231" i="31" s="1"/>
  <c r="D1232" i="31" s="1"/>
  <c r="D1233" i="31" s="1"/>
  <c r="D1234" i="31" s="1"/>
  <c r="A41" i="8"/>
  <c r="A42" i="8" l="1"/>
  <c r="D41" i="8"/>
  <c r="F41" i="8" s="1"/>
  <c r="D1235" i="31" s="1"/>
  <c r="D1236" i="31" s="1"/>
  <c r="D1237" i="31" s="1"/>
  <c r="D1238" i="31" s="1"/>
  <c r="D1239" i="31" s="1"/>
  <c r="D1240" i="31" s="1"/>
  <c r="D1241" i="31" s="1"/>
  <c r="D1242" i="31" s="1"/>
  <c r="D1243" i="31" s="1"/>
  <c r="D1244" i="31" s="1"/>
  <c r="D1245" i="31" s="1"/>
  <c r="D1246" i="31" s="1"/>
  <c r="A43" i="8" l="1"/>
  <c r="D42" i="8"/>
  <c r="F42" i="8" s="1"/>
  <c r="D1247" i="31" s="1"/>
  <c r="D1248" i="31" s="1"/>
  <c r="D1249" i="31" s="1"/>
  <c r="D1250" i="31" s="1"/>
  <c r="D1251" i="31" s="1"/>
  <c r="D1252" i="31" s="1"/>
  <c r="D1253" i="31" s="1"/>
  <c r="D1254" i="31" s="1"/>
  <c r="D1255" i="31" s="1"/>
  <c r="D1256" i="31" s="1"/>
  <c r="D1257" i="31" s="1"/>
  <c r="D1258" i="31" s="1"/>
  <c r="D43" i="8" l="1"/>
  <c r="F43" i="8" s="1"/>
  <c r="D1259" i="31" s="1"/>
  <c r="D1260" i="31" s="1"/>
  <c r="D1261" i="31" s="1"/>
  <c r="D1262" i="31" s="1"/>
  <c r="D1263" i="31" s="1"/>
  <c r="D1264" i="31" s="1"/>
  <c r="D1265" i="31" s="1"/>
  <c r="D1266" i="31" s="1"/>
  <c r="D1267" i="31" s="1"/>
  <c r="D1268" i="31" s="1"/>
  <c r="D1269" i="31" s="1"/>
  <c r="D1270" i="31" s="1"/>
  <c r="A44" i="8"/>
  <c r="D44" i="8" l="1"/>
  <c r="F44" i="8" s="1"/>
  <c r="D1271" i="31" s="1"/>
  <c r="D1272" i="31" s="1"/>
  <c r="D1273" i="31" s="1"/>
  <c r="D1274" i="31" s="1"/>
  <c r="D1275" i="31" s="1"/>
  <c r="D1276" i="31" s="1"/>
  <c r="D1277" i="31" s="1"/>
  <c r="D1278" i="31" s="1"/>
  <c r="D1279" i="31" s="1"/>
  <c r="D1280" i="31" s="1"/>
  <c r="D1281" i="31" s="1"/>
  <c r="D1282" i="31" s="1"/>
  <c r="A45" i="8"/>
  <c r="A46" i="8" l="1"/>
  <c r="D45" i="8"/>
  <c r="F45" i="8" s="1"/>
  <c r="D1283" i="31" s="1"/>
  <c r="D1284" i="31" s="1"/>
  <c r="D1285" i="31" s="1"/>
  <c r="D1286" i="31" s="1"/>
  <c r="D1287" i="31" s="1"/>
  <c r="D1288" i="31" s="1"/>
  <c r="D1289" i="31" s="1"/>
  <c r="D1290" i="31" s="1"/>
  <c r="D1291" i="31" s="1"/>
  <c r="D1292" i="31" s="1"/>
  <c r="D1293" i="31" s="1"/>
  <c r="D1294" i="31" s="1"/>
  <c r="A47" i="8" l="1"/>
  <c r="D46" i="8"/>
  <c r="F46" i="8" s="1"/>
  <c r="D1295" i="31" s="1"/>
  <c r="D1296" i="31" s="1"/>
  <c r="D1297" i="31" s="1"/>
  <c r="D1298" i="31" s="1"/>
  <c r="D1299" i="31" s="1"/>
  <c r="D1300" i="31" s="1"/>
  <c r="D1301" i="31" s="1"/>
  <c r="D1302" i="31" s="1"/>
  <c r="D1303" i="31" s="1"/>
  <c r="D1304" i="31" s="1"/>
  <c r="D1305" i="31" s="1"/>
  <c r="D1306" i="31" s="1"/>
  <c r="D47" i="8" l="1"/>
  <c r="F47" i="8" s="1"/>
  <c r="D1307" i="31" s="1"/>
  <c r="D1308" i="31" s="1"/>
  <c r="D1309" i="31" s="1"/>
  <c r="D1310" i="31" s="1"/>
  <c r="D1311" i="31" s="1"/>
  <c r="D1312" i="31" s="1"/>
  <c r="D1313" i="31" s="1"/>
  <c r="D1314" i="31" s="1"/>
  <c r="D1315" i="31" s="1"/>
  <c r="D1316" i="31" s="1"/>
  <c r="D1317" i="31" s="1"/>
  <c r="D1318" i="31" s="1"/>
  <c r="A48" i="8"/>
  <c r="D48" i="8" l="1"/>
  <c r="F48" i="8" s="1"/>
  <c r="D1319" i="31" s="1"/>
  <c r="D1320" i="31" s="1"/>
  <c r="D1321" i="31" s="1"/>
  <c r="D1322" i="31" s="1"/>
  <c r="D1323" i="31" s="1"/>
  <c r="D1324" i="31" s="1"/>
  <c r="D1325" i="31" s="1"/>
  <c r="D1326" i="31" s="1"/>
  <c r="D1327" i="31" s="1"/>
  <c r="D1328" i="31" s="1"/>
  <c r="D1329" i="31" s="1"/>
  <c r="D1330" i="31" s="1"/>
  <c r="A49" i="8"/>
  <c r="D49" i="8" l="1"/>
  <c r="F49" i="8" s="1"/>
  <c r="D1331" i="31" s="1"/>
  <c r="D1332" i="31" s="1"/>
  <c r="D1333" i="31" s="1"/>
  <c r="D1334" i="31" s="1"/>
  <c r="D1335" i="31" s="1"/>
  <c r="D1336" i="31" s="1"/>
  <c r="D1337" i="31" s="1"/>
  <c r="D1338" i="31" s="1"/>
  <c r="D1339" i="31" s="1"/>
  <c r="D1340" i="31" s="1"/>
  <c r="D1341" i="31" s="1"/>
  <c r="D1342" i="31" s="1"/>
  <c r="A50" i="8"/>
  <c r="A51" i="8" l="1"/>
  <c r="D50" i="8"/>
  <c r="F50" i="8" s="1"/>
  <c r="D1343" i="31" s="1"/>
  <c r="D1344" i="31" s="1"/>
  <c r="D1345" i="31" s="1"/>
  <c r="D1346" i="31" s="1"/>
  <c r="D1347" i="31" s="1"/>
  <c r="D1348" i="31" s="1"/>
  <c r="D1349" i="31" s="1"/>
  <c r="D1350" i="31" s="1"/>
  <c r="D1351" i="31" s="1"/>
  <c r="D1352" i="31" s="1"/>
  <c r="D1353" i="31" s="1"/>
  <c r="D1354" i="31" s="1"/>
  <c r="A52" i="8" l="1"/>
  <c r="D51" i="8"/>
  <c r="F51" i="8" s="1"/>
  <c r="D1355" i="31" s="1"/>
  <c r="D1356" i="31" s="1"/>
  <c r="D1357" i="31" s="1"/>
  <c r="D1358" i="31" s="1"/>
  <c r="D1359" i="31" s="1"/>
  <c r="D1360" i="31" s="1"/>
  <c r="D1361" i="31" s="1"/>
  <c r="D1362" i="31" s="1"/>
  <c r="D1363" i="31" s="1"/>
  <c r="D1364" i="31" s="1"/>
  <c r="D1365" i="31" s="1"/>
  <c r="D1366" i="31" s="1"/>
  <c r="A53" i="8" l="1"/>
  <c r="D52" i="8"/>
  <c r="F52" i="8" s="1"/>
  <c r="D1367" i="31" s="1"/>
  <c r="D1368" i="31" s="1"/>
  <c r="D1369" i="31" s="1"/>
  <c r="D1370" i="31" s="1"/>
  <c r="D1371" i="31" s="1"/>
  <c r="D1372" i="31" s="1"/>
  <c r="D1373" i="31" s="1"/>
  <c r="D1374" i="31" s="1"/>
  <c r="D1375" i="31" s="1"/>
  <c r="D1376" i="31" s="1"/>
  <c r="D1377" i="31" s="1"/>
  <c r="D1378" i="31" s="1"/>
  <c r="D53" i="8" l="1"/>
  <c r="F53" i="8" s="1"/>
  <c r="D1379" i="31" s="1"/>
  <c r="D1380" i="31" s="1"/>
  <c r="D1381" i="31" s="1"/>
  <c r="D1382" i="31" s="1"/>
  <c r="D1383" i="31" s="1"/>
  <c r="D1384" i="31" s="1"/>
  <c r="D1385" i="31" s="1"/>
  <c r="D1386" i="31" s="1"/>
  <c r="D1387" i="31" s="1"/>
  <c r="D1388" i="31" s="1"/>
  <c r="D1389" i="31" s="1"/>
  <c r="D1390" i="31" s="1"/>
  <c r="A54" i="8"/>
  <c r="D54" i="8" l="1"/>
  <c r="F54" i="8" s="1"/>
  <c r="D1391" i="31" s="1"/>
  <c r="D1392" i="31" s="1"/>
  <c r="D1393" i="31" s="1"/>
  <c r="D1394" i="31" s="1"/>
  <c r="D1395" i="31" s="1"/>
  <c r="D1396" i="31" s="1"/>
  <c r="D1397" i="31" s="1"/>
  <c r="D1398" i="31" s="1"/>
  <c r="D1399" i="31" s="1"/>
  <c r="D1400" i="31" s="1"/>
  <c r="D1401" i="31" s="1"/>
  <c r="D1402" i="31" s="1"/>
  <c r="A12" i="12"/>
  <c r="D12" i="12" l="1"/>
  <c r="F12" i="12" s="1"/>
  <c r="A13" i="12"/>
  <c r="A15" i="12"/>
  <c r="D15" i="12" l="1"/>
  <c r="F15" i="12" s="1"/>
  <c r="A16" i="12"/>
  <c r="D13" i="12"/>
  <c r="F13" i="12" s="1"/>
  <c r="A14" i="12"/>
  <c r="D14" i="12" s="1"/>
  <c r="F14" i="12" s="1"/>
  <c r="D1403" i="31"/>
  <c r="D1405" i="31"/>
  <c r="D1404" i="31"/>
  <c r="D1406" i="31"/>
  <c r="D1407" i="31"/>
  <c r="D1408" i="31"/>
  <c r="D1410" i="31" l="1"/>
  <c r="D1409" i="31"/>
  <c r="D1411" i="31"/>
  <c r="D1412" i="31"/>
  <c r="D1413" i="31"/>
  <c r="D1414" i="31"/>
  <c r="D16" i="12"/>
  <c r="F16" i="12" s="1"/>
  <c r="A17" i="12"/>
  <c r="D1416" i="31"/>
  <c r="D1415" i="31"/>
  <c r="D1417" i="31"/>
  <c r="D1418" i="31"/>
  <c r="D1419" i="31"/>
  <c r="D1420" i="31"/>
  <c r="D1422" i="31"/>
  <c r="D1424" i="31"/>
  <c r="D1423" i="31"/>
  <c r="D1421" i="31"/>
  <c r="D1426" i="31"/>
  <c r="D1425" i="31"/>
  <c r="D1428" i="31" l="1"/>
  <c r="D1429" i="31"/>
  <c r="D1427" i="31"/>
  <c r="D1430" i="31"/>
  <c r="D1431" i="31"/>
  <c r="D1432" i="31"/>
  <c r="A18" i="12"/>
  <c r="D17" i="12"/>
  <c r="F17" i="12" s="1"/>
  <c r="D18" i="12" l="1"/>
  <c r="F18" i="12" s="1"/>
  <c r="A19" i="12"/>
  <c r="D1433" i="31"/>
  <c r="D1434" i="31"/>
  <c r="D1435" i="31"/>
  <c r="D1436" i="31"/>
  <c r="D1437" i="31"/>
  <c r="D1438" i="31"/>
  <c r="A20" i="12" l="1"/>
  <c r="D19" i="12"/>
  <c r="F19" i="12" s="1"/>
  <c r="D1439" i="31"/>
  <c r="D1440" i="31"/>
  <c r="D1441" i="31"/>
  <c r="D1442" i="31"/>
  <c r="D1443" i="31"/>
  <c r="D1444" i="31"/>
  <c r="D1445" i="31" l="1"/>
  <c r="D1446" i="31"/>
  <c r="D1447" i="31"/>
  <c r="D1448" i="31"/>
  <c r="D1449" i="31"/>
  <c r="D1450" i="31"/>
  <c r="A21" i="12"/>
  <c r="D20" i="12"/>
  <c r="F20" i="12" s="1"/>
  <c r="D1451" i="31" l="1"/>
  <c r="D1452" i="31"/>
  <c r="D1453" i="31"/>
  <c r="D1454" i="31"/>
  <c r="D1455" i="31"/>
  <c r="D1456" i="31"/>
  <c r="D21" i="12"/>
  <c r="F21" i="12" s="1"/>
  <c r="A22" i="12"/>
  <c r="D1457" i="31" l="1"/>
  <c r="D1458" i="31"/>
  <c r="D1459" i="31"/>
  <c r="D1460" i="31"/>
  <c r="D1461" i="31"/>
  <c r="D1462" i="31"/>
  <c r="D22" i="12"/>
  <c r="F22" i="12" s="1"/>
  <c r="A12" i="13"/>
  <c r="D12" i="13" l="1"/>
  <c r="F12" i="13" s="1"/>
  <c r="D1469" i="31" s="1"/>
  <c r="A13" i="13"/>
  <c r="D1463" i="31"/>
  <c r="D1464" i="31"/>
  <c r="D1465" i="31"/>
  <c r="D1466" i="31"/>
  <c r="D1467" i="31"/>
  <c r="D1468" i="31"/>
  <c r="D13" i="13" l="1"/>
  <c r="F13" i="13" s="1"/>
  <c r="D1470" i="31" s="1"/>
  <c r="A14" i="13"/>
  <c r="D14" i="13" l="1"/>
  <c r="F14" i="13" s="1"/>
  <c r="D1471" i="31" s="1"/>
  <c r="A15" i="13"/>
  <c r="D15" i="13" l="1"/>
  <c r="F15" i="13" s="1"/>
  <c r="D1472" i="31" s="1"/>
  <c r="A16" i="13"/>
  <c r="A17" i="13" l="1"/>
  <c r="D16" i="13"/>
  <c r="F16" i="13" s="1"/>
  <c r="D1473" i="31" s="1"/>
  <c r="A18" i="13" l="1"/>
  <c r="D17" i="13"/>
  <c r="F17" i="13" s="1"/>
  <c r="D1474" i="31" s="1"/>
  <c r="D18" i="13" l="1"/>
  <c r="F18" i="13" s="1"/>
  <c r="D1475" i="31" s="1"/>
  <c r="A19" i="13"/>
  <c r="D19" i="13" l="1"/>
  <c r="F19" i="13" s="1"/>
  <c r="D1476" i="31" s="1"/>
  <c r="A20" i="13"/>
  <c r="A21" i="13" l="1"/>
  <c r="D20" i="13"/>
  <c r="F20" i="13" s="1"/>
  <c r="D1477" i="31" s="1"/>
  <c r="A22" i="13" l="1"/>
  <c r="D21" i="13"/>
  <c r="F21" i="13" s="1"/>
  <c r="D1478" i="31" s="1"/>
  <c r="D22" i="13" l="1"/>
  <c r="F22" i="13" s="1"/>
  <c r="D1479" i="31" s="1"/>
  <c r="A23" i="13"/>
  <c r="A24" i="13" l="1"/>
  <c r="D23" i="13"/>
  <c r="F23" i="13" s="1"/>
  <c r="D1480" i="31" s="1"/>
  <c r="A13" i="14" l="1"/>
  <c r="D24" i="13"/>
  <c r="F24" i="13" s="1"/>
  <c r="D1481" i="31" s="1"/>
  <c r="D13" i="14" l="1"/>
  <c r="F13" i="14" s="1"/>
  <c r="D1482" i="31" s="1"/>
  <c r="D1483" i="31" s="1"/>
  <c r="D1484" i="31" s="1"/>
  <c r="D1485" i="31" s="1"/>
  <c r="D1486" i="31" s="1"/>
  <c r="D1487" i="31" s="1"/>
  <c r="A26" i="14"/>
  <c r="A14" i="14"/>
  <c r="A39" i="14" l="1"/>
  <c r="D26" i="14"/>
  <c r="F26" i="14" s="1"/>
  <c r="D1518" i="31" s="1"/>
  <c r="D1519" i="31" s="1"/>
  <c r="D1520" i="31" s="1"/>
  <c r="D1521" i="31" s="1"/>
  <c r="D1522" i="31" s="1"/>
  <c r="D1523" i="31" s="1"/>
  <c r="A27" i="14"/>
  <c r="A15" i="14"/>
  <c r="D14" i="14"/>
  <c r="F14" i="14" s="1"/>
  <c r="D1488" i="31" s="1"/>
  <c r="D1489" i="31" s="1"/>
  <c r="D1490" i="31" s="1"/>
  <c r="D1491" i="31" s="1"/>
  <c r="D1492" i="31" s="1"/>
  <c r="D1493" i="31" s="1"/>
  <c r="A28" i="14" l="1"/>
  <c r="D27" i="14"/>
  <c r="F27" i="14" s="1"/>
  <c r="D1524" i="31" s="1"/>
  <c r="D1525" i="31" s="1"/>
  <c r="D1526" i="31" s="1"/>
  <c r="D1527" i="31" s="1"/>
  <c r="D1528" i="31" s="1"/>
  <c r="D1529" i="31" s="1"/>
  <c r="A16" i="14"/>
  <c r="D15" i="14"/>
  <c r="F15" i="14" s="1"/>
  <c r="D1494" i="31" s="1"/>
  <c r="D1495" i="31" s="1"/>
  <c r="D1496" i="31" s="1"/>
  <c r="D1497" i="31" s="1"/>
  <c r="D1498" i="31" s="1"/>
  <c r="D1499" i="31" s="1"/>
  <c r="D39" i="14"/>
  <c r="F39" i="14" s="1"/>
  <c r="D1554" i="31" s="1"/>
  <c r="D1555" i="31" s="1"/>
  <c r="D1556" i="31" s="1"/>
  <c r="D1557" i="31" s="1"/>
  <c r="D1558" i="31" s="1"/>
  <c r="D1559" i="31" s="1"/>
  <c r="A40" i="14"/>
  <c r="A53" i="14"/>
  <c r="D53" i="14" l="1"/>
  <c r="F53" i="14" s="1"/>
  <c r="D1590" i="31" s="1"/>
  <c r="A54" i="14"/>
  <c r="D40" i="14"/>
  <c r="F40" i="14" s="1"/>
  <c r="D1560" i="31" s="1"/>
  <c r="D1561" i="31" s="1"/>
  <c r="D1562" i="31" s="1"/>
  <c r="D1563" i="31" s="1"/>
  <c r="D1564" i="31" s="1"/>
  <c r="D1565" i="31" s="1"/>
  <c r="A41" i="14"/>
  <c r="D16" i="14"/>
  <c r="F16" i="14" s="1"/>
  <c r="D1500" i="31" s="1"/>
  <c r="D1501" i="31" s="1"/>
  <c r="D1502" i="31" s="1"/>
  <c r="D1503" i="31" s="1"/>
  <c r="D1504" i="31" s="1"/>
  <c r="D1505" i="31" s="1"/>
  <c r="A17" i="14"/>
  <c r="A29" i="14"/>
  <c r="D28" i="14"/>
  <c r="F28" i="14" s="1"/>
  <c r="D1530" i="31" s="1"/>
  <c r="D1531" i="31" s="1"/>
  <c r="D1532" i="31" s="1"/>
  <c r="D1533" i="31" s="1"/>
  <c r="D1534" i="31" s="1"/>
  <c r="D1535" i="31" s="1"/>
  <c r="D17" i="14" l="1"/>
  <c r="F17" i="14" s="1"/>
  <c r="D1506" i="31" s="1"/>
  <c r="D1507" i="31" s="1"/>
  <c r="D1508" i="31" s="1"/>
  <c r="D1509" i="31" s="1"/>
  <c r="D1510" i="31" s="1"/>
  <c r="D1511" i="31" s="1"/>
  <c r="A18" i="14"/>
  <c r="D18" i="14" s="1"/>
  <c r="F18" i="14" s="1"/>
  <c r="D1512" i="31" s="1"/>
  <c r="D1513" i="31" s="1"/>
  <c r="D1514" i="31" s="1"/>
  <c r="D1515" i="31" s="1"/>
  <c r="D1516" i="31" s="1"/>
  <c r="D1517" i="31" s="1"/>
  <c r="A30" i="14"/>
  <c r="D29" i="14"/>
  <c r="F29" i="14" s="1"/>
  <c r="D1536" i="31" s="1"/>
  <c r="D1537" i="31" s="1"/>
  <c r="D1538" i="31" s="1"/>
  <c r="D1539" i="31" s="1"/>
  <c r="D1540" i="31" s="1"/>
  <c r="D1541" i="31" s="1"/>
  <c r="D41" i="14"/>
  <c r="F41" i="14" s="1"/>
  <c r="D1566" i="31" s="1"/>
  <c r="D1567" i="31" s="1"/>
  <c r="D1568" i="31" s="1"/>
  <c r="D1569" i="31" s="1"/>
  <c r="D1570" i="31" s="1"/>
  <c r="D1571" i="31" s="1"/>
  <c r="A42" i="14"/>
  <c r="D54" i="14"/>
  <c r="F54" i="14" s="1"/>
  <c r="D1591" i="31" s="1"/>
  <c r="A55" i="14"/>
  <c r="D42" i="14" l="1"/>
  <c r="F42" i="14" s="1"/>
  <c r="D1572" i="31" s="1"/>
  <c r="D1573" i="31" s="1"/>
  <c r="D1574" i="31" s="1"/>
  <c r="D1575" i="31" s="1"/>
  <c r="D1576" i="31" s="1"/>
  <c r="D1577" i="31" s="1"/>
  <c r="A43" i="14"/>
  <c r="A31" i="14"/>
  <c r="D31" i="14" s="1"/>
  <c r="F31" i="14" s="1"/>
  <c r="D1548" i="31" s="1"/>
  <c r="D1549" i="31" s="1"/>
  <c r="D1550" i="31" s="1"/>
  <c r="D1551" i="31" s="1"/>
  <c r="D1552" i="31" s="1"/>
  <c r="D1553" i="31" s="1"/>
  <c r="D30" i="14"/>
  <c r="F30" i="14" s="1"/>
  <c r="D1542" i="31" s="1"/>
  <c r="D1543" i="31" s="1"/>
  <c r="D1544" i="31" s="1"/>
  <c r="D1545" i="31" s="1"/>
  <c r="D1546" i="31" s="1"/>
  <c r="D1547" i="31" s="1"/>
  <c r="D55" i="14"/>
  <c r="F55" i="14" s="1"/>
  <c r="D1592" i="31" s="1"/>
  <c r="A56" i="14"/>
  <c r="A44" i="14" l="1"/>
  <c r="D44" i="14" s="1"/>
  <c r="F44" i="14" s="1"/>
  <c r="D1584" i="31" s="1"/>
  <c r="D1585" i="31" s="1"/>
  <c r="D1586" i="31" s="1"/>
  <c r="D1587" i="31" s="1"/>
  <c r="D1588" i="31" s="1"/>
  <c r="D1589" i="31" s="1"/>
  <c r="D43" i="14"/>
  <c r="F43" i="14" s="1"/>
  <c r="D1578" i="31" s="1"/>
  <c r="D1579" i="31" s="1"/>
  <c r="D1580" i="31" s="1"/>
  <c r="D1581" i="31" s="1"/>
  <c r="D1582" i="31" s="1"/>
  <c r="D1583" i="31" s="1"/>
  <c r="A57" i="14"/>
  <c r="D56" i="14"/>
  <c r="F56" i="14" s="1"/>
  <c r="D1593" i="31" s="1"/>
  <c r="D57" i="14" l="1"/>
  <c r="F57" i="14" s="1"/>
  <c r="D1594" i="31" s="1"/>
  <c r="A58" i="14"/>
  <c r="D58" i="14" l="1"/>
  <c r="F58" i="14" s="1"/>
  <c r="D1595" i="31" s="1"/>
  <c r="A59" i="14"/>
  <c r="A60" i="14" l="1"/>
  <c r="D59" i="14"/>
  <c r="F59" i="14" s="1"/>
  <c r="D1596" i="31" s="1"/>
  <c r="A73" i="14"/>
  <c r="A74" i="14" l="1"/>
  <c r="D73" i="14"/>
  <c r="F73" i="14" s="1"/>
  <c r="D1604" i="31" s="1"/>
  <c r="D60" i="14"/>
  <c r="F60" i="14" s="1"/>
  <c r="D1597" i="31" s="1"/>
  <c r="A61" i="14"/>
  <c r="D61" i="14" l="1"/>
  <c r="F61" i="14" s="1"/>
  <c r="D1598" i="31" s="1"/>
  <c r="A62" i="14"/>
  <c r="A75" i="14"/>
  <c r="D74" i="14"/>
  <c r="F74" i="14" s="1"/>
  <c r="D1605" i="31" s="1"/>
  <c r="D62" i="14" l="1"/>
  <c r="F62" i="14" s="1"/>
  <c r="D1599" i="31" s="1"/>
  <c r="A63" i="14"/>
  <c r="A76" i="14"/>
  <c r="D75" i="14"/>
  <c r="F75" i="14" s="1"/>
  <c r="D1606" i="31" s="1"/>
  <c r="A77" i="14" l="1"/>
  <c r="D76" i="14"/>
  <c r="F76" i="14" s="1"/>
  <c r="D1607" i="31" s="1"/>
  <c r="D63" i="14"/>
  <c r="F63" i="14" s="1"/>
  <c r="D1600" i="31" s="1"/>
  <c r="A64" i="14"/>
  <c r="D64" i="14" l="1"/>
  <c r="F64" i="14" s="1"/>
  <c r="D1601" i="31" s="1"/>
  <c r="A65" i="14"/>
  <c r="D77" i="14"/>
  <c r="F77" i="14" s="1"/>
  <c r="D1608" i="31" s="1"/>
  <c r="A78" i="14"/>
  <c r="A79" i="14" l="1"/>
  <c r="D78" i="14"/>
  <c r="F78" i="14" s="1"/>
  <c r="D1609" i="31" s="1"/>
  <c r="A66" i="14"/>
  <c r="D66" i="14" s="1"/>
  <c r="F66" i="14" s="1"/>
  <c r="D1603" i="31" s="1"/>
  <c r="D65" i="14"/>
  <c r="F65" i="14" s="1"/>
  <c r="D1602" i="31" s="1"/>
  <c r="A80" i="14" l="1"/>
  <c r="D79" i="14"/>
  <c r="F79" i="14" s="1"/>
  <c r="D1610" i="31" s="1"/>
  <c r="D80" i="14" l="1"/>
  <c r="F80" i="14" s="1"/>
  <c r="D1611" i="31" s="1"/>
  <c r="A81" i="14"/>
  <c r="D81" i="14" l="1"/>
  <c r="F81" i="14" s="1"/>
  <c r="D1612" i="31" s="1"/>
  <c r="A82" i="14"/>
  <c r="A83" i="14" l="1"/>
  <c r="D82" i="14"/>
  <c r="F82" i="14" s="1"/>
  <c r="D1613" i="31" s="1"/>
  <c r="D83" i="14" l="1"/>
  <c r="F83" i="14" s="1"/>
  <c r="D1614" i="31" s="1"/>
  <c r="A84" i="14"/>
  <c r="A85" i="14" l="1"/>
  <c r="D84" i="14"/>
  <c r="F84" i="14" s="1"/>
  <c r="D1615" i="31" s="1"/>
  <c r="A86" i="14" l="1"/>
  <c r="D85" i="14"/>
  <c r="F85" i="14" s="1"/>
  <c r="D1616" i="31" s="1"/>
  <c r="A10" i="22" l="1"/>
  <c r="D86" i="14"/>
  <c r="F86" i="14" s="1"/>
  <c r="D1617" i="31" s="1"/>
  <c r="D10" i="22" l="1"/>
  <c r="F10" i="22" s="1"/>
  <c r="D1618" i="31" s="1"/>
  <c r="D1619" i="31" s="1"/>
  <c r="D1620" i="31" s="1"/>
  <c r="D1621" i="31" s="1"/>
  <c r="A11" i="22"/>
  <c r="A12" i="22" l="1"/>
  <c r="D11" i="22"/>
  <c r="F11" i="22" s="1"/>
  <c r="D1622" i="31" s="1"/>
  <c r="D1623" i="31" s="1"/>
  <c r="D1624" i="31" s="1"/>
  <c r="D1625" i="31" s="1"/>
  <c r="D12" i="22" l="1"/>
  <c r="F12" i="22" s="1"/>
  <c r="D1626" i="31" s="1"/>
  <c r="D1627" i="31" s="1"/>
  <c r="D1628" i="31" s="1"/>
  <c r="D1629" i="31" s="1"/>
  <c r="A13" i="22"/>
  <c r="D13" i="22" l="1"/>
  <c r="F13" i="22" s="1"/>
  <c r="D1630" i="31" s="1"/>
  <c r="D1631" i="31" s="1"/>
  <c r="D1632" i="31" s="1"/>
  <c r="D1633" i="31" s="1"/>
  <c r="A15" i="6"/>
  <c r="A16" i="6" l="1"/>
  <c r="D15" i="6"/>
  <c r="F15" i="6" s="1"/>
  <c r="D1634" i="31" s="1"/>
  <c r="D1635" i="31" s="1"/>
  <c r="D1636" i="31" s="1"/>
  <c r="D1637" i="31" s="1"/>
  <c r="D1638" i="31" s="1"/>
  <c r="D1639" i="31" s="1"/>
  <c r="D1640" i="31" s="1"/>
  <c r="D1641" i="31" s="1"/>
  <c r="D16" i="6" l="1"/>
  <c r="F16" i="6" s="1"/>
  <c r="D1642" i="31" s="1"/>
  <c r="D1643" i="31" s="1"/>
  <c r="D1644" i="31" s="1"/>
  <c r="D1645" i="31" s="1"/>
  <c r="D1646" i="31" s="1"/>
  <c r="D1647" i="31" s="1"/>
  <c r="D1648" i="31" s="1"/>
  <c r="D1649" i="31" s="1"/>
  <c r="A17" i="6"/>
  <c r="D17" i="6" l="1"/>
  <c r="F17" i="6" s="1"/>
  <c r="A18" i="6"/>
  <c r="D18" i="6" l="1"/>
  <c r="F18" i="6" s="1"/>
  <c r="A19" i="6"/>
  <c r="D14" i="25"/>
  <c r="D1650" i="31"/>
  <c r="D1651" i="31" s="1"/>
  <c r="D1652" i="31" s="1"/>
  <c r="D1653" i="31" s="1"/>
  <c r="D1654" i="31" s="1"/>
  <c r="D1655" i="31" s="1"/>
  <c r="D1656" i="31" s="1"/>
  <c r="D1657" i="31" s="1"/>
  <c r="D19" i="6" l="1"/>
  <c r="F19" i="6" s="1"/>
  <c r="A20" i="6"/>
  <c r="D26" i="25"/>
  <c r="D1658" i="31"/>
  <c r="D1659" i="31" s="1"/>
  <c r="D1660" i="31" s="1"/>
  <c r="D1661" i="31" s="1"/>
  <c r="D1662" i="31" s="1"/>
  <c r="D1663" i="31" s="1"/>
  <c r="D1664" i="31" s="1"/>
  <c r="D1665" i="31" s="1"/>
  <c r="A21" i="6" l="1"/>
  <c r="D20" i="6"/>
  <c r="F20" i="6" s="1"/>
  <c r="D38" i="25"/>
  <c r="D1666" i="31"/>
  <c r="D1667" i="31" s="1"/>
  <c r="D1668" i="31" s="1"/>
  <c r="D1669" i="31" s="1"/>
  <c r="D1670" i="31" s="1"/>
  <c r="D1671" i="31" s="1"/>
  <c r="D1672" i="31" s="1"/>
  <c r="D1673" i="31" s="1"/>
  <c r="D50" i="25" l="1"/>
  <c r="D1674" i="31"/>
  <c r="D1675" i="31" s="1"/>
  <c r="D1676" i="31" s="1"/>
  <c r="D1677" i="31" s="1"/>
  <c r="D1678" i="31" s="1"/>
  <c r="D1679" i="31" s="1"/>
  <c r="D1680" i="31" s="1"/>
  <c r="D1681" i="31" s="1"/>
  <c r="A48" i="6"/>
  <c r="D21" i="6"/>
  <c r="F21" i="6" s="1"/>
  <c r="D1682" i="31" s="1"/>
  <c r="D1683" i="31" s="1"/>
  <c r="D1684" i="31" s="1"/>
  <c r="D1685" i="31" s="1"/>
  <c r="D1686" i="31" s="1"/>
  <c r="D1687" i="31" s="1"/>
  <c r="D1688" i="31" s="1"/>
  <c r="D1689" i="31" s="1"/>
  <c r="A49" i="6" l="1"/>
  <c r="D48" i="6"/>
  <c r="F48" i="6" s="1"/>
  <c r="D1690" i="31" s="1"/>
  <c r="D1691" i="31" s="1"/>
  <c r="D1692" i="31" s="1"/>
  <c r="D1693" i="31" s="1"/>
  <c r="D1694" i="31" s="1"/>
  <c r="D1695" i="31" s="1"/>
  <c r="D1696" i="31" s="1"/>
  <c r="D1697" i="31" s="1"/>
  <c r="D1698" i="31" s="1"/>
  <c r="D1699" i="31" s="1"/>
  <c r="D49" i="6" l="1"/>
  <c r="F49" i="6" s="1"/>
  <c r="D1700" i="31" s="1"/>
  <c r="D1701" i="31" s="1"/>
  <c r="D1702" i="31" s="1"/>
  <c r="D1703" i="31" s="1"/>
  <c r="D1704" i="31" s="1"/>
  <c r="A50" i="6"/>
  <c r="D50" i="6" l="1"/>
  <c r="F50" i="6" s="1"/>
  <c r="A51" i="6"/>
  <c r="D51" i="6" l="1"/>
  <c r="F51" i="6" s="1"/>
  <c r="A52" i="6"/>
  <c r="D73" i="25"/>
  <c r="D1705" i="31"/>
  <c r="D1706" i="31" s="1"/>
  <c r="D1707" i="31" s="1"/>
  <c r="D1708" i="31" s="1"/>
  <c r="D1709" i="31" s="1"/>
  <c r="D1713" i="31" l="1"/>
  <c r="D1711" i="31"/>
  <c r="D52" i="6"/>
  <c r="F52" i="6" s="1"/>
  <c r="A53" i="6"/>
  <c r="D85" i="25"/>
  <c r="D1710" i="31"/>
  <c r="D1712" i="31" s="1"/>
  <c r="D1714" i="31" s="1"/>
  <c r="D1715" i="31" l="1"/>
  <c r="D1716" i="31" s="1"/>
  <c r="D1717" i="31" s="1"/>
  <c r="D1718" i="31" s="1"/>
  <c r="D1719" i="31" s="1"/>
  <c r="D97" i="25"/>
  <c r="A54" i="6"/>
  <c r="D53" i="6"/>
  <c r="F53" i="6" s="1"/>
  <c r="D1720" i="31" l="1"/>
  <c r="D1721" i="31" s="1"/>
  <c r="D1722" i="31" s="1"/>
  <c r="D1723" i="31" s="1"/>
  <c r="D1724" i="31" s="1"/>
  <c r="D109" i="25"/>
  <c r="A55" i="6"/>
  <c r="D54" i="6"/>
  <c r="F54" i="6" s="1"/>
  <c r="D1725" i="31" s="1"/>
  <c r="D1726" i="31" s="1"/>
  <c r="D1727" i="31" s="1"/>
  <c r="D1728" i="31" s="1"/>
  <c r="D1729" i="31" s="1"/>
  <c r="A9" i="4" l="1"/>
  <c r="D55" i="6"/>
  <c r="F55" i="6" s="1"/>
  <c r="D1730" i="31" s="1"/>
  <c r="D1731" i="31" s="1"/>
  <c r="D1732" i="31" s="1"/>
  <c r="D1733" i="31" s="1"/>
  <c r="D1734" i="31" s="1"/>
  <c r="D9" i="4" l="1"/>
  <c r="F9" i="4" s="1"/>
  <c r="D1735" i="31" s="1"/>
  <c r="D1736" i="31" s="1"/>
  <c r="A10" i="4"/>
  <c r="A11" i="4" l="1"/>
  <c r="D10" i="4"/>
  <c r="F10" i="4" s="1"/>
  <c r="D1737" i="31" s="1"/>
  <c r="D1738" i="31" s="1"/>
  <c r="A12" i="4" l="1"/>
  <c r="D11" i="4"/>
  <c r="F11" i="4" s="1"/>
  <c r="D1739" i="31" s="1"/>
  <c r="D1740" i="31" s="1"/>
  <c r="D12" i="4" l="1"/>
  <c r="F12" i="4" s="1"/>
  <c r="D1741" i="31" s="1"/>
  <c r="D1742" i="31" s="1"/>
  <c r="A13" i="4"/>
  <c r="A14" i="4" l="1"/>
  <c r="D13" i="4"/>
  <c r="F13" i="4" s="1"/>
  <c r="D1743" i="31" s="1"/>
  <c r="D1744" i="31" s="1"/>
  <c r="A15" i="4" l="1"/>
  <c r="D14" i="4"/>
  <c r="F14" i="4" s="1"/>
  <c r="D1745" i="31" s="1"/>
  <c r="D1746" i="31" s="1"/>
  <c r="A16" i="4" l="1"/>
  <c r="D15" i="4"/>
  <c r="F15" i="4" s="1"/>
  <c r="D1747" i="31" s="1"/>
  <c r="D1748" i="31" s="1"/>
  <c r="D16" i="4" l="1"/>
  <c r="F16" i="4" s="1"/>
  <c r="D1749" i="31" s="1"/>
  <c r="D1750" i="31" s="1"/>
  <c r="A17" i="4"/>
  <c r="D17" i="4" l="1"/>
  <c r="F17" i="4" s="1"/>
  <c r="D1751" i="31" s="1"/>
  <c r="D1752" i="31" s="1"/>
  <c r="A10" i="11"/>
  <c r="A11" i="11" l="1"/>
  <c r="D10" i="11"/>
  <c r="F10" i="11" s="1"/>
  <c r="D1753" i="31" s="1"/>
  <c r="D11" i="11" l="1"/>
  <c r="F11" i="11" s="1"/>
  <c r="D1754" i="31" s="1"/>
  <c r="A12" i="11"/>
  <c r="D12" i="11" l="1"/>
  <c r="F12" i="11" s="1"/>
  <c r="D1755" i="31" s="1"/>
  <c r="A13" i="11"/>
  <c r="D13" i="11" l="1"/>
  <c r="F13" i="11" s="1"/>
  <c r="D1756" i="31" s="1"/>
  <c r="A15" i="11"/>
  <c r="A16" i="11" l="1"/>
  <c r="D15" i="11"/>
  <c r="F15" i="11" s="1"/>
  <c r="D1757" i="31" s="1"/>
  <c r="A17" i="11" l="1"/>
  <c r="D16" i="11"/>
  <c r="F16" i="11" s="1"/>
  <c r="D1758" i="31" s="1"/>
  <c r="A18" i="11" l="1"/>
  <c r="D18" i="11" s="1"/>
  <c r="F18" i="11" s="1"/>
  <c r="D1760" i="31" s="1"/>
  <c r="D17" i="11"/>
  <c r="F17" i="11" s="1"/>
  <c r="D1759" i="31" s="1"/>
  <c r="F1697" i="31" l="1"/>
  <c r="P52" i="6"/>
  <c r="F1718" i="31" l="1"/>
  <c r="I97" i="25"/>
  <c r="I108" i="25" s="1"/>
  <c r="G120" i="41" s="1"/>
  <c r="F1698" i="31"/>
  <c r="P54" i="6"/>
  <c r="F1728" i="31" s="1"/>
  <c r="P53" i="6"/>
  <c r="P51" i="6"/>
  <c r="P50" i="6"/>
  <c r="I85" i="25" l="1"/>
  <c r="I96" i="25" s="1"/>
  <c r="G96" i="41" s="1"/>
  <c r="F1713" i="31"/>
  <c r="G98" i="41"/>
  <c r="F1723" i="31"/>
  <c r="I109" i="25"/>
  <c r="I73" i="25"/>
  <c r="G52" i="41" s="1"/>
  <c r="F1708" i="31"/>
  <c r="P49" i="6"/>
  <c r="D9" i="57" s="1"/>
  <c r="D52" i="57" l="1"/>
  <c r="D41" i="57" s="1"/>
  <c r="G74" i="41"/>
  <c r="F1703" i="31"/>
  <c r="P55" i="6"/>
  <c r="I84" i="25"/>
  <c r="G72" i="41" s="1"/>
  <c r="G50" i="41"/>
  <c r="I120" i="25"/>
  <c r="G144" i="41" s="1"/>
  <c r="G122" i="41"/>
  <c r="C42" i="57" l="1"/>
  <c r="F1733" i="31"/>
  <c r="D10" i="57"/>
  <c r="D8" i="57" s="1"/>
  <c r="H18" i="55" l="1"/>
  <c r="F251" i="56" s="1"/>
  <c r="F253" i="56" l="1"/>
  <c r="F252" i="56"/>
  <c r="H19" i="55"/>
  <c r="F254" i="56" s="1"/>
  <c r="F256" i="56" l="1"/>
  <c r="F255" i="56"/>
  <c r="H20" i="55"/>
  <c r="F257" i="56" s="1"/>
  <c r="F259" i="56" l="1"/>
  <c r="F258" i="56"/>
  <c r="G16" i="55"/>
  <c r="H21" i="55"/>
  <c r="F16" i="55"/>
  <c r="F9" i="55" l="1"/>
  <c r="H16" i="55"/>
  <c r="F243" i="56"/>
  <c r="F260" i="56"/>
  <c r="G9" i="55"/>
  <c r="F244" i="56"/>
  <c r="F245" i="56" l="1"/>
  <c r="F223" i="56"/>
  <c r="F222" i="56"/>
  <c r="H9" i="55"/>
  <c r="F224" i="56" l="1"/>
  <c r="F65" i="56" l="1"/>
  <c r="H11" i="54"/>
  <c r="L11" i="54"/>
  <c r="J11" i="54"/>
  <c r="F63" i="56"/>
  <c r="F109" i="56"/>
  <c r="F74" i="56"/>
  <c r="F99" i="56"/>
  <c r="F76" i="56"/>
  <c r="F88" i="56"/>
  <c r="F100" i="56"/>
  <c r="F73" i="56"/>
  <c r="F86" i="56"/>
  <c r="F87" i="56"/>
  <c r="F77" i="56"/>
  <c r="F89" i="56"/>
  <c r="F101" i="56"/>
  <c r="F98" i="56"/>
  <c r="F75" i="56"/>
  <c r="F78" i="56"/>
  <c r="F90" i="56"/>
  <c r="F102" i="56"/>
  <c r="F79" i="56"/>
  <c r="F91" i="56"/>
  <c r="F103" i="56"/>
  <c r="F68" i="56"/>
  <c r="F80" i="56"/>
  <c r="F92" i="56"/>
  <c r="F104" i="56"/>
  <c r="F85" i="56"/>
  <c r="F69" i="56"/>
  <c r="F81" i="56"/>
  <c r="F93" i="56"/>
  <c r="F105" i="56"/>
  <c r="F70" i="56"/>
  <c r="F82" i="56"/>
  <c r="F94" i="56"/>
  <c r="F106" i="56"/>
  <c r="F71" i="56"/>
  <c r="F83" i="56"/>
  <c r="F95" i="56"/>
  <c r="F107" i="56"/>
  <c r="F97" i="56"/>
  <c r="F72" i="56"/>
  <c r="F84" i="56"/>
  <c r="F96" i="56"/>
  <c r="M11" i="54"/>
  <c r="F108" i="56"/>
  <c r="F64" i="56" l="1"/>
  <c r="F66" i="56"/>
  <c r="H13" i="4"/>
  <c r="F1743" i="31" s="1"/>
  <c r="F4" i="56"/>
  <c r="F2" i="56"/>
  <c r="F7" i="56"/>
  <c r="D15" i="57"/>
  <c r="D14" i="57" s="1"/>
  <c r="D12" i="57" s="1"/>
  <c r="C13" i="57" s="1"/>
  <c r="F6" i="56"/>
  <c r="I13" i="4"/>
  <c r="F3" i="56"/>
  <c r="F62" i="56"/>
  <c r="F67" i="56"/>
  <c r="H9" i="4" l="1"/>
  <c r="I9" i="4"/>
  <c r="F1744" i="31"/>
  <c r="F1735" i="31"/>
  <c r="F5" i="56"/>
  <c r="F1736" i="31" l="1"/>
  <c r="F122" i="56" a="1"/>
  <c r="F122" i="56" s="1"/>
  <c r="F123" i="56" l="1" a="1"/>
  <c r="F123" i="56" s="1"/>
  <c r="F124" i="56" a="1"/>
  <c r="F124" i="56" s="1"/>
  <c r="F125" i="56" l="1" a="1"/>
  <c r="F125" i="56" s="1"/>
  <c r="F126" i="56" l="1" a="1"/>
  <c r="F126" i="56" s="1"/>
  <c r="F128" i="56" l="1" a="1"/>
  <c r="F128" i="56" s="1"/>
  <c r="F127" i="56" a="1"/>
  <c r="F127" i="56" s="1"/>
  <c r="F129" i="56" l="1" a="1"/>
  <c r="F129" i="56" s="1"/>
  <c r="F130" i="56" l="1" a="1"/>
  <c r="F130" i="56" s="1"/>
  <c r="F131" i="56" l="1" a="1"/>
  <c r="F131" i="56" s="1"/>
  <c r="F132" i="56" l="1" a="1"/>
  <c r="F132" i="56" s="1"/>
  <c r="F133" i="56" l="1" a="1"/>
  <c r="F133" i="56" s="1"/>
  <c r="F134" i="56" l="1" a="1"/>
  <c r="F134" i="56" s="1"/>
  <c r="F135" i="56" l="1" a="1"/>
  <c r="F135" i="56" s="1"/>
  <c r="F136" i="56" l="1" a="1"/>
  <c r="F136" i="56" s="1"/>
  <c r="F137" i="56" l="1" a="1"/>
  <c r="F137" i="56" s="1"/>
  <c r="F138" i="56" l="1" a="1"/>
  <c r="F138" i="56" s="1"/>
  <c r="F139" i="56" l="1" a="1"/>
  <c r="F139" i="56" s="1"/>
  <c r="F140" i="56" l="1" a="1"/>
  <c r="F140" i="56" s="1"/>
  <c r="F141" i="56" l="1" a="1"/>
  <c r="F141" i="56" s="1"/>
  <c r="F142" i="56" l="1" a="1"/>
  <c r="F142" i="56" s="1"/>
  <c r="F143" i="56" l="1" a="1"/>
  <c r="F143" i="56" s="1"/>
  <c r="F144" i="56" l="1" a="1"/>
  <c r="F144" i="56" s="1"/>
  <c r="F145" i="56" l="1" a="1"/>
  <c r="F145" i="56" s="1"/>
  <c r="F146" i="56" l="1" a="1"/>
  <c r="F146" i="56" s="1"/>
  <c r="F147" i="56" l="1" a="1"/>
  <c r="F147" i="56" s="1"/>
  <c r="F148" i="56" l="1" a="1"/>
  <c r="F148" i="56" s="1"/>
  <c r="F149" i="56" l="1" a="1"/>
  <c r="F149" i="56" s="1"/>
  <c r="F150" i="56" l="1" a="1"/>
  <c r="F150" i="56" s="1"/>
  <c r="F151" i="56" l="1" a="1"/>
  <c r="F151" i="56" s="1"/>
  <c r="F152" i="56" l="1" a="1"/>
  <c r="F152" i="56" s="1"/>
  <c r="F153" i="56" l="1" a="1"/>
  <c r="F153" i="56" s="1"/>
  <c r="F154" i="56" l="1" a="1"/>
  <c r="F154" i="56" s="1"/>
  <c r="F155" i="56" l="1" a="1"/>
  <c r="F155" i="56" s="1"/>
  <c r="F156" i="56" l="1" a="1"/>
  <c r="F156" i="56" s="1"/>
  <c r="F157" i="56" l="1" a="1"/>
  <c r="F157" i="56" s="1"/>
  <c r="F158" i="56" l="1" a="1"/>
  <c r="F158" i="56" s="1"/>
  <c r="F116" i="56" l="1" a="1"/>
  <c r="F116" i="56" s="1"/>
  <c r="F159" i="56" a="1"/>
  <c r="F159" i="56" s="1"/>
  <c r="I30" i="54"/>
  <c r="F117" i="56" l="1" a="1"/>
  <c r="F117" i="56" s="1"/>
  <c r="F160" i="56" a="1"/>
  <c r="F160" i="56" s="1"/>
  <c r="F118" i="56" l="1" a="1"/>
  <c r="F118" i="56" s="1"/>
  <c r="F161" i="56" a="1"/>
  <c r="F161" i="56" s="1"/>
  <c r="F119" i="56" l="1" a="1"/>
  <c r="F119" i="56" s="1"/>
  <c r="F162" i="56" a="1"/>
  <c r="F162" i="56" s="1"/>
  <c r="F163" i="56" l="1" a="1"/>
  <c r="F163" i="56" s="1"/>
  <c r="F120" i="56" a="1"/>
  <c r="F120" i="56" s="1"/>
  <c r="F121" i="56" l="1" a="1"/>
  <c r="F121" i="56" s="1"/>
  <c r="F170" i="56" a="1"/>
  <c r="F170" i="56" s="1"/>
  <c r="F171" i="56" l="1" a="1"/>
  <c r="F171" i="56" s="1"/>
  <c r="F172" i="56" l="1" a="1"/>
  <c r="F172" i="56" s="1"/>
  <c r="F173" i="56" l="1" a="1"/>
  <c r="F173" i="56" s="1"/>
  <c r="F174" i="56" l="1" a="1"/>
  <c r="F174" i="56" s="1"/>
  <c r="F175" i="56" l="1" a="1"/>
  <c r="F175" i="56" s="1"/>
  <c r="F176" i="56" l="1" a="1"/>
  <c r="F176" i="56" s="1"/>
  <c r="F177" i="56" l="1" a="1"/>
  <c r="F177" i="56" s="1"/>
  <c r="F178" i="56" l="1" a="1"/>
  <c r="F178" i="56" s="1"/>
  <c r="F179" i="56" l="1" a="1"/>
  <c r="F179" i="56" s="1"/>
  <c r="F180" i="56" l="1" a="1"/>
  <c r="F180" i="56" s="1"/>
  <c r="F181" i="56" l="1" a="1"/>
  <c r="F181" i="56" s="1"/>
  <c r="F182" i="56" l="1" a="1"/>
  <c r="F182" i="56" s="1"/>
  <c r="F183" i="56" l="1" a="1"/>
  <c r="F183" i="56" s="1"/>
  <c r="F184" i="56" l="1" a="1"/>
  <c r="F184" i="56" s="1"/>
  <c r="F185" i="56" l="1" a="1"/>
  <c r="F185" i="56" s="1"/>
  <c r="F186" i="56" l="1" a="1"/>
  <c r="F186" i="56" s="1"/>
  <c r="F187" i="56" l="1" a="1"/>
  <c r="F187" i="56" s="1"/>
  <c r="F188" i="56" l="1" a="1"/>
  <c r="F188" i="56" s="1"/>
  <c r="F189" i="56" l="1" a="1"/>
  <c r="F189" i="56" s="1"/>
  <c r="F190" i="56" l="1" a="1"/>
  <c r="F190" i="56" s="1"/>
  <c r="F191" i="56" l="1" a="1"/>
  <c r="F191" i="56" s="1"/>
  <c r="F192" i="56" l="1" a="1"/>
  <c r="F192" i="56" s="1"/>
  <c r="F193" i="56" l="1" a="1"/>
  <c r="F193" i="56" s="1"/>
  <c r="F194" i="56" l="1" a="1"/>
  <c r="F194" i="56" s="1"/>
  <c r="F195" i="56" l="1" a="1"/>
  <c r="F195" i="56" s="1"/>
  <c r="F196" i="56" l="1" a="1"/>
  <c r="F196" i="56" s="1"/>
  <c r="F197" i="56" l="1" a="1"/>
  <c r="F197" i="56" s="1"/>
  <c r="F198" i="56" l="1" a="1"/>
  <c r="F198" i="56" s="1"/>
  <c r="F199" i="56" l="1" a="1"/>
  <c r="F199" i="56" s="1"/>
  <c r="F200" i="56" l="1" a="1"/>
  <c r="F200" i="56" s="1"/>
  <c r="F201" i="56" l="1" a="1"/>
  <c r="F201" i="56" s="1"/>
  <c r="F202" i="56" l="1" a="1"/>
  <c r="F202" i="56" s="1"/>
  <c r="F203" i="56" l="1" a="1"/>
  <c r="F203" i="56" s="1"/>
  <c r="F204" i="56" l="1" a="1"/>
  <c r="F204" i="56" s="1"/>
  <c r="F205" i="56" l="1" a="1"/>
  <c r="F205" i="56" s="1"/>
  <c r="F206" i="56" l="1" a="1"/>
  <c r="F206" i="56" s="1"/>
  <c r="H29" i="54"/>
  <c r="F164" i="56" l="1" a="1"/>
  <c r="F164" i="56" s="1"/>
  <c r="F207" i="56" a="1"/>
  <c r="F207" i="56" s="1"/>
  <c r="F208" i="56" l="1" a="1"/>
  <c r="F208" i="56" s="1"/>
  <c r="F165" i="56" a="1"/>
  <c r="F165" i="56" s="1"/>
  <c r="F212" i="56" a="1"/>
  <c r="F212" i="56" s="1"/>
  <c r="F110" i="56" a="1"/>
  <c r="F110" i="56" s="1"/>
  <c r="F213" i="56" l="1" a="1"/>
  <c r="F213" i="56" s="1"/>
  <c r="H15" i="4"/>
  <c r="F111" i="56" a="1"/>
  <c r="F111" i="56" s="1"/>
  <c r="F166" i="56" a="1"/>
  <c r="F166" i="56" s="1"/>
  <c r="F209" i="56" a="1"/>
  <c r="F209" i="56" s="1"/>
  <c r="F167" i="56" l="1" a="1"/>
  <c r="F167" i="56" s="1"/>
  <c r="K29" i="54"/>
  <c r="F112" i="56" a="1"/>
  <c r="F112" i="56" s="1"/>
  <c r="F214" i="56" a="1"/>
  <c r="F214" i="56" s="1"/>
  <c r="H16" i="4"/>
  <c r="F1749" i="31" s="1"/>
  <c r="F1747" i="31"/>
  <c r="F210" i="56" a="1"/>
  <c r="F210" i="56" s="1"/>
  <c r="H14" i="4" l="1"/>
  <c r="F211" i="56" a="1"/>
  <c r="F211" i="56" s="1"/>
  <c r="H17" i="4"/>
  <c r="F1751" i="31" s="1"/>
  <c r="F1745" i="31"/>
  <c r="F168" i="56" a="1"/>
  <c r="F168" i="56" s="1"/>
  <c r="L29" i="54"/>
  <c r="F113" i="56" a="1"/>
  <c r="F113" i="56" s="1"/>
  <c r="F215" i="56" a="1"/>
  <c r="F215" i="56" s="1"/>
  <c r="I15" i="4" l="1"/>
  <c r="F114" i="56" a="1"/>
  <c r="F114" i="56" s="1"/>
  <c r="F216" i="56" a="1"/>
  <c r="F216" i="56" s="1"/>
  <c r="F169" i="56" a="1"/>
  <c r="F169" i="56" s="1"/>
  <c r="M29" i="54"/>
  <c r="I16" i="4" l="1"/>
  <c r="F1750" i="31" s="1"/>
  <c r="F115" i="56" a="1"/>
  <c r="F115" i="56" s="1"/>
  <c r="F1748" i="31"/>
  <c r="I14" i="4" l="1"/>
  <c r="D7" i="57"/>
  <c r="D6" i="57" s="1"/>
  <c r="D4" i="57" s="1"/>
  <c r="C5" i="57" s="1"/>
  <c r="F217" i="56" a="1"/>
  <c r="F217" i="56" s="1"/>
  <c r="F1746" i="31"/>
  <c r="I17" i="4"/>
  <c r="F1752"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Soporte</author>
  </authors>
  <commentList>
    <comment ref="G1" authorId="0" shapeId="0" xr:uid="{00000000-0006-0000-0400-000001000000}">
      <text>
        <r>
          <rPr>
            <sz val="8"/>
            <color indexed="81"/>
            <rFont val="Tahoma"/>
            <family val="2"/>
          </rPr>
          <t>PARA USAR COMO SOPORTE Y CONVERTIR EL RUC ORIGINAL EN CADENA ALFANUMÉRICA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Cruz Labrin, Miguel  Teodoro</author>
  </authors>
  <commentList>
    <comment ref="H212" authorId="0" shapeId="0" xr:uid="{00000000-0006-0000-1B00-000001000000}">
      <text>
        <r>
          <rPr>
            <sz val="9"/>
            <color indexed="81"/>
            <rFont val="Tahoma"/>
            <family val="2"/>
          </rPr>
          <t>Quiebre correspondiente a la partida Memo.</t>
        </r>
      </text>
    </comment>
    <comment ref="H219" authorId="0" shapeId="0" xr:uid="{00000000-0006-0000-1B00-000002000000}">
      <text>
        <r>
          <rPr>
            <sz val="9"/>
            <color indexed="81"/>
            <rFont val="Tahoma"/>
            <family val="2"/>
          </rPr>
          <t>Quiebre correspondiente a la partida Memo.</t>
        </r>
      </text>
    </comment>
    <comment ref="H226" authorId="0" shapeId="0" xr:uid="{00000000-0006-0000-1B00-000003000000}">
      <text>
        <r>
          <rPr>
            <sz val="9"/>
            <color indexed="81"/>
            <rFont val="Tahoma"/>
            <family val="2"/>
          </rPr>
          <t>Quiebre correspondiente a la partida Memo.</t>
        </r>
      </text>
    </comment>
    <comment ref="H419" authorId="0" shapeId="0" xr:uid="{00000000-0006-0000-1B00-000004000000}">
      <text>
        <r>
          <rPr>
            <sz val="9"/>
            <color indexed="81"/>
            <rFont val="Tahoma"/>
            <family val="2"/>
          </rPr>
          <t>Quiebre correspondiente a la partida Memo.</t>
        </r>
      </text>
    </comment>
    <comment ref="H425" authorId="0" shapeId="0" xr:uid="{00000000-0006-0000-1B00-000005000000}">
      <text>
        <r>
          <rPr>
            <sz val="9"/>
            <color indexed="81"/>
            <rFont val="Tahoma"/>
            <family val="2"/>
          </rPr>
          <t>Quiebre correspondiente a la partida Memo.</t>
        </r>
      </text>
    </comment>
    <comment ref="H431" authorId="0" shapeId="0" xr:uid="{00000000-0006-0000-1B00-000006000000}">
      <text>
        <r>
          <rPr>
            <sz val="9"/>
            <color indexed="81"/>
            <rFont val="Tahoma"/>
            <family val="2"/>
          </rPr>
          <t>Quiebre correspondiente a la partida Memo.</t>
        </r>
      </text>
    </comment>
    <comment ref="H437" authorId="0" shapeId="0" xr:uid="{00000000-0006-0000-1B00-000007000000}">
      <text>
        <r>
          <rPr>
            <sz val="9"/>
            <color indexed="81"/>
            <rFont val="Tahoma"/>
            <family val="2"/>
          </rPr>
          <t>Quiebre correspondiente a la partida Memo.</t>
        </r>
      </text>
    </comment>
    <comment ref="H443" authorId="0" shapeId="0" xr:uid="{00000000-0006-0000-1B00-000008000000}">
      <text>
        <r>
          <rPr>
            <sz val="9"/>
            <color indexed="81"/>
            <rFont val="Tahoma"/>
            <family val="2"/>
          </rPr>
          <t>Quiebre correspondiente a la partida Memo.</t>
        </r>
      </text>
    </comment>
    <comment ref="H449" authorId="0" shapeId="0" xr:uid="{00000000-0006-0000-1B00-000009000000}">
      <text>
        <r>
          <rPr>
            <sz val="9"/>
            <color indexed="81"/>
            <rFont val="Tahoma"/>
            <family val="2"/>
          </rPr>
          <t>Quiebre correspondiente a la partida Memo.</t>
        </r>
      </text>
    </comment>
    <comment ref="H455" authorId="0" shapeId="0" xr:uid="{00000000-0006-0000-1B00-00000A000000}">
      <text>
        <r>
          <rPr>
            <sz val="9"/>
            <color indexed="81"/>
            <rFont val="Tahoma"/>
            <family val="2"/>
          </rPr>
          <t>Quiebre correspondiente a la partida Memo.</t>
        </r>
      </text>
    </comment>
    <comment ref="H461" authorId="0" shapeId="0" xr:uid="{00000000-0006-0000-1B00-00000B000000}">
      <text>
        <r>
          <rPr>
            <sz val="9"/>
            <color indexed="81"/>
            <rFont val="Tahoma"/>
            <family val="2"/>
          </rPr>
          <t>Quiebre correspondiente a la partida Memo.</t>
        </r>
      </text>
    </comment>
    <comment ref="H467" authorId="0" shapeId="0" xr:uid="{00000000-0006-0000-1B00-00000C000000}">
      <text>
        <r>
          <rPr>
            <sz val="9"/>
            <color indexed="81"/>
            <rFont val="Tahoma"/>
            <family val="2"/>
          </rPr>
          <t>Quiebre correspondiente a la partida Memo.</t>
        </r>
      </text>
    </comment>
    <comment ref="G1590" authorId="0" shapeId="0" xr:uid="{00000000-0006-0000-1B00-00000D000000}">
      <text>
        <r>
          <rPr>
            <sz val="8"/>
            <color indexed="81"/>
            <rFont val="Tahoma"/>
            <family val="2"/>
          </rPr>
          <t>Dislocada a propósito debido al formato de origen.</t>
        </r>
      </text>
    </comment>
    <comment ref="G1591" authorId="0" shapeId="0" xr:uid="{00000000-0006-0000-1B00-00000E000000}">
      <text>
        <r>
          <rPr>
            <sz val="8"/>
            <color indexed="81"/>
            <rFont val="Tahoma"/>
            <family val="2"/>
          </rPr>
          <t>Dislocada a propósito debido al formato de origen.</t>
        </r>
      </text>
    </comment>
    <comment ref="G1592" authorId="0" shapeId="0" xr:uid="{00000000-0006-0000-1B00-00000F000000}">
      <text>
        <r>
          <rPr>
            <sz val="8"/>
            <color indexed="81"/>
            <rFont val="Tahoma"/>
            <family val="2"/>
          </rPr>
          <t>Dislocada a propósito debido al formato de origen.</t>
        </r>
      </text>
    </comment>
    <comment ref="G1593" authorId="0" shapeId="0" xr:uid="{00000000-0006-0000-1B00-000010000000}">
      <text>
        <r>
          <rPr>
            <sz val="8"/>
            <color indexed="81"/>
            <rFont val="Tahoma"/>
            <family val="2"/>
          </rPr>
          <t>Dislocada a propósito debido al formato de origen.</t>
        </r>
      </text>
    </comment>
    <comment ref="G1594" authorId="0" shapeId="0" xr:uid="{00000000-0006-0000-1B00-000011000000}">
      <text>
        <r>
          <rPr>
            <sz val="8"/>
            <color indexed="81"/>
            <rFont val="Tahoma"/>
            <family val="2"/>
          </rPr>
          <t>Dislocada a propósito debido al formato de origen.</t>
        </r>
      </text>
    </comment>
    <comment ref="G1595" authorId="0" shapeId="0" xr:uid="{00000000-0006-0000-1B00-000012000000}">
      <text>
        <r>
          <rPr>
            <sz val="8"/>
            <color indexed="81"/>
            <rFont val="Tahoma"/>
            <family val="2"/>
          </rPr>
          <t>Dislocada a propósito debido al formato de origen.</t>
        </r>
      </text>
    </comment>
    <comment ref="G1596" authorId="0" shapeId="0" xr:uid="{00000000-0006-0000-1B00-000013000000}">
      <text>
        <r>
          <rPr>
            <sz val="8"/>
            <color indexed="81"/>
            <rFont val="Tahoma"/>
            <family val="2"/>
          </rPr>
          <t>Dislocada a propósito debido al formato de origen.</t>
        </r>
      </text>
    </comment>
    <comment ref="G1597" authorId="0" shapeId="0" xr:uid="{00000000-0006-0000-1B00-000014000000}">
      <text>
        <r>
          <rPr>
            <sz val="8"/>
            <color indexed="81"/>
            <rFont val="Tahoma"/>
            <family val="2"/>
          </rPr>
          <t>Dislocada a propósito debido al formato de origen.</t>
        </r>
      </text>
    </comment>
    <comment ref="G1598" authorId="0" shapeId="0" xr:uid="{00000000-0006-0000-1B00-000015000000}">
      <text>
        <r>
          <rPr>
            <sz val="8"/>
            <color indexed="81"/>
            <rFont val="Tahoma"/>
            <family val="2"/>
          </rPr>
          <t>Dislocada a propósito debido al formato de origen.</t>
        </r>
      </text>
    </comment>
    <comment ref="G1599" authorId="0" shapeId="0" xr:uid="{00000000-0006-0000-1B00-000016000000}">
      <text>
        <r>
          <rPr>
            <sz val="8"/>
            <color indexed="81"/>
            <rFont val="Tahoma"/>
            <family val="2"/>
          </rPr>
          <t>Dislocada a propósito debido al formato de origen.</t>
        </r>
      </text>
    </comment>
    <comment ref="G1600" authorId="0" shapeId="0" xr:uid="{00000000-0006-0000-1B00-000017000000}">
      <text>
        <r>
          <rPr>
            <sz val="8"/>
            <color indexed="81"/>
            <rFont val="Tahoma"/>
            <family val="2"/>
          </rPr>
          <t>Dislocada a propósito debido al formato de origen.</t>
        </r>
      </text>
    </comment>
    <comment ref="G1601" authorId="0" shapeId="0" xr:uid="{00000000-0006-0000-1B00-000018000000}">
      <text>
        <r>
          <rPr>
            <sz val="8"/>
            <color indexed="81"/>
            <rFont val="Tahoma"/>
            <family val="2"/>
          </rPr>
          <t>Dislocada a propósito debido al formato de origen.</t>
        </r>
      </text>
    </comment>
    <comment ref="G1602" authorId="0" shapeId="0" xr:uid="{00000000-0006-0000-1B00-000019000000}">
      <text>
        <r>
          <rPr>
            <sz val="8"/>
            <color indexed="81"/>
            <rFont val="Tahoma"/>
            <family val="2"/>
          </rPr>
          <t>Dislocada a propósito debido al formato de origen.</t>
        </r>
      </text>
    </comment>
    <comment ref="G1603" authorId="0" shapeId="0" xr:uid="{00000000-0006-0000-1B00-00001A000000}">
      <text>
        <r>
          <rPr>
            <sz val="8"/>
            <color indexed="81"/>
            <rFont val="Tahoma"/>
            <family val="2"/>
          </rPr>
          <t>Dislocada a propósito debido al formato de origen.</t>
        </r>
      </text>
    </comment>
    <comment ref="G1604" authorId="0" shapeId="0" xr:uid="{00000000-0006-0000-1B00-00001B000000}">
      <text>
        <r>
          <rPr>
            <sz val="8"/>
            <color indexed="81"/>
            <rFont val="Tahoma"/>
            <family val="2"/>
          </rPr>
          <t>Dislocada a propósito debido al formato de origen.</t>
        </r>
      </text>
    </comment>
    <comment ref="G1605" authorId="0" shapeId="0" xr:uid="{00000000-0006-0000-1B00-00001C000000}">
      <text>
        <r>
          <rPr>
            <sz val="8"/>
            <color indexed="81"/>
            <rFont val="Tahoma"/>
            <family val="2"/>
          </rPr>
          <t>Dislocada a propósito debido al formato de origen.</t>
        </r>
      </text>
    </comment>
    <comment ref="G1606" authorId="0" shapeId="0" xr:uid="{00000000-0006-0000-1B00-00001D000000}">
      <text>
        <r>
          <rPr>
            <sz val="8"/>
            <color indexed="81"/>
            <rFont val="Tahoma"/>
            <family val="2"/>
          </rPr>
          <t>Dislocada a propósito debido al formato de origen.</t>
        </r>
      </text>
    </comment>
    <comment ref="G1607" authorId="0" shapeId="0" xr:uid="{00000000-0006-0000-1B00-00001E000000}">
      <text>
        <r>
          <rPr>
            <sz val="8"/>
            <color indexed="81"/>
            <rFont val="Tahoma"/>
            <family val="2"/>
          </rPr>
          <t>Dislocada a propósito debido al formato de origen.</t>
        </r>
      </text>
    </comment>
    <comment ref="G1608" authorId="0" shapeId="0" xr:uid="{00000000-0006-0000-1B00-00001F000000}">
      <text>
        <r>
          <rPr>
            <sz val="8"/>
            <color indexed="81"/>
            <rFont val="Tahoma"/>
            <family val="2"/>
          </rPr>
          <t>Dislocada a propósito debido al formato de origen.</t>
        </r>
      </text>
    </comment>
    <comment ref="G1609" authorId="0" shapeId="0" xr:uid="{00000000-0006-0000-1B00-000020000000}">
      <text>
        <r>
          <rPr>
            <sz val="8"/>
            <color indexed="81"/>
            <rFont val="Tahoma"/>
            <family val="2"/>
          </rPr>
          <t>Dislocada a propósito debido al formato de origen.</t>
        </r>
      </text>
    </comment>
    <comment ref="G1610" authorId="0" shapeId="0" xr:uid="{00000000-0006-0000-1B00-000021000000}">
      <text>
        <r>
          <rPr>
            <sz val="8"/>
            <color indexed="81"/>
            <rFont val="Tahoma"/>
            <family val="2"/>
          </rPr>
          <t>Dislocada a propósito debido al formato de origen.</t>
        </r>
      </text>
    </comment>
    <comment ref="G1611" authorId="0" shapeId="0" xr:uid="{00000000-0006-0000-1B00-000022000000}">
      <text>
        <r>
          <rPr>
            <sz val="8"/>
            <color indexed="81"/>
            <rFont val="Tahoma"/>
            <family val="2"/>
          </rPr>
          <t>Dislocada a propósito debido al formato de origen.</t>
        </r>
      </text>
    </comment>
    <comment ref="G1612" authorId="0" shapeId="0" xr:uid="{00000000-0006-0000-1B00-000023000000}">
      <text>
        <r>
          <rPr>
            <sz val="8"/>
            <color indexed="81"/>
            <rFont val="Tahoma"/>
            <family val="2"/>
          </rPr>
          <t>Dislocada a propósito debido al formato de origen.</t>
        </r>
      </text>
    </comment>
    <comment ref="G1613" authorId="0" shapeId="0" xr:uid="{00000000-0006-0000-1B00-000024000000}">
      <text>
        <r>
          <rPr>
            <sz val="8"/>
            <color indexed="81"/>
            <rFont val="Tahoma"/>
            <family val="2"/>
          </rPr>
          <t>Dislocada a propósito debido al formato de origen.</t>
        </r>
      </text>
    </comment>
    <comment ref="G1614" authorId="0" shapeId="0" xr:uid="{00000000-0006-0000-1B00-000025000000}">
      <text>
        <r>
          <rPr>
            <sz val="8"/>
            <color indexed="81"/>
            <rFont val="Tahoma"/>
            <family val="2"/>
          </rPr>
          <t>Dislocada a propósito debido al formato de origen.</t>
        </r>
      </text>
    </comment>
    <comment ref="G1615" authorId="0" shapeId="0" xr:uid="{00000000-0006-0000-1B00-000026000000}">
      <text>
        <r>
          <rPr>
            <sz val="8"/>
            <color indexed="81"/>
            <rFont val="Tahoma"/>
            <family val="2"/>
          </rPr>
          <t>Dislocada a propósito debido al formato de origen.</t>
        </r>
      </text>
    </comment>
    <comment ref="G1616" authorId="0" shapeId="0" xr:uid="{00000000-0006-0000-1B00-000027000000}">
      <text>
        <r>
          <rPr>
            <sz val="8"/>
            <color indexed="81"/>
            <rFont val="Tahoma"/>
            <family val="2"/>
          </rPr>
          <t>Dislocada a propósito debido al formato de origen.</t>
        </r>
      </text>
    </comment>
    <comment ref="G1617" authorId="0" shapeId="0" xr:uid="{00000000-0006-0000-1B00-000028000000}">
      <text>
        <r>
          <rPr>
            <sz val="8"/>
            <color indexed="81"/>
            <rFont val="Tahoma"/>
            <family val="2"/>
          </rPr>
          <t>Dislocada a propósito debido al formato de origen.</t>
        </r>
      </text>
    </comment>
    <comment ref="I1700" authorId="0" shapeId="0" xr:uid="{00000000-0006-0000-1B00-000029000000}">
      <text>
        <r>
          <rPr>
            <sz val="8"/>
            <color indexed="81"/>
            <rFont val="Tahoma"/>
            <family val="2"/>
          </rPr>
          <t>Luego de esta columna inicial se produce a propósito un salto pues hay un conjunto de celdas del formulario VI.B que no deben ser llenadas por la empresa.</t>
        </r>
      </text>
    </comment>
    <comment ref="I1701" authorId="0" shapeId="0" xr:uid="{00000000-0006-0000-1B00-00002A000000}">
      <text>
        <r>
          <rPr>
            <sz val="8"/>
            <color indexed="81"/>
            <rFont val="Tahoma"/>
            <family val="2"/>
          </rPr>
          <t>Luego de esta columna inicial se produce a propósito un salto pues hay un conjunto de celdas del formulario VI.B que no deben ser llenadas por la empresa.</t>
        </r>
      </text>
    </comment>
    <comment ref="I1702" authorId="0" shapeId="0" xr:uid="{00000000-0006-0000-1B00-00002B000000}">
      <text>
        <r>
          <rPr>
            <sz val="8"/>
            <color indexed="81"/>
            <rFont val="Tahoma"/>
            <family val="2"/>
          </rPr>
          <t>Luego de esta columna inicial se produce a propósito un salto pues hay un conjunto de celdas del formulario VI.B que no deben ser llenadas por la empresa.</t>
        </r>
      </text>
    </comment>
    <comment ref="I1703" authorId="0" shapeId="0" xr:uid="{00000000-0006-0000-1B00-00002C000000}">
      <text>
        <r>
          <rPr>
            <sz val="8"/>
            <color indexed="81"/>
            <rFont val="Tahoma"/>
            <family val="2"/>
          </rPr>
          <t>Luego de esta columna inicial se produce a propósito un salto pues hay un conjunto de celdas del formulario VI.B que no deben ser llenadas por la empresa.</t>
        </r>
      </text>
    </comment>
    <comment ref="I1704" authorId="0" shapeId="0" xr:uid="{00000000-0006-0000-1B00-00002D000000}">
      <text>
        <r>
          <rPr>
            <sz val="8"/>
            <color indexed="81"/>
            <rFont val="Tahoma"/>
            <family val="2"/>
          </rPr>
          <t>Esta columna representa a propósito un salto pues hay un conjunto de celdas del formulario VI.B que no deben ser llenadas por la empresa.</t>
        </r>
      </text>
    </comment>
    <comment ref="I1705" authorId="0" shapeId="0" xr:uid="{00000000-0006-0000-1B00-00002E000000}">
      <text>
        <r>
          <rPr>
            <sz val="8"/>
            <color indexed="81"/>
            <rFont val="Tahoma"/>
            <family val="2"/>
          </rPr>
          <t>Luego de esta columna inicial se produce a propósito un salto pues hay un conjunto de celdas del formulario VI.B que no deben ser llenadas por la empresa.</t>
        </r>
      </text>
    </comment>
    <comment ref="I1706" authorId="0" shapeId="0" xr:uid="{00000000-0006-0000-1B00-00002F000000}">
      <text>
        <r>
          <rPr>
            <sz val="8"/>
            <color indexed="81"/>
            <rFont val="Tahoma"/>
            <family val="2"/>
          </rPr>
          <t>Luego de esta columna inicial se produce a propósito un salto pues hay un conjunto de celdas del formulario VI.B que no deben ser llenadas por la empresa.</t>
        </r>
      </text>
    </comment>
    <comment ref="I1707" authorId="0" shapeId="0" xr:uid="{00000000-0006-0000-1B00-000030000000}">
      <text>
        <r>
          <rPr>
            <sz val="8"/>
            <color indexed="81"/>
            <rFont val="Tahoma"/>
            <family val="2"/>
          </rPr>
          <t>Luego de esta columna inicial se produce a propósito un salto pues hay un conjunto de celdas del formulario VI.B que no deben ser llenadas por la empresa.</t>
        </r>
      </text>
    </comment>
    <comment ref="I1708" authorId="0" shapeId="0" xr:uid="{00000000-0006-0000-1B00-000031000000}">
      <text>
        <r>
          <rPr>
            <sz val="8"/>
            <color indexed="81"/>
            <rFont val="Tahoma"/>
            <family val="2"/>
          </rPr>
          <t>Luego de esta columna inicial se produce a propósito un salto pues hay un conjunto de celdas del formulario VI.B que no deben ser llenadas por la empresa.</t>
        </r>
      </text>
    </comment>
    <comment ref="I1709" authorId="0" shapeId="0" xr:uid="{00000000-0006-0000-1B00-000032000000}">
      <text>
        <r>
          <rPr>
            <sz val="8"/>
            <color indexed="81"/>
            <rFont val="Tahoma"/>
            <family val="2"/>
          </rPr>
          <t>Esta columna representa a propósito un salto pues hay un conjunto de celdas del formulario VI.B que no deben ser llenadas por la empresa.</t>
        </r>
      </text>
    </comment>
    <comment ref="I1710" authorId="0" shapeId="0" xr:uid="{00000000-0006-0000-1B00-000033000000}">
      <text>
        <r>
          <rPr>
            <sz val="8"/>
            <color indexed="81"/>
            <rFont val="Tahoma"/>
            <family val="2"/>
          </rPr>
          <t>Luego de esta columna inicial se produce a propósito un salto pues hay un conjunto de celdas del formulario VI.B que no deben ser llenadas por la empresa.</t>
        </r>
      </text>
    </comment>
    <comment ref="A1711" authorId="0" shapeId="0" xr:uid="{00000000-0006-0000-1B00-000034000000}">
      <text>
        <r>
          <rPr>
            <b/>
            <sz val="9"/>
            <color indexed="81"/>
            <rFont val="Tahoma"/>
            <family val="2"/>
          </rPr>
          <t>Esta fila estaba omitida. Se corrigió la omisión y se revisó que no dañara otras filas</t>
        </r>
      </text>
    </comment>
    <comment ref="A1713" authorId="0" shapeId="0" xr:uid="{00000000-0006-0000-1B00-000035000000}">
      <text>
        <r>
          <rPr>
            <b/>
            <sz val="9"/>
            <color indexed="81"/>
            <rFont val="Tahoma"/>
            <family val="2"/>
          </rPr>
          <t>Esta fila estaba omitida. Se corrigió la omisión y se revisó que no dañara otras filas</t>
        </r>
      </text>
    </comment>
    <comment ref="I1714" authorId="0" shapeId="0" xr:uid="{00000000-0006-0000-1B00-000036000000}">
      <text>
        <r>
          <rPr>
            <sz val="8"/>
            <color indexed="81"/>
            <rFont val="Tahoma"/>
            <family val="2"/>
          </rPr>
          <t>Esta columna representa a propósito un salto pues hay un conjunto de celdas del formulario VI.B que no deben ser llenadas por la empresa.</t>
        </r>
      </text>
    </comment>
    <comment ref="I1715" authorId="0" shapeId="0" xr:uid="{00000000-0006-0000-1B00-000037000000}">
      <text>
        <r>
          <rPr>
            <sz val="8"/>
            <color indexed="81"/>
            <rFont val="Tahoma"/>
            <family val="2"/>
          </rPr>
          <t>Luego de esta columna inicial se produce a propósito un salto pues hay un conjunto de celdas del formulario VI.B que no deben ser llenadas por la empresa.</t>
        </r>
      </text>
    </comment>
    <comment ref="I1719" authorId="0" shapeId="0" xr:uid="{00000000-0006-0000-1B00-000038000000}">
      <text>
        <r>
          <rPr>
            <sz val="8"/>
            <color indexed="81"/>
            <rFont val="Tahoma"/>
            <family val="2"/>
          </rPr>
          <t>Esta columna representa a propósito un salto pues hay un conjunto de celdas del formulario VI.B que no deben ser llenadas por la empresa.</t>
        </r>
      </text>
    </comment>
    <comment ref="I1720" authorId="0" shapeId="0" xr:uid="{00000000-0006-0000-1B00-000039000000}">
      <text>
        <r>
          <rPr>
            <sz val="8"/>
            <color indexed="81"/>
            <rFont val="Tahoma"/>
            <family val="2"/>
          </rPr>
          <t>Luego de esta columna inicial se produce a propósito un salto pues hay un conjunto de celdas del formulario VI.B que no deben ser llenadas por la empresa.</t>
        </r>
      </text>
    </comment>
    <comment ref="I1723" authorId="0" shapeId="0" xr:uid="{00000000-0006-0000-1B00-00003A000000}">
      <text>
        <r>
          <rPr>
            <sz val="8"/>
            <color indexed="81"/>
            <rFont val="Tahoma"/>
            <family val="2"/>
          </rPr>
          <t>Esta columna representa a propósito un salto pues hay un conjunto de celdas del formulario VI.B que no deben ser llenadas por la empresa.</t>
        </r>
      </text>
    </comment>
    <comment ref="I1724" authorId="0" shapeId="0" xr:uid="{00000000-0006-0000-1B00-00003B000000}">
      <text>
        <r>
          <rPr>
            <sz val="8"/>
            <color indexed="81"/>
            <rFont val="Tahoma"/>
            <family val="2"/>
          </rPr>
          <t>Esta columna representa a propósito un salto pues hay un conjunto de celdas del formulario VI.B que no deben ser llenadas por la empresa.</t>
        </r>
      </text>
    </comment>
    <comment ref="I1725" authorId="0" shapeId="0" xr:uid="{00000000-0006-0000-1B00-00003C000000}">
      <text>
        <r>
          <rPr>
            <sz val="8"/>
            <color indexed="81"/>
            <rFont val="Tahoma"/>
            <family val="2"/>
          </rPr>
          <t>Luego de esta columna inicial se produce a propósito un salto pues hay un conjunto de celdas del formulario VI.B que no deben ser llenadas por la empresa.</t>
        </r>
      </text>
    </comment>
    <comment ref="I1728" authorId="0" shapeId="0" xr:uid="{00000000-0006-0000-1B00-00003D000000}">
      <text>
        <r>
          <rPr>
            <sz val="8"/>
            <color indexed="81"/>
            <rFont val="Tahoma"/>
            <family val="2"/>
          </rPr>
          <t>Esta columna representa a propósito un salto pues hay un conjunto de celdas del formulario VI.B que no deben ser llenadas por la empresa.</t>
        </r>
      </text>
    </comment>
    <comment ref="I1729" authorId="0" shapeId="0" xr:uid="{00000000-0006-0000-1B00-00003E000000}">
      <text>
        <r>
          <rPr>
            <sz val="8"/>
            <color indexed="81"/>
            <rFont val="Tahoma"/>
            <family val="2"/>
          </rPr>
          <t>Esta columna representa a propósito un salto pues hay un conjunto de celdas del formulario VI.B que no deben ser llenadas por la empresa.</t>
        </r>
      </text>
    </comment>
    <comment ref="I1730" authorId="0" shapeId="0" xr:uid="{00000000-0006-0000-1B00-00003F000000}">
      <text>
        <r>
          <rPr>
            <sz val="8"/>
            <color indexed="81"/>
            <rFont val="Tahoma"/>
            <family val="2"/>
          </rPr>
          <t>Luego de esta columna inicial se produce a propósito un salto pues hay un conjunto de celdas del formulario VI.B que no deben ser llenadas por la empresa.</t>
        </r>
      </text>
    </comment>
    <comment ref="I1734" authorId="0" shapeId="0" xr:uid="{00000000-0006-0000-1B00-000040000000}">
      <text>
        <r>
          <rPr>
            <sz val="8"/>
            <color indexed="81"/>
            <rFont val="Tahoma"/>
            <family val="2"/>
          </rPr>
          <t>Esta columna representa a propósito un salto pues hay un conjunto de celdas del formulario VI.B que no deben ser llenadas por la empresa.</t>
        </r>
      </text>
    </comment>
    <comment ref="H1757" authorId="0" shapeId="0" xr:uid="{00000000-0006-0000-1B00-000041000000}">
      <text>
        <r>
          <rPr>
            <sz val="8"/>
            <color indexed="81"/>
            <rFont val="Tahoma"/>
            <family val="2"/>
          </rPr>
          <t>Saltamos una fila pues el formulario así lo hace.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Cruz Labrin, Miguel  Teodoro</author>
  </authors>
  <commentList>
    <comment ref="S2" authorId="0" shapeId="0" xr:uid="{1F6CAB82-95C7-43E2-A7E5-61D14AED419D}">
      <text>
        <r>
          <rPr>
            <sz val="11"/>
            <color indexed="81"/>
            <rFont val="Tahoma"/>
            <family val="2"/>
          </rPr>
          <t>Página de la SBS, para el tipo de cambio</t>
        </r>
      </text>
    </comment>
    <comment ref="E14" authorId="0" shapeId="0" xr:uid="{00000000-0006-0000-1800-000001000000}">
      <text>
        <r>
          <rPr>
            <sz val="9"/>
            <color indexed="81"/>
            <rFont val="Tahoma"/>
            <family val="2"/>
          </rPr>
          <t>Fuente: SBS, tipo de cambio contable, promedio diario del trimestre.</t>
        </r>
      </text>
    </comment>
    <comment ref="F14" authorId="0" shapeId="0" xr:uid="{00000000-0006-0000-1800-000002000000}">
      <text>
        <r>
          <rPr>
            <sz val="9"/>
            <color indexed="81"/>
            <rFont val="Tahoma"/>
            <family val="2"/>
          </rPr>
          <t>Fuente: SBS, tipo de cambio contable.</t>
        </r>
      </text>
    </comment>
    <comment ref="K14" authorId="0" shapeId="0" xr:uid="{00000000-0006-0000-1800-000003000000}">
      <text>
        <r>
          <rPr>
            <sz val="9"/>
            <color indexed="81"/>
            <rFont val="Tahoma"/>
            <family val="2"/>
          </rPr>
          <t>Fuente: SBS, tipo de cambio contable, promedio diario del trimestre.</t>
        </r>
      </text>
    </comment>
    <comment ref="L14" authorId="0" shapeId="0" xr:uid="{00000000-0006-0000-1800-000004000000}">
      <text>
        <r>
          <rPr>
            <sz val="9"/>
            <color indexed="81"/>
            <rFont val="Tahoma"/>
            <family val="2"/>
          </rPr>
          <t>Fuente: SBS, tipo de cambio contable.</t>
        </r>
      </text>
    </comment>
    <comment ref="Q14" authorId="0" shapeId="0" xr:uid="{00000000-0006-0000-1800-000005000000}">
      <text>
        <r>
          <rPr>
            <sz val="9"/>
            <color indexed="81"/>
            <rFont val="Tahoma"/>
            <family val="2"/>
          </rPr>
          <t>Fuente: SBS, tipo de cambio contable, promedio diario del trimestre.</t>
        </r>
      </text>
    </comment>
    <comment ref="R14" authorId="0" shapeId="0" xr:uid="{00000000-0006-0000-1800-000006000000}">
      <text>
        <r>
          <rPr>
            <sz val="9"/>
            <color indexed="81"/>
            <rFont val="Tahoma"/>
            <family val="2"/>
          </rPr>
          <t>Fuente: SBS, tipo de cambio contable.</t>
        </r>
      </text>
    </comment>
    <comment ref="E15" authorId="0" shapeId="0" xr:uid="{00000000-0006-0000-1800-000007000000}">
      <text>
        <r>
          <rPr>
            <sz val="9"/>
            <color indexed="81"/>
            <rFont val="Tahoma"/>
            <family val="2"/>
          </rPr>
          <t>Fuente: SBS, tipo de cambio contable, promedio diario del trimestre.</t>
        </r>
      </text>
    </comment>
    <comment ref="F15" authorId="0" shapeId="0" xr:uid="{00000000-0006-0000-1800-000008000000}">
      <text>
        <r>
          <rPr>
            <sz val="9"/>
            <color indexed="81"/>
            <rFont val="Tahoma"/>
            <family val="2"/>
          </rPr>
          <t>Fuente: SBS, tipo de cambio contable.</t>
        </r>
      </text>
    </comment>
    <comment ref="K15" authorId="0" shapeId="0" xr:uid="{00000000-0006-0000-1800-000009000000}">
      <text>
        <r>
          <rPr>
            <sz val="9"/>
            <color indexed="81"/>
            <rFont val="Tahoma"/>
            <family val="2"/>
          </rPr>
          <t>Fuente: SBS, tipo de cambio contable, promedio diario del trimestre.</t>
        </r>
      </text>
    </comment>
    <comment ref="L15" authorId="0" shapeId="0" xr:uid="{00000000-0006-0000-1800-00000A000000}">
      <text>
        <r>
          <rPr>
            <sz val="9"/>
            <color indexed="81"/>
            <rFont val="Tahoma"/>
            <family val="2"/>
          </rPr>
          <t>Fuente: SBS, tipo de cambio contable.</t>
        </r>
      </text>
    </comment>
    <comment ref="Q15" authorId="0" shapeId="0" xr:uid="{00000000-0006-0000-1800-00000B000000}">
      <text>
        <r>
          <rPr>
            <sz val="9"/>
            <color indexed="81"/>
            <rFont val="Tahoma"/>
            <family val="2"/>
          </rPr>
          <t>Fuente: SBS, tipo de cambio contable, promedio diario del trimestre.</t>
        </r>
      </text>
    </comment>
    <comment ref="R15" authorId="0" shapeId="0" xr:uid="{00000000-0006-0000-1800-00000C000000}">
      <text>
        <r>
          <rPr>
            <sz val="9"/>
            <color indexed="81"/>
            <rFont val="Tahoma"/>
            <family val="2"/>
          </rPr>
          <t>Fuente: SBS, tipo de cambio contable.</t>
        </r>
      </text>
    </comment>
    <comment ref="E16" authorId="0" shapeId="0" xr:uid="{00000000-0006-0000-1800-00000D000000}">
      <text>
        <r>
          <rPr>
            <sz val="9"/>
            <color indexed="81"/>
            <rFont val="Tahoma"/>
            <family val="2"/>
          </rPr>
          <t>Fuente: SBS, tipo de cambio contable, promedio diario del trimestre.</t>
        </r>
      </text>
    </comment>
    <comment ref="F16" authorId="0" shapeId="0" xr:uid="{00000000-0006-0000-1800-00000E000000}">
      <text>
        <r>
          <rPr>
            <sz val="9"/>
            <color indexed="81"/>
            <rFont val="Tahoma"/>
            <family val="2"/>
          </rPr>
          <t>Fuente: SBS, tipo de cambio contable.</t>
        </r>
      </text>
    </comment>
    <comment ref="K16" authorId="0" shapeId="0" xr:uid="{00000000-0006-0000-1800-00000F000000}">
      <text>
        <r>
          <rPr>
            <sz val="9"/>
            <color indexed="81"/>
            <rFont val="Tahoma"/>
            <family val="2"/>
          </rPr>
          <t>Fuente: SBS, tipo de cambio contable, promedio diario del trimestre.</t>
        </r>
      </text>
    </comment>
    <comment ref="L16" authorId="0" shapeId="0" xr:uid="{00000000-0006-0000-1800-000010000000}">
      <text>
        <r>
          <rPr>
            <sz val="9"/>
            <color indexed="81"/>
            <rFont val="Tahoma"/>
            <family val="2"/>
          </rPr>
          <t>Fuente: SBS, tipo de cambio contable.</t>
        </r>
      </text>
    </comment>
    <comment ref="Q16" authorId="0" shapeId="0" xr:uid="{00000000-0006-0000-1800-000011000000}">
      <text>
        <r>
          <rPr>
            <sz val="9"/>
            <color indexed="81"/>
            <rFont val="Tahoma"/>
            <family val="2"/>
          </rPr>
          <t>Fuente: SBS, tipo de cambio contable, promedio diario del trimestre.</t>
        </r>
      </text>
    </comment>
    <comment ref="R16" authorId="0" shapeId="0" xr:uid="{00000000-0006-0000-1800-000012000000}">
      <text>
        <r>
          <rPr>
            <sz val="9"/>
            <color indexed="81"/>
            <rFont val="Tahoma"/>
            <family val="2"/>
          </rPr>
          <t>Fuente: SBS, tipo de cambio contable.</t>
        </r>
      </text>
    </comment>
    <comment ref="E17" authorId="0" shapeId="0" xr:uid="{00000000-0006-0000-1800-000013000000}">
      <text>
        <r>
          <rPr>
            <sz val="9"/>
            <color indexed="81"/>
            <rFont val="Tahoma"/>
            <family val="2"/>
          </rPr>
          <t>Fuente: SBS, tipo de cambio contable, promedio diario del trimestre.</t>
        </r>
      </text>
    </comment>
    <comment ref="F17" authorId="0" shapeId="0" xr:uid="{00000000-0006-0000-1800-000014000000}">
      <text>
        <r>
          <rPr>
            <sz val="9"/>
            <color indexed="81"/>
            <rFont val="Tahoma"/>
            <family val="2"/>
          </rPr>
          <t>Fuente: SBS, tipo de cambio contable.</t>
        </r>
      </text>
    </comment>
    <comment ref="K17" authorId="0" shapeId="0" xr:uid="{00000000-0006-0000-1800-000015000000}">
      <text>
        <r>
          <rPr>
            <sz val="9"/>
            <color indexed="81"/>
            <rFont val="Tahoma"/>
            <family val="2"/>
          </rPr>
          <t>Fuente: SBS, tipo de cambio contable, promedio diario del trimestre.</t>
        </r>
      </text>
    </comment>
    <comment ref="L17" authorId="0" shapeId="0" xr:uid="{00000000-0006-0000-1800-000016000000}">
      <text>
        <r>
          <rPr>
            <sz val="9"/>
            <color indexed="81"/>
            <rFont val="Tahoma"/>
            <family val="2"/>
          </rPr>
          <t>Fuente: SBS, tipo de cambio contable.</t>
        </r>
      </text>
    </comment>
    <comment ref="Q17" authorId="0" shapeId="0" xr:uid="{00000000-0006-0000-1800-000017000000}">
      <text>
        <r>
          <rPr>
            <sz val="9"/>
            <color indexed="81"/>
            <rFont val="Tahoma"/>
            <family val="2"/>
          </rPr>
          <t>Fuente: SBS, tipo de cambio contable, promedio diario del trimestre.</t>
        </r>
      </text>
    </comment>
    <comment ref="R17" authorId="0" shapeId="0" xr:uid="{00000000-0006-0000-1800-000018000000}">
      <text>
        <r>
          <rPr>
            <sz val="9"/>
            <color indexed="81"/>
            <rFont val="Tahoma"/>
            <family val="2"/>
          </rPr>
          <t>Fuente: SBS, tipo de cambio contable.</t>
        </r>
      </text>
    </comment>
    <comment ref="E18" authorId="0" shapeId="0" xr:uid="{00000000-0006-0000-1800-000019000000}">
      <text>
        <r>
          <rPr>
            <sz val="9"/>
            <color indexed="81"/>
            <rFont val="Tahoma"/>
            <family val="2"/>
          </rPr>
          <t>Fuente: SBS, tipo de cambio contable, promedio diario del trimestre.</t>
        </r>
      </text>
    </comment>
    <comment ref="F18" authorId="0" shapeId="0" xr:uid="{00000000-0006-0000-1800-00001A000000}">
      <text>
        <r>
          <rPr>
            <sz val="9"/>
            <color indexed="81"/>
            <rFont val="Tahoma"/>
            <family val="2"/>
          </rPr>
          <t>Fuente: SBS, tipo de cambio contable.</t>
        </r>
      </text>
    </comment>
    <comment ref="K18" authorId="0" shapeId="0" xr:uid="{00000000-0006-0000-1800-00001B000000}">
      <text>
        <r>
          <rPr>
            <sz val="9"/>
            <color indexed="81"/>
            <rFont val="Tahoma"/>
            <family val="2"/>
          </rPr>
          <t>Fuente: SBS, tipo de cambio contable, promedio diario del trimestre.</t>
        </r>
      </text>
    </comment>
    <comment ref="L18" authorId="0" shapeId="0" xr:uid="{00000000-0006-0000-1800-00001C000000}">
      <text>
        <r>
          <rPr>
            <sz val="9"/>
            <color indexed="81"/>
            <rFont val="Tahoma"/>
            <family val="2"/>
          </rPr>
          <t>Fuente: SBS, tipo de cambio contable.</t>
        </r>
      </text>
    </comment>
    <comment ref="Q18" authorId="0" shapeId="0" xr:uid="{00000000-0006-0000-1800-00001D000000}">
      <text>
        <r>
          <rPr>
            <sz val="9"/>
            <color indexed="81"/>
            <rFont val="Tahoma"/>
            <family val="2"/>
          </rPr>
          <t>Fuente: SBS, tipo de cambio contable, promedio diario del trimestre.</t>
        </r>
      </text>
    </comment>
    <comment ref="R18" authorId="0" shapeId="0" xr:uid="{00000000-0006-0000-1800-00001E000000}">
      <text>
        <r>
          <rPr>
            <sz val="9"/>
            <color indexed="81"/>
            <rFont val="Tahoma"/>
            <family val="2"/>
          </rPr>
          <t>Fuente: SBS, tipo de cambio contable.</t>
        </r>
      </text>
    </comment>
    <comment ref="E19" authorId="0" shapeId="0" xr:uid="{00000000-0006-0000-1800-00001F000000}">
      <text>
        <r>
          <rPr>
            <sz val="9"/>
            <color indexed="81"/>
            <rFont val="Tahoma"/>
            <family val="2"/>
          </rPr>
          <t>Fuente: SBS, tipo de cambio contable, promedio diario del trimestre.</t>
        </r>
      </text>
    </comment>
    <comment ref="F19" authorId="0" shapeId="0" xr:uid="{00000000-0006-0000-1800-000020000000}">
      <text>
        <r>
          <rPr>
            <sz val="9"/>
            <color indexed="81"/>
            <rFont val="Tahoma"/>
            <family val="2"/>
          </rPr>
          <t>Fuente: SBS, tipo de cambio contable.</t>
        </r>
      </text>
    </comment>
    <comment ref="K19" authorId="0" shapeId="0" xr:uid="{00000000-0006-0000-1800-000021000000}">
      <text>
        <r>
          <rPr>
            <sz val="9"/>
            <color indexed="81"/>
            <rFont val="Tahoma"/>
            <family val="2"/>
          </rPr>
          <t>Fuente: SBS, tipo de cambio contable, promedio diario del trimestre.</t>
        </r>
      </text>
    </comment>
    <comment ref="L19" authorId="0" shapeId="0" xr:uid="{00000000-0006-0000-1800-000022000000}">
      <text>
        <r>
          <rPr>
            <sz val="9"/>
            <color indexed="81"/>
            <rFont val="Tahoma"/>
            <family val="2"/>
          </rPr>
          <t>Fuente: SBS, tipo de cambio contable.</t>
        </r>
      </text>
    </comment>
    <comment ref="Q19" authorId="0" shapeId="0" xr:uid="{00000000-0006-0000-1800-000023000000}">
      <text>
        <r>
          <rPr>
            <sz val="9"/>
            <color indexed="81"/>
            <rFont val="Tahoma"/>
            <family val="2"/>
          </rPr>
          <t>Fuente: SBS, tipo de cambio contable, promedio diario del trimestre.</t>
        </r>
      </text>
    </comment>
    <comment ref="R19" authorId="0" shapeId="0" xr:uid="{00000000-0006-0000-1800-000024000000}">
      <text>
        <r>
          <rPr>
            <sz val="9"/>
            <color indexed="81"/>
            <rFont val="Tahoma"/>
            <family val="2"/>
          </rPr>
          <t>Fuente: SBS, tipo de cambio contable.</t>
        </r>
      </text>
    </comment>
    <comment ref="E20" authorId="0" shapeId="0" xr:uid="{00000000-0006-0000-1800-000025000000}">
      <text>
        <r>
          <rPr>
            <sz val="9"/>
            <color indexed="81"/>
            <rFont val="Tahoma"/>
            <family val="2"/>
          </rPr>
          <t>Fuente: SBS, tipo de cambio contable, promedio diario del trimestre.</t>
        </r>
      </text>
    </comment>
    <comment ref="F20" authorId="0" shapeId="0" xr:uid="{00000000-0006-0000-1800-000026000000}">
      <text>
        <r>
          <rPr>
            <sz val="9"/>
            <color indexed="81"/>
            <rFont val="Tahoma"/>
            <family val="2"/>
          </rPr>
          <t>Fuente: SBS, tipo de cambio contable.</t>
        </r>
      </text>
    </comment>
    <comment ref="K20" authorId="0" shapeId="0" xr:uid="{00000000-0006-0000-1800-000027000000}">
      <text>
        <r>
          <rPr>
            <sz val="9"/>
            <color indexed="81"/>
            <rFont val="Tahoma"/>
            <family val="2"/>
          </rPr>
          <t>Fuente: SBS, tipo de cambio contable, promedio diario del trimestre.</t>
        </r>
      </text>
    </comment>
    <comment ref="L20" authorId="0" shapeId="0" xr:uid="{00000000-0006-0000-1800-000028000000}">
      <text>
        <r>
          <rPr>
            <sz val="9"/>
            <color indexed="81"/>
            <rFont val="Tahoma"/>
            <family val="2"/>
          </rPr>
          <t>Fuente: SBS, tipo de cambio contable.</t>
        </r>
      </text>
    </comment>
    <comment ref="Q20" authorId="0" shapeId="0" xr:uid="{00000000-0006-0000-1800-000029000000}">
      <text>
        <r>
          <rPr>
            <sz val="9"/>
            <color indexed="81"/>
            <rFont val="Tahoma"/>
            <family val="2"/>
          </rPr>
          <t>Fuente: SBS, tipo de cambio contable, promedio diario del trimestre.</t>
        </r>
      </text>
    </comment>
    <comment ref="R20" authorId="0" shapeId="0" xr:uid="{00000000-0006-0000-1800-00002A000000}">
      <text>
        <r>
          <rPr>
            <sz val="9"/>
            <color indexed="81"/>
            <rFont val="Tahoma"/>
            <family val="2"/>
          </rPr>
          <t>Fuente: SBS, tipo de cambio contable.</t>
        </r>
      </text>
    </comment>
    <comment ref="E21" authorId="0" shapeId="0" xr:uid="{431E595B-5F6D-4CAC-B9CB-BF0A6E582947}">
      <text>
        <r>
          <rPr>
            <sz val="9"/>
            <color indexed="81"/>
            <rFont val="Tahoma"/>
            <family val="2"/>
          </rPr>
          <t>Fuente: SBS, tipo de cambio contable, promedio diario del trimestre.</t>
        </r>
      </text>
    </comment>
    <comment ref="F21" authorId="0" shapeId="0" xr:uid="{2AF1421B-5825-4B75-B25E-5F1B01E1F718}">
      <text>
        <r>
          <rPr>
            <sz val="9"/>
            <color indexed="81"/>
            <rFont val="Tahoma"/>
            <family val="2"/>
          </rPr>
          <t>Fuente: SBS, tipo de cambio contable.</t>
        </r>
      </text>
    </comment>
    <comment ref="K21" authorId="0" shapeId="0" xr:uid="{49B200BD-DE0E-4186-B689-0816BCDDB9B5}">
      <text>
        <r>
          <rPr>
            <sz val="9"/>
            <color indexed="81"/>
            <rFont val="Tahoma"/>
            <family val="2"/>
          </rPr>
          <t>Fuente: SBS, tipo de cambio contable, promedio diario del trimestre.</t>
        </r>
      </text>
    </comment>
    <comment ref="L21" authorId="0" shapeId="0" xr:uid="{021BE490-7FF3-428A-A2D0-70D21CD2EBF9}">
      <text>
        <r>
          <rPr>
            <sz val="9"/>
            <color indexed="81"/>
            <rFont val="Tahoma"/>
            <family val="2"/>
          </rPr>
          <t>Fuente: SBS, tipo de cambio contable.</t>
        </r>
      </text>
    </comment>
    <comment ref="Q21" authorId="0" shapeId="0" xr:uid="{CA7F8A04-4FF1-40C6-A44E-F1F121A64408}">
      <text>
        <r>
          <rPr>
            <sz val="9"/>
            <color indexed="81"/>
            <rFont val="Tahoma"/>
            <family val="2"/>
          </rPr>
          <t>Fuente: SBS, tipo de cambio contable, promedio diario del trimestre.</t>
        </r>
      </text>
    </comment>
    <comment ref="R21" authorId="0" shapeId="0" xr:uid="{B34AFDBC-1DF0-4D35-9D32-10E9684C6534}">
      <text>
        <r>
          <rPr>
            <sz val="9"/>
            <color indexed="81"/>
            <rFont val="Tahoma"/>
            <family val="2"/>
          </rPr>
          <t>Fuente: SBS, tipo de cambio contable.</t>
        </r>
      </text>
    </comment>
    <comment ref="E22" authorId="0" shapeId="0" xr:uid="{72747A59-5713-407C-94DD-A8A7DBAED81E}">
      <text>
        <r>
          <rPr>
            <sz val="9"/>
            <color indexed="81"/>
            <rFont val="Tahoma"/>
            <family val="2"/>
          </rPr>
          <t>Fuente: SBS, tipo de cambio contable, promedio diario del trimestre.</t>
        </r>
      </text>
    </comment>
    <comment ref="F22" authorId="0" shapeId="0" xr:uid="{E8D52C7A-F0A1-4582-AF89-5EC225D72113}">
      <text>
        <r>
          <rPr>
            <sz val="9"/>
            <color indexed="81"/>
            <rFont val="Tahoma"/>
            <family val="2"/>
          </rPr>
          <t>Fuente: SBS, tipo de cambio contable.</t>
        </r>
      </text>
    </comment>
    <comment ref="K22" authorId="0" shapeId="0" xr:uid="{D55FF9B2-1ADC-4605-83FE-A32D10EF3A65}">
      <text>
        <r>
          <rPr>
            <sz val="9"/>
            <color indexed="81"/>
            <rFont val="Tahoma"/>
            <family val="2"/>
          </rPr>
          <t>Fuente: SBS, tipo de cambio contable, promedio diario del trimestre.</t>
        </r>
      </text>
    </comment>
    <comment ref="L22" authorId="0" shapeId="0" xr:uid="{7FE66EDF-5B19-4E8E-9ED4-9C232C7C8CDA}">
      <text>
        <r>
          <rPr>
            <sz val="9"/>
            <color indexed="81"/>
            <rFont val="Tahoma"/>
            <family val="2"/>
          </rPr>
          <t>Fuente: SBS, tipo de cambio contable.</t>
        </r>
      </text>
    </comment>
    <comment ref="Q22" authorId="0" shapeId="0" xr:uid="{4E20DC6C-8B8C-4126-B2A6-DF052F424F0B}">
      <text>
        <r>
          <rPr>
            <sz val="9"/>
            <color indexed="81"/>
            <rFont val="Tahoma"/>
            <family val="2"/>
          </rPr>
          <t>Fuente: SBS, tipo de cambio contable, promedio diario del trimestre.</t>
        </r>
      </text>
    </comment>
    <comment ref="R22" authorId="0" shapeId="0" xr:uid="{0EB83451-8D2A-4C68-AD3E-F29777A699CF}">
      <text>
        <r>
          <rPr>
            <sz val="9"/>
            <color indexed="81"/>
            <rFont val="Tahoma"/>
            <family val="2"/>
          </rPr>
          <t>Fuente: SBS, tipo de cambio contable.</t>
        </r>
      </text>
    </comment>
    <comment ref="E23" authorId="0" shapeId="0" xr:uid="{07ED7849-0F87-4CD7-AB81-902CFFA7E769}">
      <text>
        <r>
          <rPr>
            <sz val="9"/>
            <color indexed="81"/>
            <rFont val="Tahoma"/>
            <family val="2"/>
          </rPr>
          <t>Fuente: SBS, tipo de cambio contable, promedio diario del trimestre.</t>
        </r>
      </text>
    </comment>
    <comment ref="F23" authorId="0" shapeId="0" xr:uid="{D92059F4-790A-4250-B373-939393F760A3}">
      <text>
        <r>
          <rPr>
            <sz val="9"/>
            <color indexed="81"/>
            <rFont val="Tahoma"/>
            <family val="2"/>
          </rPr>
          <t>Fuente: SBS, tipo de cambio contable.</t>
        </r>
      </text>
    </comment>
    <comment ref="K23" authorId="0" shapeId="0" xr:uid="{76D5750C-75AE-4A9E-BA3C-7C8D901B77A7}">
      <text>
        <r>
          <rPr>
            <sz val="9"/>
            <color indexed="81"/>
            <rFont val="Tahoma"/>
            <family val="2"/>
          </rPr>
          <t>Fuente: SBS, tipo de cambio contable, promedio diario del trimestre.</t>
        </r>
      </text>
    </comment>
    <comment ref="L23" authorId="0" shapeId="0" xr:uid="{6884CEC8-A423-4681-A74E-3D344D832F0A}">
      <text>
        <r>
          <rPr>
            <sz val="9"/>
            <color indexed="81"/>
            <rFont val="Tahoma"/>
            <family val="2"/>
          </rPr>
          <t>Fuente: SBS, tipo de cambio contable.</t>
        </r>
      </text>
    </comment>
    <comment ref="Q23" authorId="0" shapeId="0" xr:uid="{FC745DB3-A72D-4706-B7C9-F23691477010}">
      <text>
        <r>
          <rPr>
            <sz val="9"/>
            <color indexed="81"/>
            <rFont val="Tahoma"/>
            <family val="2"/>
          </rPr>
          <t>Fuente: SBS, tipo de cambio contable, promedio diario del trimestre.</t>
        </r>
      </text>
    </comment>
    <comment ref="R23" authorId="0" shapeId="0" xr:uid="{7D564D18-3326-43BF-978A-67FB7DB46F28}">
      <text>
        <r>
          <rPr>
            <sz val="9"/>
            <color indexed="81"/>
            <rFont val="Tahoma"/>
            <family val="2"/>
          </rPr>
          <t>Fuente: SBS, tipo de cambio contable.</t>
        </r>
      </text>
    </comment>
    <comment ref="E24" authorId="0" shapeId="0" xr:uid="{297AFA80-5F00-45E3-B9F0-5C6D2BBA1E73}">
      <text>
        <r>
          <rPr>
            <sz val="9"/>
            <color indexed="81"/>
            <rFont val="Tahoma"/>
            <family val="2"/>
          </rPr>
          <t>Fuente: SBS, tipo de cambio contable, promedio diario del trimestre.</t>
        </r>
      </text>
    </comment>
    <comment ref="F24" authorId="0" shapeId="0" xr:uid="{093E7DC2-7375-4FB1-AC61-498A2A0ECEB6}">
      <text>
        <r>
          <rPr>
            <sz val="9"/>
            <color indexed="81"/>
            <rFont val="Tahoma"/>
            <family val="2"/>
          </rPr>
          <t>Fuente: SBS, tipo de cambio contable.</t>
        </r>
      </text>
    </comment>
    <comment ref="K24" authorId="0" shapeId="0" xr:uid="{B96556C6-4B6B-47BE-BB88-117EEA536F12}">
      <text>
        <r>
          <rPr>
            <sz val="9"/>
            <color indexed="81"/>
            <rFont val="Tahoma"/>
            <family val="2"/>
          </rPr>
          <t>Fuente: SBS, tipo de cambio contable, promedio diario del trimestre.</t>
        </r>
      </text>
    </comment>
    <comment ref="Q24" authorId="0" shapeId="0" xr:uid="{4311A467-29C0-4B30-B92F-1BFA5C9F0D43}">
      <text>
        <r>
          <rPr>
            <sz val="9"/>
            <color indexed="81"/>
            <rFont val="Tahoma"/>
            <family val="2"/>
          </rPr>
          <t>Fuente: SBS, tipo de cambio contable, promedio diario del trimestre.</t>
        </r>
      </text>
    </comment>
    <comment ref="R24" authorId="0" shapeId="0" xr:uid="{29C28C86-B921-47E0-B0AE-E1738B37E224}">
      <text>
        <r>
          <rPr>
            <sz val="9"/>
            <color indexed="81"/>
            <rFont val="Tahoma"/>
            <family val="2"/>
          </rPr>
          <t>Fuente: SBS, tipo de cambio contable.</t>
        </r>
      </text>
    </comment>
    <comment ref="E25" authorId="0" shapeId="0" xr:uid="{9A8D887E-5726-4E23-AD27-E16EBBB99F51}">
      <text>
        <r>
          <rPr>
            <sz val="9"/>
            <color indexed="81"/>
            <rFont val="Tahoma"/>
            <family val="2"/>
          </rPr>
          <t>Fuente: SBS, tipo de cambio contable, promedio diario del trimestre.</t>
        </r>
      </text>
    </comment>
    <comment ref="F25" authorId="0" shapeId="0" xr:uid="{F17B4FD6-125B-4F22-B7D7-4ED2508DC7D1}">
      <text>
        <r>
          <rPr>
            <sz val="9"/>
            <color indexed="81"/>
            <rFont val="Tahoma"/>
            <family val="2"/>
          </rPr>
          <t>Fuente: SBS, tipo de cambio contable.</t>
        </r>
      </text>
    </comment>
    <comment ref="K25" authorId="0" shapeId="0" xr:uid="{D589D491-919C-4C78-A8BB-1B4DCEB61870}">
      <text>
        <r>
          <rPr>
            <sz val="9"/>
            <color indexed="81"/>
            <rFont val="Tahoma"/>
            <family val="2"/>
          </rPr>
          <t>Fuente: SBS, tipo de cambio contable, promedio diario del trimestre.</t>
        </r>
      </text>
    </comment>
    <comment ref="L25" authorId="0" shapeId="0" xr:uid="{B7166C0E-32B9-4365-99A0-D7A7AE584FEB}">
      <text>
        <r>
          <rPr>
            <sz val="9"/>
            <color indexed="81"/>
            <rFont val="Tahoma"/>
            <family val="2"/>
          </rPr>
          <t>Fuente: SBS, tipo de cambio contable.</t>
        </r>
      </text>
    </comment>
    <comment ref="Q25" authorId="0" shapeId="0" xr:uid="{A08ECE46-0EBE-4B4E-9B76-7E7BEC2E5471}">
      <text>
        <r>
          <rPr>
            <sz val="9"/>
            <color indexed="81"/>
            <rFont val="Tahoma"/>
            <family val="2"/>
          </rPr>
          <t>Fuente: SBS, tipo de cambio contable, promedio diario del trimestre.</t>
        </r>
      </text>
    </comment>
    <comment ref="R25" authorId="0" shapeId="0" xr:uid="{2228600A-4C38-471F-985E-142298A0329B}">
      <text>
        <r>
          <rPr>
            <sz val="9"/>
            <color indexed="81"/>
            <rFont val="Tahoma"/>
            <family val="2"/>
          </rPr>
          <t>Fuente: SBS, tipo de cambio contable.</t>
        </r>
      </text>
    </comment>
    <comment ref="E26" authorId="0" shapeId="0" xr:uid="{96ABC8D9-772E-46AC-BA8A-123985B41256}">
      <text>
        <r>
          <rPr>
            <sz val="9"/>
            <color indexed="81"/>
            <rFont val="Tahoma"/>
            <family val="2"/>
          </rPr>
          <t>Fuente: SBS, tipo de cambio contable, promedio diario del trimestre.</t>
        </r>
      </text>
    </comment>
    <comment ref="F26" authorId="0" shapeId="0" xr:uid="{78AB138D-199B-499B-A8A6-6DED3943D152}">
      <text>
        <r>
          <rPr>
            <sz val="9"/>
            <color indexed="81"/>
            <rFont val="Tahoma"/>
            <family val="2"/>
          </rPr>
          <t>Fuente: SBS, tipo de cambio contable.</t>
        </r>
      </text>
    </comment>
    <comment ref="K26" authorId="0" shapeId="0" xr:uid="{2A6FF5DD-BF72-47C5-92C5-45352C18E63C}">
      <text>
        <r>
          <rPr>
            <sz val="9"/>
            <color indexed="81"/>
            <rFont val="Tahoma"/>
            <family val="2"/>
          </rPr>
          <t>Fuente: SBS, tipo de cambio contable, promedio diario del trimestre.</t>
        </r>
      </text>
    </comment>
    <comment ref="L26" authorId="0" shapeId="0" xr:uid="{9F5370A4-C69D-40EA-9E07-8761F1117BDF}">
      <text>
        <r>
          <rPr>
            <sz val="9"/>
            <color indexed="81"/>
            <rFont val="Tahoma"/>
            <family val="2"/>
          </rPr>
          <t>Fuente: SBS, tipo de cambio contable.</t>
        </r>
      </text>
    </comment>
    <comment ref="Q26" authorId="0" shapeId="0" xr:uid="{2D866D11-92DD-428A-91C7-A5ABF02D5536}">
      <text>
        <r>
          <rPr>
            <sz val="9"/>
            <color indexed="81"/>
            <rFont val="Tahoma"/>
            <family val="2"/>
          </rPr>
          <t>Fuente: SBS, tipo de cambio contable, promedio diario del trimestre.</t>
        </r>
      </text>
    </comment>
    <comment ref="R26" authorId="0" shapeId="0" xr:uid="{68E7C6C8-221A-4BEB-8E89-DB2AAE4A0E4A}">
      <text>
        <r>
          <rPr>
            <sz val="9"/>
            <color indexed="81"/>
            <rFont val="Tahoma"/>
            <family val="2"/>
          </rPr>
          <t>Fuente: SBS, tipo de cambio contable.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Miguel Cruz Labrin</author>
  </authors>
  <commentList>
    <comment ref="AK3" authorId="0" shapeId="0" xr:uid="{00000000-0006-0000-2000-000001000000}">
      <text>
        <r>
          <rPr>
            <sz val="8"/>
            <color indexed="81"/>
            <rFont val="Tahoma"/>
            <family val="2"/>
          </rPr>
          <t>Debe ser igual a último dígito del RUC. Si fuese igual a 10, se reemplaza por cero (así el último dígito del RUC deberá ser igual a Cero).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Venegas Jimenez, Rosaura  Victoria</author>
  </authors>
  <commentList>
    <comment ref="E21" authorId="0" shapeId="0" xr:uid="{00000000-0006-0000-0A00-000001000000}">
      <text>
        <r>
          <rPr>
            <sz val="12"/>
            <color indexed="81"/>
            <rFont val="Tahoma"/>
            <family val="2"/>
          </rPr>
          <t xml:space="preserve">
Estos servicios incluyen la emisión o transmisión de sonidos, imágenes, datos u otra información por
teléfono, télex, telegrama, radio y televisión transmitidos a través de cable, radio y televisión por vía satélite, correo electrónico, facsimil y redes, teleconferencias y servicios de apoyo, acceso en llinea y suminstros por Internet y  similares.
No incluye el valor de la información transportada.
</t>
        </r>
      </text>
    </comment>
    <comment ref="E22" authorId="0" shapeId="0" xr:uid="{00000000-0006-0000-0A00-000002000000}">
      <text>
        <r>
          <rPr>
            <sz val="14"/>
            <color indexed="81"/>
            <rFont val="Tahoma"/>
            <family val="2"/>
          </rPr>
          <t>Servicios relacionados con los equipos de computación y su programas informáticos, incluyen el desarrollo de base de datos, almacenamiento y series cronológicas en línea; los servicios
de procesamiento de datos, tabulación y procesamiento (en una modalidad de tiempo compartido o específica), y los servicios de administración de procesamiento; la consultoría de equipos (hardware), el diseño y el desarrollo de programas informáticos (software), y la implementación y programación adaptada a necesidades especiales; el mantenimiento y reparaciones de computadoras y equipo
periférico; y descargas en línea relacionadas con computadoras.</t>
        </r>
      </text>
    </comment>
    <comment ref="E23" authorId="0" shapeId="0" xr:uid="{00000000-0006-0000-0A00-000003000000}">
      <text>
        <r>
          <rPr>
            <sz val="13"/>
            <color indexed="81"/>
            <rFont val="Tahoma"/>
            <family val="2"/>
          </rPr>
          <t xml:space="preserve">
Servicios de agencia de noticias (noticias, fotografías y artículos para la prensa), servicios de suministro base de datos y portales de búsqueda en Internet, suscripciones directas a diarios y periódicos enviados en forma individual, por correo, trasmisión electrónica u otros medios; otros servicios de suministro de contenido en línea (excepto para programas informáticos o audio y video, libros electrónicos y video), y servicios de biblioteca y archivo.</t>
        </r>
      </text>
    </comment>
    <comment ref="E24" authorId="0" shapeId="0" xr:uid="{00000000-0006-0000-0A00-000004000000}">
      <text>
        <r>
          <rPr>
            <sz val="12"/>
            <color indexed="81"/>
            <rFont val="Tahoma"/>
            <family val="2"/>
          </rPr>
          <t xml:space="preserve">
Cubre servicios de construcción realizados en el extranjero a corto plazo (hasta un año) y/o en proyectos de construcción e instalación a largo plazo (un año o más) realizados en el extranjero por su empresa. Incluiyen construcciones de ingeniería (carreteras, puentes, presas, etc., edificios, mejoras de tierras, trabajos de instalación y ensamblaje, reparaciones y mantenimiento de edificios, etc) y actividades de construcción e instalación realizadas en el Perú por no residentes para su empresa. 
Excluye los trabajos de construcción e instalación suministrados en el extranjero por sucursales y subsidiarias no residentes de su empresa, y el trabajo de construcción realizado en su economía por las sucursales y subsidiarias residentes de empresas de construcción extranjeras. 
</t>
        </r>
      </text>
    </comment>
    <comment ref="E26" authorId="0" shapeId="0" xr:uid="{00000000-0006-0000-0A00-000005000000}">
      <text>
        <r>
          <rPr>
            <sz val="12"/>
            <color indexed="81"/>
            <rFont val="Tahoma"/>
            <family val="2"/>
          </rPr>
          <t>Incluye el valor bruto de los trabajos de construcción suministrados a no residentes por empresas residentes en el Perú (exportación de construcción, créditos). 
Los bienes y servicios adquiridos por empresas de construcción residentes en el Perú,  a residentes de otro pais donde se realiza el servicio de construcción, se registra como débitos por construcción en el extranjero (gastos relacionados a la construcción por la empresa de construcción del Perú).</t>
        </r>
      </text>
    </comment>
    <comment ref="E27" authorId="0" shapeId="0" xr:uid="{00000000-0006-0000-0A00-000006000000}">
      <text>
        <r>
          <rPr>
            <sz val="12"/>
            <color indexed="81"/>
            <rFont val="Tahoma"/>
            <family val="2"/>
          </rPr>
          <t xml:space="preserve">Incluye bienes y servicios comprados en la economía donde se realiza el servicio de construcción. Excluye la adquisición de bienes en el Perú que se registran como importaciones de bienes.
</t>
        </r>
        <r>
          <rPr>
            <sz val="9"/>
            <color indexed="81"/>
            <rFont val="Tahoma"/>
            <family val="2"/>
          </rPr>
          <t xml:space="preserve">
</t>
        </r>
      </text>
    </comment>
    <comment ref="E30" authorId="0" shapeId="0" xr:uid="{00000000-0006-0000-0A00-000007000000}">
      <text>
        <r>
          <rPr>
            <sz val="12"/>
            <color indexed="81"/>
            <rFont val="Tahoma"/>
            <family val="2"/>
          </rPr>
          <t xml:space="preserve">
Incluye el valor bruto de los trabajos de construcción suministrados a residentes del Perú por empresas de construcción no residentes en el Perú (importacion de construcción, déditos). 
Los bienes y servicios adquiridos por empresas de construcción no residentes en el Perú,  a residentes del Perú (donde se realiza el servicio de construcción), se registra como créditos por construcción en el Perú (gastos relacionados a la construcción por la empresa de construcción no residente en el Perú).
</t>
        </r>
      </text>
    </comment>
    <comment ref="E31" authorId="0" shapeId="0" xr:uid="{00000000-0006-0000-0A00-000008000000}">
      <text>
        <r>
          <rPr>
            <sz val="12"/>
            <color indexed="81"/>
            <rFont val="Tahoma"/>
            <family val="2"/>
          </rPr>
          <t xml:space="preserve">Incluye bienes y servicios comprados en la economía donde se realiza el servicios de construcción. Excluye la adquisición de bienes en el exterior que se registran como exportación de bienes.
</t>
        </r>
        <r>
          <rPr>
            <sz val="9"/>
            <color indexed="81"/>
            <rFont val="Tahoma"/>
            <family val="2"/>
          </rPr>
          <t xml:space="preserve">
</t>
        </r>
      </text>
    </comment>
    <comment ref="E39" authorId="0" shapeId="0" xr:uid="{00000000-0006-0000-0A00-000009000000}">
      <text>
        <r>
          <rPr>
            <sz val="12"/>
            <color indexed="81"/>
            <rFont val="Tahoma"/>
            <family val="2"/>
          </rPr>
          <t xml:space="preserve">Incluye: 1.Ss Jurídicos, 2. Contabilidad, auditoría, teneduría de libros y asesoramiento en materia de impuestos, 3. Ss de consultoría en administracion y de relaciones públicas, 4. Ss de publicidad, investigación de mercado y encuestas de opinión pública. Incluye servicios a la administración en general de una sucursal, subsidiaria o asociada prestados por la casa matriz u otra empresa filial.
</t>
        </r>
      </text>
    </comment>
    <comment ref="E40" authorId="0" shapeId="0" xr:uid="{00000000-0006-0000-0A00-00000A000000}">
      <text>
        <r>
          <rPr>
            <sz val="12"/>
            <color indexed="81"/>
            <rFont val="Tahoma"/>
            <family val="2"/>
          </rPr>
          <t>Incluye: 1. Otros servicios relacionados con el comercio (comisiones de corredores, distribuidores y agentes de venta), 2.  Servicios de arrendamiento operativo sin tripulación (excluye     arrendamiento financiero y de líneas de comunicación), 3.  Servicios arquitectónicos, ingenieria y otros servicios técnicos, 4. Tratamiento de residuos y descontaminación, 5. Servicios agrícolas, veterinarios y pesqueros y Servicios mineros y petroleros y gas.</t>
        </r>
      </text>
    </comment>
    <comment ref="E41" authorId="0" shapeId="0" xr:uid="{00000000-0006-0000-0A00-00000B000000}">
      <text>
        <r>
          <rPr>
            <sz val="12"/>
            <color indexed="81"/>
            <rFont val="Tahoma"/>
            <family val="2"/>
          </rPr>
          <t>Incluye entre otros:
Servicios de colocación de personal, seguridad, servicios de investigación, traducción e interpretación, servios fotográficos, editoriales, limpieza de edificios y servicios inmobiliarios. También incluye servicios de distribuición relacionados con el agua, vapor y gas y otros productos petroleros y aire acondiconado, cuando están separado de los servicios de transmisión.</t>
        </r>
        <r>
          <rPr>
            <sz val="9"/>
            <color indexed="81"/>
            <rFont val="Tahoma"/>
            <family val="2"/>
          </rPr>
          <t xml:space="preserve">
</t>
        </r>
      </text>
    </comment>
    <comment ref="D46" authorId="0" shapeId="0" xr:uid="{00000000-0006-0000-0A00-00000C000000}">
      <text>
        <r>
          <rPr>
            <sz val="10"/>
            <color indexed="81"/>
            <rFont val="Arial"/>
            <family val="2"/>
          </rPr>
          <t xml:space="preserve">El valor de los servicios de manufactura en insumos físicos que son propiedad de otros no equivale necesariamente a la diferencia entre el valor de los bienes enviados para ser elaborados y el valor de los productos resultantes de la transformación.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Cruz Labrin, Miguel  Teodoro</author>
  </authors>
  <commentList>
    <comment ref="G13" authorId="0" shapeId="0" xr:uid="{00000000-0006-0000-0B00-000001000000}">
      <text>
        <r>
          <rPr>
            <b/>
            <u/>
            <sz val="11"/>
            <color indexed="81"/>
            <rFont val="Tahoma"/>
            <family val="2"/>
          </rPr>
          <t>INVERSIONISTA DIRECTO (ID):</t>
        </r>
        <r>
          <rPr>
            <sz val="11"/>
            <color indexed="81"/>
            <rFont val="Tahoma"/>
            <family val="2"/>
          </rPr>
          <t xml:space="preserve">
En este caso, es cualquier </t>
        </r>
        <r>
          <rPr>
            <b/>
            <sz val="11"/>
            <color indexed="81"/>
            <rFont val="Tahoma"/>
            <family val="2"/>
          </rPr>
          <t>inversionista no residente</t>
        </r>
        <r>
          <rPr>
            <sz val="11"/>
            <color indexed="81"/>
            <rFont val="Tahoma"/>
            <family val="2"/>
          </rPr>
          <t xml:space="preserve"> (empresa o persona natural del exterior) que posee en la empresa residente declarante, el 10 por ciento o más de la acciones o participaciones de capital con derecho a voto.
La relación de propiedad puede ser inmediata o indirecta (en este último caso, a través de una cadena de propiedad).  
</t>
        </r>
      </text>
    </comment>
    <comment ref="G16" authorId="0" shapeId="0" xr:uid="{00000000-0006-0000-0B00-000002000000}">
      <text>
        <r>
          <rPr>
            <b/>
            <u/>
            <sz val="12"/>
            <color indexed="81"/>
            <rFont val="Tahoma"/>
            <family val="2"/>
          </rPr>
          <t>EMPRESA DE INVERSIÓN DIRECTA:</t>
        </r>
        <r>
          <rPr>
            <sz val="12"/>
            <color indexed="81"/>
            <rFont val="Tahoma"/>
            <family val="2"/>
          </rPr>
          <t xml:space="preserve">
En este caso, es cualquier </t>
        </r>
        <r>
          <rPr>
            <b/>
            <sz val="12"/>
            <color indexed="81"/>
            <rFont val="Tahoma"/>
            <family val="2"/>
          </rPr>
          <t>empresa no residente</t>
        </r>
        <r>
          <rPr>
            <sz val="12"/>
            <color indexed="81"/>
            <rFont val="Tahoma"/>
            <family val="2"/>
          </rPr>
          <t xml:space="preserve"> en donde el 10 por ciento o más de sus acciones o participaciones de capital con derecho a voto son propiedad de la </t>
        </r>
        <r>
          <rPr>
            <b/>
            <sz val="12"/>
            <color indexed="81"/>
            <rFont val="Tahoma"/>
            <family val="2"/>
          </rPr>
          <t>empresa residente declarante</t>
        </r>
        <r>
          <rPr>
            <sz val="12"/>
            <color indexed="81"/>
            <rFont val="Tahoma"/>
            <family val="2"/>
          </rPr>
          <t xml:space="preserve">.
La relación de propiedad puede ser inmediata o indirecta (en este último caso, a través de una cadena de propiedad).  
</t>
        </r>
      </text>
    </comment>
    <comment ref="G19" authorId="0" shapeId="0" xr:uid="{00000000-0006-0000-0B00-000003000000}">
      <text>
        <r>
          <rPr>
            <b/>
            <u/>
            <sz val="11"/>
            <color indexed="81"/>
            <rFont val="Tahoma"/>
            <family val="2"/>
          </rPr>
          <t>EMPRESA NO RESIDENTE EMPARENTADA</t>
        </r>
        <r>
          <rPr>
            <b/>
            <sz val="11"/>
            <color indexed="81"/>
            <rFont val="Tahoma"/>
            <family val="2"/>
          </rPr>
          <t xml:space="preserve">
</t>
        </r>
        <r>
          <rPr>
            <sz val="11"/>
            <color indexed="81"/>
            <rFont val="Tahoma"/>
            <family val="2"/>
          </rPr>
          <t xml:space="preserve">La empresa residente que declara esta encuesta está emparentada con una empresa no residente, cuando ambas tienen un propietario común (residente o no residente) cuya propiedad, en cada una de las empresas, es igual o mayor al 10 por ciento. Dicha propiedad puede ser inmediata o a través de una cadena de propiedad.
</t>
        </r>
      </text>
    </comment>
    <comment ref="G22" authorId="0" shapeId="0" xr:uid="{00000000-0006-0000-0B00-000004000000}">
      <text>
        <r>
          <rPr>
            <b/>
            <u/>
            <sz val="11"/>
            <color indexed="81"/>
            <rFont val="Tahoma"/>
            <family val="2"/>
          </rPr>
          <t>EMPRESA NO RESIDENTE EMPARENTADA</t>
        </r>
        <r>
          <rPr>
            <b/>
            <sz val="11"/>
            <color indexed="81"/>
            <rFont val="Tahoma"/>
            <family val="2"/>
          </rPr>
          <t xml:space="preserve">
</t>
        </r>
        <r>
          <rPr>
            <sz val="11"/>
            <color indexed="81"/>
            <rFont val="Tahoma"/>
            <family val="2"/>
          </rPr>
          <t xml:space="preserve">La empresa residente que declara esta encuesta está emparentada con una empresa no residente, cuando ambas tienen un propietario común (residente o no residente) cuya propiedad, en cada una de las empresas, es igual o mayor al 10 por ciento. Dicha propiedad puede ser inmediata o a través de una cadena de propiedad.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Cruz Labrin, Miguel  Teodoro</author>
  </authors>
  <commentList>
    <comment ref="G13" authorId="0" shapeId="0" xr:uid="{00000000-0006-0000-0D00-000001000000}">
      <text>
        <r>
          <rPr>
            <b/>
            <u/>
            <sz val="11"/>
            <color indexed="81"/>
            <rFont val="Tahoma"/>
            <family val="2"/>
          </rPr>
          <t>INVERSIONISTA DIRECTO (ID):</t>
        </r>
        <r>
          <rPr>
            <sz val="11"/>
            <color indexed="81"/>
            <rFont val="Tahoma"/>
            <family val="2"/>
          </rPr>
          <t xml:space="preserve">
En este caso, es cualquier </t>
        </r>
        <r>
          <rPr>
            <b/>
            <sz val="11"/>
            <color indexed="81"/>
            <rFont val="Tahoma"/>
            <family val="2"/>
          </rPr>
          <t>inversionista no residente</t>
        </r>
        <r>
          <rPr>
            <sz val="11"/>
            <color indexed="81"/>
            <rFont val="Tahoma"/>
            <family val="2"/>
          </rPr>
          <t xml:space="preserve"> (empresa o persona natural del exterior) que posee en la empresa residente declarante, el 10 por ciento o más de la acciones o participaciones de capital con derecho a voto.
La relación de propiedad puede ser inmediata o indirecta (en este último caso, a través de una cadena de propiedad).  
</t>
        </r>
      </text>
    </comment>
    <comment ref="G16" authorId="0" shapeId="0" xr:uid="{00000000-0006-0000-0D00-000002000000}">
      <text>
        <r>
          <rPr>
            <b/>
            <u/>
            <sz val="12"/>
            <color indexed="81"/>
            <rFont val="Tahoma"/>
            <family val="2"/>
          </rPr>
          <t>EMPRESA DE INVERSIÓN DIRECTA:</t>
        </r>
        <r>
          <rPr>
            <sz val="12"/>
            <color indexed="81"/>
            <rFont val="Tahoma"/>
            <family val="2"/>
          </rPr>
          <t xml:space="preserve">
En este caso, es cualquier </t>
        </r>
        <r>
          <rPr>
            <b/>
            <sz val="12"/>
            <color indexed="81"/>
            <rFont val="Tahoma"/>
            <family val="2"/>
          </rPr>
          <t>empresa no residente</t>
        </r>
        <r>
          <rPr>
            <sz val="12"/>
            <color indexed="81"/>
            <rFont val="Tahoma"/>
            <family val="2"/>
          </rPr>
          <t xml:space="preserve"> en donde el 10 por ciento o más de sus acciones o participaciones de capital con derecho a voto son propiedad de la </t>
        </r>
        <r>
          <rPr>
            <b/>
            <sz val="12"/>
            <color indexed="81"/>
            <rFont val="Tahoma"/>
            <family val="2"/>
          </rPr>
          <t>empresa residente declarante</t>
        </r>
        <r>
          <rPr>
            <sz val="12"/>
            <color indexed="81"/>
            <rFont val="Tahoma"/>
            <family val="2"/>
          </rPr>
          <t xml:space="preserve">.
La relación de propiedad puede ser inmediata o indirecta (en este último caso, a través de una cadena de propiedad).  
</t>
        </r>
      </text>
    </comment>
    <comment ref="G19" authorId="0" shapeId="0" xr:uid="{00000000-0006-0000-0D00-000003000000}">
      <text>
        <r>
          <rPr>
            <b/>
            <u/>
            <sz val="11"/>
            <color indexed="81"/>
            <rFont val="Tahoma"/>
            <family val="2"/>
          </rPr>
          <t>EMPRESA NO RESIDENTE EMPARENTADA</t>
        </r>
        <r>
          <rPr>
            <b/>
            <sz val="11"/>
            <color indexed="81"/>
            <rFont val="Tahoma"/>
            <family val="2"/>
          </rPr>
          <t xml:space="preserve">
</t>
        </r>
        <r>
          <rPr>
            <sz val="11"/>
            <color indexed="81"/>
            <rFont val="Tahoma"/>
            <family val="2"/>
          </rPr>
          <t xml:space="preserve">La empresa residente que declara esta encuesta está emparentada con una empresa no residente, cuando ambas tienen un propietario común (residente o no residente) cuya propiedad, en cada una de las empresas, es igual o mayor al 10 por ciento. Dicha propiedad puede ser inmediata o a través de una cadena de propiedad.
</t>
        </r>
      </text>
    </comment>
    <comment ref="G22" authorId="0" shapeId="0" xr:uid="{00000000-0006-0000-0D00-000004000000}">
      <text>
        <r>
          <rPr>
            <b/>
            <u/>
            <sz val="11"/>
            <color indexed="81"/>
            <rFont val="Tahoma"/>
            <family val="2"/>
          </rPr>
          <t>EMPRESA NO RESIDENTE EMPARENTADA</t>
        </r>
        <r>
          <rPr>
            <b/>
            <sz val="11"/>
            <color indexed="81"/>
            <rFont val="Tahoma"/>
            <family val="2"/>
          </rPr>
          <t xml:space="preserve">
</t>
        </r>
        <r>
          <rPr>
            <sz val="11"/>
            <color indexed="81"/>
            <rFont val="Tahoma"/>
            <family val="2"/>
          </rPr>
          <t xml:space="preserve">La empresa residente que declara esta encuesta está emparentada con una empresa no residente, cuando ambas tienen un propietario común (residente o no residente) cuya propiedad, en cada una de las empresas, es igual o mayor al 10 por ciento. Dicha propiedad puede ser inmediata o a través de una cadena de propiedad.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1595</author>
    <author>Cruz Labrin, Miguel  Teodoro</author>
  </authors>
  <commentList>
    <comment ref="J9" authorId="0" shapeId="0" xr:uid="{00000000-0006-0000-0E00-000001000000}">
      <text>
        <r>
          <rPr>
            <sz val="16"/>
            <color indexed="81"/>
            <rFont val="Tahoma"/>
            <family val="2"/>
          </rPr>
          <t>Convertir los valores desde su moneda original a US dólares.</t>
        </r>
      </text>
    </comment>
    <comment ref="G12" authorId="1" shapeId="0" xr:uid="{00000000-0006-0000-0E00-000002000000}">
      <text>
        <r>
          <rPr>
            <b/>
            <u/>
            <sz val="11"/>
            <color indexed="81"/>
            <rFont val="Tahoma"/>
            <family val="2"/>
          </rPr>
          <t>INVERSIONISTA DIRECTO (ID):</t>
        </r>
        <r>
          <rPr>
            <sz val="11"/>
            <color indexed="81"/>
            <rFont val="Tahoma"/>
            <family val="2"/>
          </rPr>
          <t xml:space="preserve">
En este caso, es cualquier </t>
        </r>
        <r>
          <rPr>
            <b/>
            <sz val="11"/>
            <color indexed="81"/>
            <rFont val="Tahoma"/>
            <family val="2"/>
          </rPr>
          <t>inversionista no residente</t>
        </r>
        <r>
          <rPr>
            <sz val="11"/>
            <color indexed="81"/>
            <rFont val="Tahoma"/>
            <family val="2"/>
          </rPr>
          <t xml:space="preserve"> (empresa o persona natural del exterior) que posee en la empresa residente declarante, el 10 por ciento o más de la acciones o participaciones de capital con derecho a voto.
La relación de propiedad puede ser inmediata o indirecta (en este último caso, a través de una cadena de propiedad).  
</t>
        </r>
      </text>
    </comment>
    <comment ref="G15" authorId="1" shapeId="0" xr:uid="{00000000-0006-0000-0E00-000003000000}">
      <text>
        <r>
          <rPr>
            <b/>
            <u/>
            <sz val="12"/>
            <color indexed="81"/>
            <rFont val="Tahoma"/>
            <family val="2"/>
          </rPr>
          <t>EMPRESA DE INVERSIÓN DIRECTA:</t>
        </r>
        <r>
          <rPr>
            <sz val="12"/>
            <color indexed="81"/>
            <rFont val="Tahoma"/>
            <family val="2"/>
          </rPr>
          <t xml:space="preserve">
En este caso, es cualquier </t>
        </r>
        <r>
          <rPr>
            <b/>
            <sz val="12"/>
            <color indexed="81"/>
            <rFont val="Tahoma"/>
            <family val="2"/>
          </rPr>
          <t>empresa no residente</t>
        </r>
        <r>
          <rPr>
            <sz val="12"/>
            <color indexed="81"/>
            <rFont val="Tahoma"/>
            <family val="2"/>
          </rPr>
          <t xml:space="preserve"> en donde el 10 por ciento o más de sus acciones o participaciones de capital con derecho a voto son propiedad de la </t>
        </r>
        <r>
          <rPr>
            <b/>
            <sz val="12"/>
            <color indexed="81"/>
            <rFont val="Tahoma"/>
            <family val="2"/>
          </rPr>
          <t>empresa residente declarante</t>
        </r>
        <r>
          <rPr>
            <sz val="12"/>
            <color indexed="81"/>
            <rFont val="Tahoma"/>
            <family val="2"/>
          </rPr>
          <t xml:space="preserve">.
La relación de propiedad puede ser inmediata o indirecta (en este último caso, a través de una cadena de propiedad).  
</t>
        </r>
      </text>
    </comment>
    <comment ref="G18" authorId="1" shapeId="0" xr:uid="{00000000-0006-0000-0E00-000004000000}">
      <text>
        <r>
          <rPr>
            <b/>
            <u/>
            <sz val="11"/>
            <color indexed="81"/>
            <rFont val="Tahoma"/>
            <family val="2"/>
          </rPr>
          <t>EMPRESA NO RESIDENTE EMPARENTADA</t>
        </r>
        <r>
          <rPr>
            <b/>
            <sz val="11"/>
            <color indexed="81"/>
            <rFont val="Tahoma"/>
            <family val="2"/>
          </rPr>
          <t xml:space="preserve">
</t>
        </r>
        <r>
          <rPr>
            <sz val="11"/>
            <color indexed="81"/>
            <rFont val="Tahoma"/>
            <family val="2"/>
          </rPr>
          <t xml:space="preserve">La empresa residente que declara esta encuesta está emparentada con una empresa no residente, cuando ambas tienen un propietario común (residente o no residente) cuya propiedad, en cada una de las empresas, es igual o mayor al 10 por ciento. Dicha propiedad puede ser inmediata o a través de una cadena de propiedad.
</t>
        </r>
      </text>
    </comment>
    <comment ref="G21" authorId="1" shapeId="0" xr:uid="{00000000-0006-0000-0E00-000005000000}">
      <text>
        <r>
          <rPr>
            <b/>
            <u/>
            <sz val="11"/>
            <color indexed="81"/>
            <rFont val="Tahoma"/>
            <family val="2"/>
          </rPr>
          <t>EMPRESA NO RESIDENTE EMPARENTADA</t>
        </r>
        <r>
          <rPr>
            <b/>
            <sz val="11"/>
            <color indexed="81"/>
            <rFont val="Tahoma"/>
            <family val="2"/>
          </rPr>
          <t xml:space="preserve">
</t>
        </r>
        <r>
          <rPr>
            <sz val="11"/>
            <color indexed="81"/>
            <rFont val="Tahoma"/>
            <family val="2"/>
          </rPr>
          <t xml:space="preserve">La empresa residente que declara esta encuesta está emparentada con una empresa no residente, cuando ambas tienen un propietario común (residente o no residente) cuya propiedad, en cada una de las empresas, es igual o mayor al 10 por ciento. Dicha propiedad puede ser inmediata o a través de una cadena de propiedad.
</t>
        </r>
      </text>
    </comment>
    <comment ref="J34" authorId="0" shapeId="0" xr:uid="{00000000-0006-0000-0E00-000006000000}">
      <text>
        <r>
          <rPr>
            <sz val="16"/>
            <color indexed="81"/>
            <rFont val="Tahoma"/>
            <family val="2"/>
          </rPr>
          <t>Convertir los valores desde su moneda original a US dólares.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Cruz Labrin, Miguel  Teodoro</author>
  </authors>
  <commentList>
    <comment ref="G12" authorId="0" shapeId="0" xr:uid="{00000000-0006-0000-1000-000001000000}">
      <text>
        <r>
          <rPr>
            <b/>
            <u/>
            <sz val="11"/>
            <color indexed="81"/>
            <rFont val="Tahoma"/>
            <family val="2"/>
          </rPr>
          <t>INVERSIONISTA DIRECTO (ID):</t>
        </r>
        <r>
          <rPr>
            <sz val="11"/>
            <color indexed="81"/>
            <rFont val="Tahoma"/>
            <family val="2"/>
          </rPr>
          <t xml:space="preserve">
En este caso, es cualquier </t>
        </r>
        <r>
          <rPr>
            <b/>
            <sz val="11"/>
            <color indexed="81"/>
            <rFont val="Tahoma"/>
            <family val="2"/>
          </rPr>
          <t>inversionista no residente</t>
        </r>
        <r>
          <rPr>
            <sz val="11"/>
            <color indexed="81"/>
            <rFont val="Tahoma"/>
            <family val="2"/>
          </rPr>
          <t xml:space="preserve"> (empresa o persona natural del exterior) que posee en la empresa residente declarante, el 10 por ciento o más de la acciones o participaciones de capital con derecho a voto.
La relación de propiedad puede ser inmediata o indirecta (en este último caso, a través de una cadena de propiedad).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Cruz Labrin, Miguel  Teodoro</author>
  </authors>
  <commentList>
    <comment ref="G12" authorId="0" shapeId="0" xr:uid="{00000000-0006-0000-0F00-000001000000}">
      <text>
        <r>
          <rPr>
            <b/>
            <u/>
            <sz val="11"/>
            <color indexed="81"/>
            <rFont val="Tahoma"/>
            <family val="2"/>
          </rPr>
          <t>INVERSIONISTA DIRECTO (ID):</t>
        </r>
        <r>
          <rPr>
            <sz val="11"/>
            <color indexed="81"/>
            <rFont val="Tahoma"/>
            <family val="2"/>
          </rPr>
          <t xml:space="preserve">
En este caso, es cualquier </t>
        </r>
        <r>
          <rPr>
            <b/>
            <sz val="11"/>
            <color indexed="81"/>
            <rFont val="Tahoma"/>
            <family val="2"/>
          </rPr>
          <t>inversionista no residente</t>
        </r>
        <r>
          <rPr>
            <sz val="11"/>
            <color indexed="81"/>
            <rFont val="Tahoma"/>
            <family val="2"/>
          </rPr>
          <t xml:space="preserve"> (empresa o persona natural del exterior) que posee en la empresa residente declarante, el 10 por ciento o más de la acciones o participaciones de capital con derecho a voto.
La relación de propiedad puede ser inmediata o indirecta (en este último caso, a través de una cadena de propiedad).  
</t>
        </r>
      </text>
    </comment>
    <comment ref="G15" authorId="0" shapeId="0" xr:uid="{00000000-0006-0000-0F00-000002000000}">
      <text>
        <r>
          <rPr>
            <b/>
            <u/>
            <sz val="12"/>
            <color indexed="81"/>
            <rFont val="Tahoma"/>
            <family val="2"/>
          </rPr>
          <t>EMPRESA DE INVERSIÓN DIRECTA:</t>
        </r>
        <r>
          <rPr>
            <sz val="12"/>
            <color indexed="81"/>
            <rFont val="Tahoma"/>
            <family val="2"/>
          </rPr>
          <t xml:space="preserve">
En este caso, es cualquier </t>
        </r>
        <r>
          <rPr>
            <b/>
            <sz val="12"/>
            <color indexed="81"/>
            <rFont val="Tahoma"/>
            <family val="2"/>
          </rPr>
          <t>empresa no residente</t>
        </r>
        <r>
          <rPr>
            <sz val="12"/>
            <color indexed="81"/>
            <rFont val="Tahoma"/>
            <family val="2"/>
          </rPr>
          <t xml:space="preserve"> en donde el 10 por ciento o más de sus acciones o participaciones de capital con derecho a voto son propiedad de la </t>
        </r>
        <r>
          <rPr>
            <b/>
            <sz val="12"/>
            <color indexed="81"/>
            <rFont val="Tahoma"/>
            <family val="2"/>
          </rPr>
          <t>empresa residente declarante</t>
        </r>
        <r>
          <rPr>
            <sz val="12"/>
            <color indexed="81"/>
            <rFont val="Tahoma"/>
            <family val="2"/>
          </rPr>
          <t xml:space="preserve">.
La relación de propiedad puede ser inmediata o indirecta (en este último caso, a través de una cadena de propiedad).  
</t>
        </r>
      </text>
    </comment>
    <comment ref="G18" authorId="0" shapeId="0" xr:uid="{00000000-0006-0000-0F00-000003000000}">
      <text>
        <r>
          <rPr>
            <b/>
            <u/>
            <sz val="11"/>
            <color indexed="81"/>
            <rFont val="Tahoma"/>
            <family val="2"/>
          </rPr>
          <t>EMPRESA NO RESIDENTE EMPARENTADA</t>
        </r>
        <r>
          <rPr>
            <b/>
            <sz val="11"/>
            <color indexed="81"/>
            <rFont val="Tahoma"/>
            <family val="2"/>
          </rPr>
          <t xml:space="preserve">
</t>
        </r>
        <r>
          <rPr>
            <sz val="11"/>
            <color indexed="81"/>
            <rFont val="Tahoma"/>
            <family val="2"/>
          </rPr>
          <t xml:space="preserve">La empresa residente que declara esta encuesta está emparentada con una empresa no residente, cuando ambas tienen un propietario común (residente o no residente) cuya propiedad, en cada una de las empresas, es igual o mayor al 10 por ciento. Dicha propiedad puede ser inmediata o a través de una cadena de propiedad.
</t>
        </r>
      </text>
    </comment>
    <comment ref="G21" authorId="0" shapeId="0" xr:uid="{00000000-0006-0000-0F00-000004000000}">
      <text>
        <r>
          <rPr>
            <b/>
            <u/>
            <sz val="11"/>
            <color indexed="81"/>
            <rFont val="Tahoma"/>
            <family val="2"/>
          </rPr>
          <t>EMPRESA NO RESIDENTE EMPARENTADA</t>
        </r>
        <r>
          <rPr>
            <b/>
            <sz val="11"/>
            <color indexed="81"/>
            <rFont val="Tahoma"/>
            <family val="2"/>
          </rPr>
          <t xml:space="preserve">
</t>
        </r>
        <r>
          <rPr>
            <sz val="11"/>
            <color indexed="81"/>
            <rFont val="Tahoma"/>
            <family val="2"/>
          </rPr>
          <t xml:space="preserve">La empresa residente que declara esta encuesta está emparentada con una empresa no residente, cuando ambas tienen un propietario común (residente o no residente) cuya propiedad, en cada una de las empresas, es igual o mayor al 10 por ciento. Dicha propiedad puede ser inmediata o a través de una cadena de propiedad.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Oficina</author>
  </authors>
  <commentList>
    <comment ref="D16" authorId="0" shapeId="0" xr:uid="{00000000-0006-0000-0100-000001000000}">
      <text>
        <r>
          <rPr>
            <b/>
            <sz val="9"/>
            <color indexed="81"/>
            <rFont val="Tahoma"/>
            <family val="2"/>
          </rPr>
          <t>Oficina:</t>
        </r>
        <r>
          <rPr>
            <sz val="9"/>
            <color indexed="81"/>
            <rFont val="Tahoma"/>
            <family val="2"/>
          </rPr>
          <t xml:space="preserve">
La regla de conciliación anterior combinaba cuentas del patrimonio y cuentas del pasivo (con  accionistas) y caja (dividendos), en una relación válida de saldos y flujos desde la perspectiva de la BP y la PII.
Sin embargo, su lectura e interpretación resultaba confusa para las empresas, las que erróneamente tomaban como marco de referencia solo las cuentas patrimoniales: el resultado era que se omitìan los dividendos en efectivo.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Cruz Labrin, Miguel  Teodoro</author>
  </authors>
  <commentList>
    <comment ref="D1" authorId="0" shapeId="0" xr:uid="{00000000-0006-0000-0600-000001000000}">
      <text>
        <r>
          <rPr>
            <sz val="8"/>
            <color indexed="81"/>
            <rFont val="Tahoma"/>
            <family val="2"/>
          </rPr>
          <t>RUC de la empresa declarante</t>
        </r>
      </text>
    </comment>
    <comment ref="E1" authorId="0" shapeId="0" xr:uid="{00000000-0006-0000-0600-000002000000}">
      <text>
        <r>
          <rPr>
            <sz val="8"/>
            <color indexed="81"/>
            <rFont val="Tahoma"/>
            <family val="2"/>
          </rPr>
          <t>RUC de las empresas relacioandas con la emrepsa declarante</t>
        </r>
      </text>
    </comment>
    <comment ref="H42" authorId="0" shapeId="0" xr:uid="{00000000-0006-0000-0600-000003000000}">
      <text>
        <r>
          <rPr>
            <sz val="10"/>
            <color indexed="81"/>
            <rFont val="Tahoma"/>
            <family val="2"/>
          </rPr>
          <t>Se está jalando a propósito una celda en blanco, solo para mantener la uniformidad en el recojo de información de esta columna.</t>
        </r>
      </text>
    </comment>
    <comment ref="H43" authorId="0" shapeId="0" xr:uid="{00000000-0006-0000-0600-000004000000}">
      <text>
        <r>
          <rPr>
            <sz val="10"/>
            <color indexed="81"/>
            <rFont val="Tahoma"/>
            <family val="2"/>
          </rPr>
          <t>Se está jalando a propósito una celda en blanco, solo para mantener la uniformidad en el recojo de información de esta columna.</t>
        </r>
      </text>
    </comment>
    <comment ref="H44" authorId="0" shapeId="0" xr:uid="{00000000-0006-0000-0600-000005000000}">
      <text>
        <r>
          <rPr>
            <sz val="10"/>
            <color indexed="81"/>
            <rFont val="Tahoma"/>
            <family val="2"/>
          </rPr>
          <t>Se está jalando a propósito una celda en blanco, solo para mantener la uniformidad en el recojo de información de esta columna.</t>
        </r>
      </text>
    </comment>
    <comment ref="H45" authorId="0" shapeId="0" xr:uid="{00000000-0006-0000-0600-000006000000}">
      <text>
        <r>
          <rPr>
            <sz val="10"/>
            <color indexed="81"/>
            <rFont val="Tahoma"/>
            <family val="2"/>
          </rPr>
          <t>Se está jalando a propósito una celda en blanco, solo para mantener la uniformidad en el recojo de información de esta columna.</t>
        </r>
      </text>
    </comment>
    <comment ref="H46" authorId="0" shapeId="0" xr:uid="{00000000-0006-0000-0600-000007000000}">
      <text>
        <r>
          <rPr>
            <sz val="10"/>
            <color indexed="81"/>
            <rFont val="Tahoma"/>
            <family val="2"/>
          </rPr>
          <t>Se está jalando a propósito una celda en blanco, solo para mantener la uniformidad en el recojo de información de esta columna.</t>
        </r>
      </text>
    </comment>
    <comment ref="H47" authorId="0" shapeId="0" xr:uid="{00000000-0006-0000-0600-000008000000}">
      <text>
        <r>
          <rPr>
            <sz val="10"/>
            <color indexed="81"/>
            <rFont val="Tahoma"/>
            <family val="2"/>
          </rPr>
          <t>Se está jalando a propósito una celda en blanco, solo para mantener la uniformidad en el recojo de información de esta columna.</t>
        </r>
      </text>
    </comment>
    <comment ref="H48" authorId="0" shapeId="0" xr:uid="{00000000-0006-0000-0600-000009000000}">
      <text>
        <r>
          <rPr>
            <sz val="10"/>
            <color indexed="81"/>
            <rFont val="Tahoma"/>
            <family val="2"/>
          </rPr>
          <t>Se está jalando a propósito una celda en blanco, solo para mantener la uniformidad en el recojo de información de esta columna.</t>
        </r>
      </text>
    </comment>
    <comment ref="H49" authorId="0" shapeId="0" xr:uid="{00000000-0006-0000-0600-00000A000000}">
      <text>
        <r>
          <rPr>
            <sz val="10"/>
            <color indexed="81"/>
            <rFont val="Tahoma"/>
            <family val="2"/>
          </rPr>
          <t>Se está jalando a propósito una celda en blanco, solo para mantener la uniformidad en el recojo de información de esta columna.</t>
        </r>
      </text>
    </comment>
    <comment ref="H50" authorId="0" shapeId="0" xr:uid="{00000000-0006-0000-0600-00000B000000}">
      <text>
        <r>
          <rPr>
            <sz val="10"/>
            <color indexed="81"/>
            <rFont val="Tahoma"/>
            <family val="2"/>
          </rPr>
          <t>Se está jalando a propósito una celda en blanco, solo para mantener la uniformidad en el recojo de información de esta columna.</t>
        </r>
      </text>
    </comment>
    <comment ref="H51" authorId="0" shapeId="0" xr:uid="{00000000-0006-0000-0600-00000C000000}">
      <text>
        <r>
          <rPr>
            <sz val="10"/>
            <color indexed="81"/>
            <rFont val="Tahoma"/>
            <family val="2"/>
          </rPr>
          <t>Se está jalando a propósito una celda en blanco, solo para mantener la uniformidad en el recojo de información de esta columna.</t>
        </r>
      </text>
    </comment>
    <comment ref="H52" authorId="0" shapeId="0" xr:uid="{00000000-0006-0000-0600-00000D000000}">
      <text>
        <r>
          <rPr>
            <sz val="10"/>
            <color indexed="81"/>
            <rFont val="Tahoma"/>
            <family val="2"/>
          </rPr>
          <t>Se está jalando a propósito una celda en blanco, solo para mantener la uniformidad en el recojo de información de esta columna.</t>
        </r>
      </text>
    </comment>
    <comment ref="H53" authorId="0" shapeId="0" xr:uid="{00000000-0006-0000-0600-00000E000000}">
      <text>
        <r>
          <rPr>
            <sz val="10"/>
            <color indexed="81"/>
            <rFont val="Tahoma"/>
            <family val="2"/>
          </rPr>
          <t>Se está jalando a propósito una celda en blanco, solo para mantener la uniformidad en el recojo de información de esta columna.</t>
        </r>
      </text>
    </comment>
    <comment ref="H54" authorId="0" shapeId="0" xr:uid="{00000000-0006-0000-0600-00000F000000}">
      <text>
        <r>
          <rPr>
            <sz val="10"/>
            <color indexed="81"/>
            <rFont val="Tahoma"/>
            <family val="2"/>
          </rPr>
          <t>Se está jalando a propósito una celda en blanco, solo para mantener la uniformidad en el recojo de información de esta columna.</t>
        </r>
      </text>
    </comment>
    <comment ref="H55" authorId="0" shapeId="0" xr:uid="{00000000-0006-0000-0600-000010000000}">
      <text>
        <r>
          <rPr>
            <sz val="10"/>
            <color indexed="81"/>
            <rFont val="Tahoma"/>
            <family val="2"/>
          </rPr>
          <t>Se está jalando a propósito una celda en blanco, solo para mantener la uniformidad en el recojo de información de esta columna.</t>
        </r>
      </text>
    </comment>
    <comment ref="H56" authorId="0" shapeId="0" xr:uid="{00000000-0006-0000-0600-000011000000}">
      <text>
        <r>
          <rPr>
            <sz val="10"/>
            <color indexed="81"/>
            <rFont val="Tahoma"/>
            <family val="2"/>
          </rPr>
          <t>Se está jalando a propósito una celda en blanco, solo para mantener la uniformidad en el recojo de información de esta columna.</t>
        </r>
      </text>
    </comment>
    <comment ref="H57" authorId="0" shapeId="0" xr:uid="{00000000-0006-0000-0600-000012000000}">
      <text>
        <r>
          <rPr>
            <sz val="10"/>
            <color indexed="81"/>
            <rFont val="Tahoma"/>
            <family val="2"/>
          </rPr>
          <t>Se está jalando a propósito una celda en blanco, solo para mantener la uniformidad en el recojo de información de esta columna.</t>
        </r>
      </text>
    </comment>
    <comment ref="H58" authorId="0" shapeId="0" xr:uid="{00000000-0006-0000-0600-000013000000}">
      <text>
        <r>
          <rPr>
            <sz val="10"/>
            <color indexed="81"/>
            <rFont val="Tahoma"/>
            <family val="2"/>
          </rPr>
          <t>Se está jalando a propósito una celda en blanco, solo para mantener la uniformidad en el recojo de información de esta columna.</t>
        </r>
      </text>
    </comment>
    <comment ref="H59" authorId="0" shapeId="0" xr:uid="{00000000-0006-0000-0600-000014000000}">
      <text>
        <r>
          <rPr>
            <sz val="10"/>
            <color indexed="81"/>
            <rFont val="Tahoma"/>
            <family val="2"/>
          </rPr>
          <t>Se está jalando a propósito una celda en blanco, solo para mantener la uniformidad en el recojo de información de esta columna.</t>
        </r>
      </text>
    </comment>
    <comment ref="H60" authorId="0" shapeId="0" xr:uid="{00000000-0006-0000-0600-000015000000}">
      <text>
        <r>
          <rPr>
            <sz val="10"/>
            <color indexed="81"/>
            <rFont val="Tahoma"/>
            <family val="2"/>
          </rPr>
          <t>Se está jalando a propósito una celda en blanco, solo para mantener la uniformidad en el recojo de información de esta columna.</t>
        </r>
      </text>
    </comment>
    <comment ref="H61" authorId="0" shapeId="0" xr:uid="{00000000-0006-0000-0600-000016000000}">
      <text>
        <r>
          <rPr>
            <sz val="10"/>
            <color indexed="81"/>
            <rFont val="Tahoma"/>
            <family val="2"/>
          </rPr>
          <t>Se está jalando a propósito una celda en blanco, solo para mantener la uniformidad en el recojo de información de esta columna.</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<sst xmlns="http://schemas.openxmlformats.org/spreadsheetml/2006/main" count="14722" uniqueCount="4583">
  <si>
    <t>ENCUESTA TRIMESTRAL DE BALANZA DE PAGOS</t>
  </si>
  <si>
    <t>E INVERSIÓN DIRECTA POR PAIS</t>
  </si>
  <si>
    <t>ÍNDICE GENERAL DE TABLAS DE LA ENCUESTA</t>
  </si>
  <si>
    <t xml:space="preserve">Ir a la tabla 
(hacer click abajo) </t>
  </si>
  <si>
    <t>Datos generales de la empresa declarante</t>
  </si>
  <si>
    <t xml:space="preserve">Tabla IV.3 Derivados cambiarios según contraparte residente y no residente 
                    Posiciones para recibir y pagar moneda extranjera del trimestre actual </t>
  </si>
  <si>
    <t>Derechos y Obligaciones: valor de la participación patrimonial
de las participaciones de capital con no residentes</t>
  </si>
  <si>
    <t>LISTA PARA EL CONTROL DE ACTUALIZACIONES</t>
  </si>
  <si>
    <t>ACTIVIDAD</t>
  </si>
  <si>
    <t>ACTUALIZADO</t>
  </si>
  <si>
    <t>COMENTARIOS</t>
  </si>
  <si>
    <t>0. Apertura / ocultamiento de columnas</t>
  </si>
  <si>
    <t>ü</t>
  </si>
  <si>
    <t xml:space="preserve">1. Selección del período trimestral </t>
  </si>
  <si>
    <t>2. Tipo de cambio (todas las monedas)</t>
  </si>
  <si>
    <t>3. Fecha límite de respuesta</t>
  </si>
  <si>
    <t>4. Inmovilización de paneles</t>
  </si>
  <si>
    <t>5. Ocultar hojas internas</t>
  </si>
  <si>
    <t>6. Clave de seguridad</t>
  </si>
  <si>
    <t>7. Lista de encargados</t>
  </si>
  <si>
    <t>n.a.</t>
  </si>
  <si>
    <t>Se ha eliminado, al igual que los teléfonos</t>
  </si>
  <si>
    <t>CAMBIOS DE ESTRUCTURA</t>
  </si>
  <si>
    <t>COMENTARIO</t>
  </si>
  <si>
    <t>Tabla VI. Conciliación de saldos y flujos.</t>
  </si>
  <si>
    <t>Se cambió la fórmula del saldo final a partir de la ETBP 2021T4. Ahora, el saldo final no tomará en cuenta el pago de los dividendos en efectivo, partida que de todas formas se seguirá captando.
Este cambio es resultado de una evaluación metodológica contable que concluyó que los dividendos se sacan del patrimonio a través de la declaración, una sola vez (cuando se declaran). El pago en efectivo se hace desde caja, cuenta no patrimonial.</t>
  </si>
  <si>
    <t>BANCO CENTRAL DE RESERVA DEL PERÚ</t>
  </si>
  <si>
    <t>E N C U E S T A  T R I M E S T R A L 
D E  B A L A N Z A  D E  P A G O S  
E  I N V E R S I Ó N  D I R E C T A  P O R  P A Í S</t>
  </si>
  <si>
    <t>DEPARTAMENTO DE ESTADÍSTICAS DE BALANZA DE PAGOS</t>
  </si>
  <si>
    <t xml:space="preserve">  Jr. Santa Rosa 441 (6to. piso) - Lima 1 - Perú</t>
  </si>
  <si>
    <r>
      <rPr>
        <b/>
        <i/>
        <sz val="20"/>
        <color indexed="9"/>
        <rFont val="Arial"/>
        <family val="2"/>
      </rPr>
      <t xml:space="preserve">Envíe su formulario de vuelta a: </t>
    </r>
    <r>
      <rPr>
        <b/>
        <sz val="20"/>
        <color indexed="9"/>
        <rFont val="Arial"/>
        <family val="2"/>
      </rPr>
      <t xml:space="preserve">
encuesta.trimestral@bcrp.gob.pe</t>
    </r>
  </si>
  <si>
    <t xml:space="preserve">A.  D A T O S  G E N E R A L E  S   D E   L A   E M P R E S A   D E C L A R A N T E </t>
  </si>
  <si>
    <t>1. RUC:</t>
  </si>
  <si>
    <t>2. RAZÓN SOCIAL:</t>
  </si>
  <si>
    <t>3. RAZÓN COMERCIAL:</t>
  </si>
  <si>
    <t>4. INICIO DE OPERACIONES ( mm/aaaa):</t>
  </si>
  <si>
    <t>5. GIRO DEL NEGOCIO:</t>
  </si>
  <si>
    <t>6. PERSONA RESPONSABLE:</t>
  </si>
  <si>
    <t>7. CARGO:</t>
  </si>
  <si>
    <t>8. CORREO ELECTRÓNICO:</t>
  </si>
  <si>
    <t>9. PÁGINA WEB:</t>
  </si>
  <si>
    <t>10. TELÉFONO Y ANEXO:</t>
  </si>
  <si>
    <t>RESPONDA LAS SIGUIENTES PREGUNTAS (SI/NO)</t>
  </si>
  <si>
    <t>Poner NO donde corresponda.</t>
  </si>
  <si>
    <t>Ver</t>
  </si>
  <si>
    <t>¿Su empresa presta o recibe servicios al o del exterior? (Hojas 2.a y 2.b)</t>
  </si>
  <si>
    <t>¿Su empresa presta o recibe servicios de franquicia y/o regalía del exterior? (Hoja 2.b)</t>
  </si>
  <si>
    <t>Préstamos del Exterior: ¿Tiene o ha tenido la empresa saldos por préstamos del exterior? (Hoja 3)</t>
  </si>
  <si>
    <t>Participación Extranjera: ¿Tiene o ha tenido la empresa participación extranjera en su capital? (Hoja 4)</t>
  </si>
  <si>
    <t>Utilidades: ¿Ha generado la empresa utilidades / pérdidas? (Hoja 5)</t>
  </si>
  <si>
    <t>Activos en el Exterior: ¿Tiene o ha tenido la empresa activos externos, cuentas por cobrar o inversiones en el exterior? (Hoja 6)</t>
  </si>
  <si>
    <t>Depósitos en moneda extranjera: ¿Tiene o ha tenido la empresa depósitos en moneda extranjera, sea en el exterior o en el país?</t>
  </si>
  <si>
    <t>Inversiones en el exterior : ¿Tiene o ha tenido la empresa participación en empresas del exterior ?</t>
  </si>
  <si>
    <t>Derivados Financieros (opciones, futuros financieros, swaps, etc.): ¿Tiene la empresa operaciones ...? (Hoja 5)</t>
  </si>
  <si>
    <t xml:space="preserve">       - Con entidades residentes (mercado local)</t>
  </si>
  <si>
    <t xml:space="preserve">       - Con no residentes (exterior)</t>
  </si>
  <si>
    <t>Proyección de inversiones futuras: ¿Tiene planeado realizar inversiones en 2007-2009 ? (Hoja 7)</t>
  </si>
  <si>
    <t>¿Lleva la empresa contabilidad en Dólares U.S.?</t>
  </si>
  <si>
    <t>B.  M A R C O  L E G A L  (H A G A  "CLICK"  A Q U Í)</t>
  </si>
  <si>
    <t xml:space="preserve">De acuerdo con el artículo 2° de la Circular N° 025–2012–BCRP, la información recibida goza del secreto estadístico. 
Asimismo, la declaración de los datos requerida es de carácter  obligatorio (artículo 3° de la Circular). </t>
  </si>
  <si>
    <t xml:space="preserve">E N C U E S  T A  T R I M E S T R A L  D E  B A L A N Z A  D E  P A G O S </t>
  </si>
  <si>
    <t>I. S E R V I C I O S  C O N  E L  E X T E R I O R</t>
  </si>
  <si>
    <t xml:space="preserve">II.  A C T I V O S  Y  P A S I V O S  C O N   N O  R E S I D E  N T E S </t>
  </si>
  <si>
    <t xml:space="preserve">III.  P A T R I M O N I O </t>
  </si>
  <si>
    <t>IV. EMPRESAS NO APLICABLES</t>
  </si>
  <si>
    <t xml:space="preserve">Deshacer selección </t>
  </si>
  <si>
    <t>ORDEN</t>
  </si>
  <si>
    <t>RUC</t>
  </si>
  <si>
    <t>NOMBRE 
(Orden: nombre y apellidos)</t>
  </si>
  <si>
    <r>
      <t>E</t>
    </r>
    <r>
      <rPr>
        <b/>
        <sz val="11"/>
        <color indexed="9"/>
        <rFont val="Arial"/>
        <family val="2"/>
      </rPr>
      <t>-mail</t>
    </r>
  </si>
  <si>
    <t>ENCUESTADOR</t>
  </si>
  <si>
    <t>Anexo</t>
  </si>
  <si>
    <t>CONCATENAR</t>
  </si>
  <si>
    <t>CONTACTO EN CASO NO EXISTA ASIGNACIÓN</t>
  </si>
  <si>
    <t>CORREO</t>
  </si>
  <si>
    <t>ANEXO</t>
  </si>
  <si>
    <t>20100000688</t>
  </si>
  <si>
    <t>Bautista Castro Iván Fernando</t>
  </si>
  <si>
    <t>Encuestador7@bcrp.gob.pe</t>
  </si>
  <si>
    <t>Isaí Quispe</t>
  </si>
  <si>
    <t>isai.quispe@bcrp.gob.pe</t>
  </si>
  <si>
    <t>20100001498</t>
  </si>
  <si>
    <t>Vásquez Terrones Lucía Sandy</t>
  </si>
  <si>
    <t>Encuestador8@bcrp.gob.pe</t>
  </si>
  <si>
    <t>20100001579</t>
  </si>
  <si>
    <t>Quispe Chucos Maricruz</t>
  </si>
  <si>
    <t>Encuestador9@bcrp.gob.pe</t>
  </si>
  <si>
    <t>20100002036</t>
  </si>
  <si>
    <t>Montoya Simon Katherine Florencia</t>
  </si>
  <si>
    <t>Encuestador11@bcrp.gob.pe</t>
  </si>
  <si>
    <t>20100002206</t>
  </si>
  <si>
    <t>Cordova Agüero Angelo</t>
  </si>
  <si>
    <t>Encuestador12@bcrp.gob.pe</t>
  </si>
  <si>
    <t>20100002621</t>
  </si>
  <si>
    <t>20100003512</t>
  </si>
  <si>
    <t>20100004322</t>
  </si>
  <si>
    <t>20100004594</t>
  </si>
  <si>
    <t>20100004675</t>
  </si>
  <si>
    <t>20100004756</t>
  </si>
  <si>
    <t>20100005213</t>
  </si>
  <si>
    <t>20100005302</t>
  </si>
  <si>
    <t>20100005566</t>
  </si>
  <si>
    <t>20100007348</t>
  </si>
  <si>
    <t>20100007852</t>
  </si>
  <si>
    <t>20100009472</t>
  </si>
  <si>
    <t>20100009804</t>
  </si>
  <si>
    <t>20100010136</t>
  </si>
  <si>
    <t>20100010217</t>
  </si>
  <si>
    <t>20100010489</t>
  </si>
  <si>
    <t>20100010993</t>
  </si>
  <si>
    <t>20100013151</t>
  </si>
  <si>
    <t>20100013747</t>
  </si>
  <si>
    <t>20100014395</t>
  </si>
  <si>
    <t>20100016258</t>
  </si>
  <si>
    <t>20100016681</t>
  </si>
  <si>
    <t>20100018111</t>
  </si>
  <si>
    <t>20100018200</t>
  </si>
  <si>
    <t>20100018625</t>
  </si>
  <si>
    <t>20100019788</t>
  </si>
  <si>
    <t>20100019940</t>
  </si>
  <si>
    <t>20100020361</t>
  </si>
  <si>
    <t>20100020441</t>
  </si>
  <si>
    <t>20100020522</t>
  </si>
  <si>
    <t>20100020956</t>
  </si>
  <si>
    <t>20100021251</t>
  </si>
  <si>
    <t>20100021847</t>
  </si>
  <si>
    <t>20100022142</t>
  </si>
  <si>
    <t>20100022223</t>
  </si>
  <si>
    <t>20100023203</t>
  </si>
  <si>
    <t>20100023891</t>
  </si>
  <si>
    <t>20100024277</t>
  </si>
  <si>
    <t>20100024862</t>
  </si>
  <si>
    <t>20100026130</t>
  </si>
  <si>
    <t>20100026997</t>
  </si>
  <si>
    <t>20100027021</t>
  </si>
  <si>
    <t>20100027292</t>
  </si>
  <si>
    <t>20100028850</t>
  </si>
  <si>
    <t>20100029406</t>
  </si>
  <si>
    <t>20100030242</t>
  </si>
  <si>
    <t>20100030838</t>
  </si>
  <si>
    <t>20100031648</t>
  </si>
  <si>
    <t>20100032610</t>
  </si>
  <si>
    <t>20100032709</t>
  </si>
  <si>
    <t>20100033004</t>
  </si>
  <si>
    <t>20100037689</t>
  </si>
  <si>
    <t>20100037841</t>
  </si>
  <si>
    <t>20100038146</t>
  </si>
  <si>
    <t>20100039037</t>
  </si>
  <si>
    <t>20100041520</t>
  </si>
  <si>
    <t>20100042500</t>
  </si>
  <si>
    <t>20100042763</t>
  </si>
  <si>
    <t>20100045193</t>
  </si>
  <si>
    <t>20100047056</t>
  </si>
  <si>
    <t>20100047137</t>
  </si>
  <si>
    <t>20100047641</t>
  </si>
  <si>
    <t>20100047722</t>
  </si>
  <si>
    <t>20100049261</t>
  </si>
  <si>
    <t>20100049857</t>
  </si>
  <si>
    <t>20100050359</t>
  </si>
  <si>
    <t>20100051169</t>
  </si>
  <si>
    <t>20100052050</t>
  </si>
  <si>
    <t>20100052564</t>
  </si>
  <si>
    <t>20100055318</t>
  </si>
  <si>
    <t>20100055661</t>
  </si>
  <si>
    <t>20100056802</t>
  </si>
  <si>
    <t>20100057523</t>
  </si>
  <si>
    <t>20100058503</t>
  </si>
  <si>
    <t>20100060150</t>
  </si>
  <si>
    <t>20100063680</t>
  </si>
  <si>
    <t>20100064490</t>
  </si>
  <si>
    <t>20100064571</t>
  </si>
  <si>
    <t>20100065038</t>
  </si>
  <si>
    <t>20100066352</t>
  </si>
  <si>
    <t>20100066867</t>
  </si>
  <si>
    <t>20100067081</t>
  </si>
  <si>
    <t>20100067324</t>
  </si>
  <si>
    <t>20100067596</t>
  </si>
  <si>
    <t>20100067910</t>
  </si>
  <si>
    <t>20100068487</t>
  </si>
  <si>
    <t>20100068649</t>
  </si>
  <si>
    <t>20100068720</t>
  </si>
  <si>
    <t>20100069297</t>
  </si>
  <si>
    <t>20100069963</t>
  </si>
  <si>
    <t>20100070031</t>
  </si>
  <si>
    <t>20100070546</t>
  </si>
  <si>
    <t>20100072247</t>
  </si>
  <si>
    <t>20100073308</t>
  </si>
  <si>
    <t>20100073723</t>
  </si>
  <si>
    <t>20100074029</t>
  </si>
  <si>
    <t>20100074371</t>
  </si>
  <si>
    <t>20100077044</t>
  </si>
  <si>
    <t>20100077630</t>
  </si>
  <si>
    <t>20100078792</t>
  </si>
  <si>
    <t>20100079683</t>
  </si>
  <si>
    <t>20100080002</t>
  </si>
  <si>
    <t>20100080185</t>
  </si>
  <si>
    <t>20100080932</t>
  </si>
  <si>
    <t>20100081157</t>
  </si>
  <si>
    <t>20100081581</t>
  </si>
  <si>
    <t>20100082633</t>
  </si>
  <si>
    <t>20100082803</t>
  </si>
  <si>
    <t>20100083281</t>
  </si>
  <si>
    <t>20100083362</t>
  </si>
  <si>
    <t>20100083877</t>
  </si>
  <si>
    <t>20100084172</t>
  </si>
  <si>
    <t>20100084768</t>
  </si>
  <si>
    <t>20100084920</t>
  </si>
  <si>
    <t>20100085578</t>
  </si>
  <si>
    <t>20100086388</t>
  </si>
  <si>
    <t>20100087198</t>
  </si>
  <si>
    <t>20100089051</t>
  </si>
  <si>
    <t>20100089999</t>
  </si>
  <si>
    <t>20100090067</t>
  </si>
  <si>
    <t>20100091543</t>
  </si>
  <si>
    <t>20100093082</t>
  </si>
  <si>
    <t>20100093830</t>
  </si>
  <si>
    <t>20100094216</t>
  </si>
  <si>
    <t>20100094992</t>
  </si>
  <si>
    <t>20100095298</t>
  </si>
  <si>
    <t>20100095379</t>
  </si>
  <si>
    <t>20100095450</t>
  </si>
  <si>
    <t>20100096260</t>
  </si>
  <si>
    <t>20100096855</t>
  </si>
  <si>
    <t>20100096936</t>
  </si>
  <si>
    <t>20100097746</t>
  </si>
  <si>
    <t>20100099447</t>
  </si>
  <si>
    <t>20100099951</t>
  </si>
  <si>
    <t>20100103223</t>
  </si>
  <si>
    <t>20100107644</t>
  </si>
  <si>
    <t>20100108292</t>
  </si>
  <si>
    <t>20100112214</t>
  </si>
  <si>
    <t>20100113539</t>
  </si>
  <si>
    <t>20100116988</t>
  </si>
  <si>
    <t>20100117364</t>
  </si>
  <si>
    <t>20100117526</t>
  </si>
  <si>
    <t>20100118336</t>
  </si>
  <si>
    <t>20100118506</t>
  </si>
  <si>
    <t>20100118760</t>
  </si>
  <si>
    <t>20100119227</t>
  </si>
  <si>
    <t>20100120314</t>
  </si>
  <si>
    <t>20100120403</t>
  </si>
  <si>
    <t>20100121043</t>
  </si>
  <si>
    <t>20100123411</t>
  </si>
  <si>
    <t>20100123682</t>
  </si>
  <si>
    <t>20100124654</t>
  </si>
  <si>
    <t>20100124735</t>
  </si>
  <si>
    <t>20100126193</t>
  </si>
  <si>
    <t>20100127670</t>
  </si>
  <si>
    <t>20100128137</t>
  </si>
  <si>
    <t>20100128994</t>
  </si>
  <si>
    <t>20100129532</t>
  </si>
  <si>
    <t>20100131278</t>
  </si>
  <si>
    <t>20100131359</t>
  </si>
  <si>
    <t>20100131430</t>
  </si>
  <si>
    <t>20100131863</t>
  </si>
  <si>
    <t>20100131944</t>
  </si>
  <si>
    <t>20100132240</t>
  </si>
  <si>
    <t>20100133050</t>
  </si>
  <si>
    <t>20100134617</t>
  </si>
  <si>
    <t>20100135699</t>
  </si>
  <si>
    <t>20100136156</t>
  </si>
  <si>
    <t>20100136237</t>
  </si>
  <si>
    <t>20100136318</t>
  </si>
  <si>
    <t>20100136580</t>
  </si>
  <si>
    <t>20100136661</t>
  </si>
  <si>
    <t>20100136741</t>
  </si>
  <si>
    <t>20100136822</t>
  </si>
  <si>
    <t>20100137128</t>
  </si>
  <si>
    <t>20100139686</t>
  </si>
  <si>
    <t>20100139848</t>
  </si>
  <si>
    <t>20100140340</t>
  </si>
  <si>
    <t>20100140692</t>
  </si>
  <si>
    <t>20100141150</t>
  </si>
  <si>
    <t>20100141583</t>
  </si>
  <si>
    <t>20100144507</t>
  </si>
  <si>
    <t>20100145902</t>
  </si>
  <si>
    <t>20100146895</t>
  </si>
  <si>
    <t>20100150736</t>
  </si>
  <si>
    <t>20100151627</t>
  </si>
  <si>
    <t>20100151899</t>
  </si>
  <si>
    <t>20100152356</t>
  </si>
  <si>
    <t>20100153751</t>
  </si>
  <si>
    <t>20100153832</t>
  </si>
  <si>
    <t>20100154057</t>
  </si>
  <si>
    <t>20100154138</t>
  </si>
  <si>
    <t>20100154219</t>
  </si>
  <si>
    <t>20100154308</t>
  </si>
  <si>
    <t>20100157315</t>
  </si>
  <si>
    <t>20100160375</t>
  </si>
  <si>
    <t>20100160707</t>
  </si>
  <si>
    <t>20100161771</t>
  </si>
  <si>
    <t>20100162238</t>
  </si>
  <si>
    <t>20100163048</t>
  </si>
  <si>
    <t>20100163391</t>
  </si>
  <si>
    <t>20100163471</t>
  </si>
  <si>
    <t>20100163552</t>
  </si>
  <si>
    <t>20100165504</t>
  </si>
  <si>
    <t>20100165687</t>
  </si>
  <si>
    <t>20100165849</t>
  </si>
  <si>
    <t>20100166144</t>
  </si>
  <si>
    <t>20100166578</t>
  </si>
  <si>
    <t>20100166730</t>
  </si>
  <si>
    <t>20100166811</t>
  </si>
  <si>
    <t>20100170681</t>
  </si>
  <si>
    <t>20100170842</t>
  </si>
  <si>
    <t>20100171814</t>
  </si>
  <si>
    <t>20100172543</t>
  </si>
  <si>
    <t>20100173191</t>
  </si>
  <si>
    <t>20100174911</t>
  </si>
  <si>
    <t>20100175569</t>
  </si>
  <si>
    <t>20100177421</t>
  </si>
  <si>
    <t>20100180481</t>
  </si>
  <si>
    <t>20100182778</t>
  </si>
  <si>
    <t>20100182859</t>
  </si>
  <si>
    <t>20100183588</t>
  </si>
  <si>
    <t>20100183740</t>
  </si>
  <si>
    <t>20100189942</t>
  </si>
  <si>
    <t>20100193117</t>
  </si>
  <si>
    <t>20100195080</t>
  </si>
  <si>
    <t>20100199743</t>
  </si>
  <si>
    <t>20100226813</t>
  </si>
  <si>
    <t>20100227461</t>
  </si>
  <si>
    <t>20100227542</t>
  </si>
  <si>
    <t>20100231817</t>
  </si>
  <si>
    <t>20100244391</t>
  </si>
  <si>
    <t>20100245796</t>
  </si>
  <si>
    <t>20100249350</t>
  </si>
  <si>
    <t>20100257298</t>
  </si>
  <si>
    <t>20100257964</t>
  </si>
  <si>
    <t>20100260591</t>
  </si>
  <si>
    <t>20100261481</t>
  </si>
  <si>
    <t>20100263182</t>
  </si>
  <si>
    <t>20100266874</t>
  </si>
  <si>
    <t>20100268575</t>
  </si>
  <si>
    <t>20100269385</t>
  </si>
  <si>
    <t>20100274621</t>
  </si>
  <si>
    <t>20100277485</t>
  </si>
  <si>
    <t>20100281245</t>
  </si>
  <si>
    <t>20100282721</t>
  </si>
  <si>
    <t>20100283027</t>
  </si>
  <si>
    <t>20100287791</t>
  </si>
  <si>
    <t>20100292956</t>
  </si>
  <si>
    <t>20100293928</t>
  </si>
  <si>
    <t>20100300053</t>
  </si>
  <si>
    <t>20100300991</t>
  </si>
  <si>
    <t>20100302773</t>
  </si>
  <si>
    <t>20100310288</t>
  </si>
  <si>
    <t>20100312736</t>
  </si>
  <si>
    <t>20100316138</t>
  </si>
  <si>
    <t>20100318696</t>
  </si>
  <si>
    <t>20100320321</t>
  </si>
  <si>
    <t>20100323932</t>
  </si>
  <si>
    <t>20100328225</t>
  </si>
  <si>
    <t>20100328497</t>
  </si>
  <si>
    <t>20100330475</t>
  </si>
  <si>
    <t>20100331285</t>
  </si>
  <si>
    <t>20100334381</t>
  </si>
  <si>
    <t>20100334624</t>
  </si>
  <si>
    <t>20100337992</t>
  </si>
  <si>
    <t>20100343887</t>
  </si>
  <si>
    <t>20100346479</t>
  </si>
  <si>
    <t>20100351804</t>
  </si>
  <si>
    <t>20100352525</t>
  </si>
  <si>
    <t>20100365007</t>
  </si>
  <si>
    <t>20100366151</t>
  </si>
  <si>
    <t>20100371741</t>
  </si>
  <si>
    <t>20100372551</t>
  </si>
  <si>
    <t>20100373956</t>
  </si>
  <si>
    <t>20100378168</t>
  </si>
  <si>
    <t>20100388121</t>
  </si>
  <si>
    <t>20100403294</t>
  </si>
  <si>
    <t>20100412447</t>
  </si>
  <si>
    <t>20100416949</t>
  </si>
  <si>
    <t>20100456495</t>
  </si>
  <si>
    <t>20100488427</t>
  </si>
  <si>
    <t>20100490324</t>
  </si>
  <si>
    <t>20100509441</t>
  </si>
  <si>
    <t>20100539439</t>
  </si>
  <si>
    <t>20100544866</t>
  </si>
  <si>
    <t>20100562848</t>
  </si>
  <si>
    <t>20100576989</t>
  </si>
  <si>
    <t>20100582792</t>
  </si>
  <si>
    <t>20100582954</t>
  </si>
  <si>
    <t>20100633702</t>
  </si>
  <si>
    <t>20100639654</t>
  </si>
  <si>
    <t>20100652596</t>
  </si>
  <si>
    <t>20100654025</t>
  </si>
  <si>
    <t>20100675618</t>
  </si>
  <si>
    <t>20100717558</t>
  </si>
  <si>
    <t>20100718872</t>
  </si>
  <si>
    <t>20100725810</t>
  </si>
  <si>
    <t>20100727278</t>
  </si>
  <si>
    <t>20100727359</t>
  </si>
  <si>
    <t>20100737826</t>
  </si>
  <si>
    <t>20100814162</t>
  </si>
  <si>
    <t>20100842964</t>
  </si>
  <si>
    <t>20100853907</t>
  </si>
  <si>
    <t>20100873410</t>
  </si>
  <si>
    <t>20100898242</t>
  </si>
  <si>
    <t>20100938139</t>
  </si>
  <si>
    <t>20100957435</t>
  </si>
  <si>
    <t>20100963834</t>
  </si>
  <si>
    <t>20100966264</t>
  </si>
  <si>
    <t>20100970377</t>
  </si>
  <si>
    <t>20100973473</t>
  </si>
  <si>
    <t>20100975841</t>
  </si>
  <si>
    <t>20100977037</t>
  </si>
  <si>
    <t>20100985722</t>
  </si>
  <si>
    <t>20100990998</t>
  </si>
  <si>
    <t>20101009174</t>
  </si>
  <si>
    <t>20101009255</t>
  </si>
  <si>
    <t>20101010181</t>
  </si>
  <si>
    <t>20101030882</t>
  </si>
  <si>
    <t>20101031340</t>
  </si>
  <si>
    <t>20101037623</t>
  </si>
  <si>
    <t>20101052771</t>
  </si>
  <si>
    <t>20101053157</t>
  </si>
  <si>
    <t>20101064515</t>
  </si>
  <si>
    <t>20101065759</t>
  </si>
  <si>
    <t>20101066992</t>
  </si>
  <si>
    <t>20101067379</t>
  </si>
  <si>
    <t>20101077099</t>
  </si>
  <si>
    <t>20101078818</t>
  </si>
  <si>
    <t>20101085199</t>
  </si>
  <si>
    <t>20101087566</t>
  </si>
  <si>
    <t>20101087647</t>
  </si>
  <si>
    <t>20101093027</t>
  </si>
  <si>
    <t>20101132880</t>
  </si>
  <si>
    <t>20101152210</t>
  </si>
  <si>
    <t>20101155405</t>
  </si>
  <si>
    <t>20101161634</t>
  </si>
  <si>
    <t>20101198805</t>
  </si>
  <si>
    <t>20101217010</t>
  </si>
  <si>
    <t>20101228992</t>
  </si>
  <si>
    <t>20101253750</t>
  </si>
  <si>
    <t>20101260373</t>
  </si>
  <si>
    <t>20101268943</t>
  </si>
  <si>
    <t>20101269834</t>
  </si>
  <si>
    <t>20101275133</t>
  </si>
  <si>
    <t>20101281371</t>
  </si>
  <si>
    <t>20101281451</t>
  </si>
  <si>
    <t>20101283403</t>
  </si>
  <si>
    <t>20101284981</t>
  </si>
  <si>
    <t>20101293115</t>
  </si>
  <si>
    <t>20101294359</t>
  </si>
  <si>
    <t>20101308678</t>
  </si>
  <si>
    <t>20101320023</t>
  </si>
  <si>
    <t>20101323634</t>
  </si>
  <si>
    <t>20101327036</t>
  </si>
  <si>
    <t>20101330410</t>
  </si>
  <si>
    <t>20101331653</t>
  </si>
  <si>
    <t>20101341535</t>
  </si>
  <si>
    <t>20101391397</t>
  </si>
  <si>
    <t>20101392369</t>
  </si>
  <si>
    <t>20101414273</t>
  </si>
  <si>
    <t>20101461786</t>
  </si>
  <si>
    <t>20101462081</t>
  </si>
  <si>
    <t>20101469841</t>
  </si>
  <si>
    <t>20101520898</t>
  </si>
  <si>
    <t>20101562388</t>
  </si>
  <si>
    <t>20101600735</t>
  </si>
  <si>
    <t>20101602860</t>
  </si>
  <si>
    <t>20101613390</t>
  </si>
  <si>
    <t>20101635440</t>
  </si>
  <si>
    <t>20101637221</t>
  </si>
  <si>
    <t>20101701175</t>
  </si>
  <si>
    <t>20101705839</t>
  </si>
  <si>
    <t>20101717098</t>
  </si>
  <si>
    <t>20101759688</t>
  </si>
  <si>
    <t>20101796532</t>
  </si>
  <si>
    <t>20101813305</t>
  </si>
  <si>
    <t>20101839444</t>
  </si>
  <si>
    <t>20101842071</t>
  </si>
  <si>
    <t>20101849679</t>
  </si>
  <si>
    <t>20101859399</t>
  </si>
  <si>
    <t>20101869947</t>
  </si>
  <si>
    <t>20101887414</t>
  </si>
  <si>
    <t>20101914080</t>
  </si>
  <si>
    <t>20101927904</t>
  </si>
  <si>
    <t>20101949380</t>
  </si>
  <si>
    <t>20101965156</t>
  </si>
  <si>
    <t>20101984291</t>
  </si>
  <si>
    <t>20102001053</t>
  </si>
  <si>
    <t>20102021674</t>
  </si>
  <si>
    <t>20102021836</t>
  </si>
  <si>
    <t>20102032951</t>
  </si>
  <si>
    <t>20102048106</t>
  </si>
  <si>
    <t>20102078781</t>
  </si>
  <si>
    <t>20102124139</t>
  </si>
  <si>
    <t>20102127073</t>
  </si>
  <si>
    <t>20102179898</t>
  </si>
  <si>
    <t>20102193025</t>
  </si>
  <si>
    <t>20102262361</t>
  </si>
  <si>
    <t>20102269617</t>
  </si>
  <si>
    <t>20102297581</t>
  </si>
  <si>
    <t>20102301286</t>
  </si>
  <si>
    <t>20102305273</t>
  </si>
  <si>
    <t>20102310781</t>
  </si>
  <si>
    <t>20102427891</t>
  </si>
  <si>
    <t>20102502001</t>
  </si>
  <si>
    <t>20102728743</t>
  </si>
  <si>
    <t>20103272964</t>
  </si>
  <si>
    <t>20103744211</t>
  </si>
  <si>
    <t>20103795631</t>
  </si>
  <si>
    <t>20103829802</t>
  </si>
  <si>
    <t>20103913340</t>
  </si>
  <si>
    <t>20103967199</t>
  </si>
  <si>
    <t>20103973245</t>
  </si>
  <si>
    <t>20104121374</t>
  </si>
  <si>
    <t>20104420282</t>
  </si>
  <si>
    <t>20104498044</t>
  </si>
  <si>
    <t>20104582428</t>
  </si>
  <si>
    <t>20104624104</t>
  </si>
  <si>
    <t>20106498386</t>
  </si>
  <si>
    <t>20106566721</t>
  </si>
  <si>
    <t>20106651087</t>
  </si>
  <si>
    <t>20106653705</t>
  </si>
  <si>
    <t>20106725200</t>
  </si>
  <si>
    <t>20106740004</t>
  </si>
  <si>
    <t>20106785288</t>
  </si>
  <si>
    <t>20106831654</t>
  </si>
  <si>
    <t>20106876321</t>
  </si>
  <si>
    <t>20106896276</t>
  </si>
  <si>
    <t>20106975737</t>
  </si>
  <si>
    <t>20107012011</t>
  </si>
  <si>
    <t>20107090674</t>
  </si>
  <si>
    <t>20107099892</t>
  </si>
  <si>
    <t>20107269054</t>
  </si>
  <si>
    <t>20107274724</t>
  </si>
  <si>
    <t>20107290177</t>
  </si>
  <si>
    <t>20107301128</t>
  </si>
  <si>
    <t>20107463705</t>
  </si>
  <si>
    <t>20107498088</t>
  </si>
  <si>
    <t>20107745948</t>
  </si>
  <si>
    <t>20107751913</t>
  </si>
  <si>
    <t>20107760581</t>
  </si>
  <si>
    <t>20107798049</t>
  </si>
  <si>
    <t>20107894609</t>
  </si>
  <si>
    <t>20107895168</t>
  </si>
  <si>
    <t>20107945793</t>
  </si>
  <si>
    <t>20107974467</t>
  </si>
  <si>
    <t>20107977130</t>
  </si>
  <si>
    <t>20108001535</t>
  </si>
  <si>
    <t>20108022702</t>
  </si>
  <si>
    <t>20108236842</t>
  </si>
  <si>
    <t>20108237148</t>
  </si>
  <si>
    <t>20108552841</t>
  </si>
  <si>
    <t>20108572958</t>
  </si>
  <si>
    <t>20108629909</t>
  </si>
  <si>
    <t>20108736659</t>
  </si>
  <si>
    <t>20108759519</t>
  </si>
  <si>
    <t>20109068498</t>
  </si>
  <si>
    <t>20109099377</t>
  </si>
  <si>
    <t>20109221601</t>
  </si>
  <si>
    <t>20109225003</t>
  </si>
  <si>
    <t>20109232981</t>
  </si>
  <si>
    <t>20109346722</t>
  </si>
  <si>
    <t>20109436713</t>
  </si>
  <si>
    <t>20109714039</t>
  </si>
  <si>
    <t>20109730743</t>
  </si>
  <si>
    <t>20109796841</t>
  </si>
  <si>
    <t>20109888291</t>
  </si>
  <si>
    <t>20109922731</t>
  </si>
  <si>
    <t>20109925757</t>
  </si>
  <si>
    <t>20109930751</t>
  </si>
  <si>
    <t>20109969452</t>
  </si>
  <si>
    <t>20109986462</t>
  </si>
  <si>
    <t>20109989992</t>
  </si>
  <si>
    <t>20110133091</t>
  </si>
  <si>
    <t>20110200201</t>
  </si>
  <si>
    <t>20110343907</t>
  </si>
  <si>
    <t>20110366516</t>
  </si>
  <si>
    <t>20110366605</t>
  </si>
  <si>
    <t>20110378956</t>
  </si>
  <si>
    <t>20110386894</t>
  </si>
  <si>
    <t>20110598646</t>
  </si>
  <si>
    <t>20110694955</t>
  </si>
  <si>
    <t>20110731826</t>
  </si>
  <si>
    <t>20110837144</t>
  </si>
  <si>
    <t>20111035378</t>
  </si>
  <si>
    <t>20111451592</t>
  </si>
  <si>
    <t>20111807958</t>
  </si>
  <si>
    <t>20111876097</t>
  </si>
  <si>
    <t>20112291238</t>
  </si>
  <si>
    <t>20112316249</t>
  </si>
  <si>
    <t>20112328174</t>
  </si>
  <si>
    <t>20112841912</t>
  </si>
  <si>
    <t>20112844423</t>
  </si>
  <si>
    <t>20112949101</t>
  </si>
  <si>
    <t>20113642093</t>
  </si>
  <si>
    <t>20115039262</t>
  </si>
  <si>
    <t>20115683196</t>
  </si>
  <si>
    <t>20116225779</t>
  </si>
  <si>
    <t>20116544289</t>
  </si>
  <si>
    <t>20117248179</t>
  </si>
  <si>
    <t>20117331823</t>
  </si>
  <si>
    <t>20117332714</t>
  </si>
  <si>
    <t>20117336205</t>
  </si>
  <si>
    <t>20117452531</t>
  </si>
  <si>
    <t>20117920144</t>
  </si>
  <si>
    <t>20118504055</t>
  </si>
  <si>
    <t>20118792174</t>
  </si>
  <si>
    <t>20119194998</t>
  </si>
  <si>
    <t>20119546851</t>
  </si>
  <si>
    <t>20121685435</t>
  </si>
  <si>
    <t>20122667741</t>
  </si>
  <si>
    <t>20122742114</t>
  </si>
  <si>
    <t>20122882048</t>
  </si>
  <si>
    <t>20122895883</t>
  </si>
  <si>
    <t>20123053037</t>
  </si>
  <si>
    <t>20123316658</t>
  </si>
  <si>
    <t>20123444656</t>
  </si>
  <si>
    <t>20123531389</t>
  </si>
  <si>
    <t>20123760141</t>
  </si>
  <si>
    <t>20123812477</t>
  </si>
  <si>
    <t>20124193339</t>
  </si>
  <si>
    <t>20125327509</t>
  </si>
  <si>
    <t>20125396811</t>
  </si>
  <si>
    <t>20125508716</t>
  </si>
  <si>
    <t>20125625780</t>
  </si>
  <si>
    <t>20125860193</t>
  </si>
  <si>
    <t>20125959483</t>
  </si>
  <si>
    <t>20126702737</t>
  </si>
  <si>
    <t>20127745910</t>
  </si>
  <si>
    <t>20128808711</t>
  </si>
  <si>
    <t>20128894889</t>
  </si>
  <si>
    <t>20128915711</t>
  </si>
  <si>
    <t>20128967606</t>
  </si>
  <si>
    <t>20129646099</t>
  </si>
  <si>
    <t>20129854953</t>
  </si>
  <si>
    <t>20131300353</t>
  </si>
  <si>
    <t>20131308095</t>
  </si>
  <si>
    <t>20131495006</t>
  </si>
  <si>
    <t>20131529008</t>
  </si>
  <si>
    <t>20131529181</t>
  </si>
  <si>
    <t>20131551437</t>
  </si>
  <si>
    <t>20131609290</t>
  </si>
  <si>
    <t>20131823020</t>
  </si>
  <si>
    <t>20131867744</t>
  </si>
  <si>
    <t>20131895365</t>
  </si>
  <si>
    <t>20132023540</t>
  </si>
  <si>
    <t>20132162230</t>
  </si>
  <si>
    <t>20132367800</t>
  </si>
  <si>
    <t>20132373958</t>
  </si>
  <si>
    <t>20132521655</t>
  </si>
  <si>
    <t>20132712086</t>
  </si>
  <si>
    <t>20133530003</t>
  </si>
  <si>
    <t>20133860992</t>
  </si>
  <si>
    <t>20135414931</t>
  </si>
  <si>
    <t>20135674410</t>
  </si>
  <si>
    <t>20135948641</t>
  </si>
  <si>
    <t>20136036778</t>
  </si>
  <si>
    <t>20136150473</t>
  </si>
  <si>
    <t>20136435397</t>
  </si>
  <si>
    <t>20136472675</t>
  </si>
  <si>
    <t>20136492277</t>
  </si>
  <si>
    <t>20136507720</t>
  </si>
  <si>
    <t>20136740351</t>
  </si>
  <si>
    <t>20136836545</t>
  </si>
  <si>
    <t>20136847237</t>
  </si>
  <si>
    <t>20136890329</t>
  </si>
  <si>
    <t>20136974697</t>
  </si>
  <si>
    <t>20137021014</t>
  </si>
  <si>
    <t>20137076935</t>
  </si>
  <si>
    <t>20137114705</t>
  </si>
  <si>
    <t>20137117712</t>
  </si>
  <si>
    <t>20137422604</t>
  </si>
  <si>
    <t>20137976171</t>
  </si>
  <si>
    <t>20138069347</t>
  </si>
  <si>
    <t>20138122256</t>
  </si>
  <si>
    <t>20138861300</t>
  </si>
  <si>
    <t>20140181405</t>
  </si>
  <si>
    <t>20140441083</t>
  </si>
  <si>
    <t>20140476545</t>
  </si>
  <si>
    <t>20140688640</t>
  </si>
  <si>
    <t>20141189850</t>
  </si>
  <si>
    <t>20141723601</t>
  </si>
  <si>
    <t>20142586712</t>
  </si>
  <si>
    <t>20143229816</t>
  </si>
  <si>
    <t>20143305857</t>
  </si>
  <si>
    <t>20143843328</t>
  </si>
  <si>
    <t>20143844723</t>
  </si>
  <si>
    <t>20144118872</t>
  </si>
  <si>
    <t>20144215649</t>
  </si>
  <si>
    <t>20144976411</t>
  </si>
  <si>
    <t>20145259551</t>
  </si>
  <si>
    <t>20147883952</t>
  </si>
  <si>
    <t>20152960621</t>
  </si>
  <si>
    <t>20153089401</t>
  </si>
  <si>
    <t>20153154237</t>
  </si>
  <si>
    <t>20153187755</t>
  </si>
  <si>
    <t>20154913611</t>
  </si>
  <si>
    <t>20154981021</t>
  </si>
  <si>
    <t>20156178889</t>
  </si>
  <si>
    <t>20160272784</t>
  </si>
  <si>
    <t>20160286068</t>
  </si>
  <si>
    <t>20160479290</t>
  </si>
  <si>
    <t>20160641810</t>
  </si>
  <si>
    <t>20161636780</t>
  </si>
  <si>
    <t>20161946037</t>
  </si>
  <si>
    <t>20162348931</t>
  </si>
  <si>
    <t>20163901197</t>
  </si>
  <si>
    <t>20164113532</t>
  </si>
  <si>
    <t>20164766251</t>
  </si>
  <si>
    <t>20165317581</t>
  </si>
  <si>
    <t>20165555253</t>
  </si>
  <si>
    <t>20166125961</t>
  </si>
  <si>
    <t>20167921109</t>
  </si>
  <si>
    <t>20167930868</t>
  </si>
  <si>
    <t>20168707224</t>
  </si>
  <si>
    <t>20170276621</t>
  </si>
  <si>
    <t>20170291345</t>
  </si>
  <si>
    <t>20171036284</t>
  </si>
  <si>
    <t>20171586608</t>
  </si>
  <si>
    <t>20171707596</t>
  </si>
  <si>
    <t>20174513245</t>
  </si>
  <si>
    <t>20175140591</t>
  </si>
  <si>
    <t>20175346962</t>
  </si>
  <si>
    <t>20176539977</t>
  </si>
  <si>
    <t>20179664306</t>
  </si>
  <si>
    <t>20180516647</t>
  </si>
  <si>
    <t>20184569745</t>
  </si>
  <si>
    <t>20191308868</t>
  </si>
  <si>
    <t>20193696920</t>
  </si>
  <si>
    <t>20195011169</t>
  </si>
  <si>
    <t>20195023418</t>
  </si>
  <si>
    <t>20196261487</t>
  </si>
  <si>
    <t>20196629000</t>
  </si>
  <si>
    <t>20196725149</t>
  </si>
  <si>
    <t>20196785044</t>
  </si>
  <si>
    <t>20201146497</t>
  </si>
  <si>
    <t>20202576878</t>
  </si>
  <si>
    <t>20203082739</t>
  </si>
  <si>
    <t>20203610263</t>
  </si>
  <si>
    <t>20203650729</t>
  </si>
  <si>
    <t>20204441007</t>
  </si>
  <si>
    <t>20204844381</t>
  </si>
  <si>
    <t>20204921807</t>
  </si>
  <si>
    <t>20205572229</t>
  </si>
  <si>
    <t>20206018411</t>
  </si>
  <si>
    <t>20206228815</t>
  </si>
  <si>
    <t>20206553481</t>
  </si>
  <si>
    <t>20207080005</t>
  </si>
  <si>
    <t>20207190285</t>
  </si>
  <si>
    <t>20207770796</t>
  </si>
  <si>
    <t>20208423003</t>
  </si>
  <si>
    <t>20209685834</t>
  </si>
  <si>
    <t>20210456831</t>
  </si>
  <si>
    <t>20211683199</t>
  </si>
  <si>
    <t>20212149145</t>
  </si>
  <si>
    <t>20212331377</t>
  </si>
  <si>
    <t>20212561534</t>
  </si>
  <si>
    <t>20213552083</t>
  </si>
  <si>
    <t>20214822009</t>
  </si>
  <si>
    <t>20215528791</t>
  </si>
  <si>
    <t>20217265674</t>
  </si>
  <si>
    <t>20221084684</t>
  </si>
  <si>
    <t>20222335052</t>
  </si>
  <si>
    <t>20250447117</t>
  </si>
  <si>
    <t>20251293181</t>
  </si>
  <si>
    <t>20251339351</t>
  </si>
  <si>
    <t>20251352292</t>
  </si>
  <si>
    <t>20251715191</t>
  </si>
  <si>
    <t>20252011910</t>
  </si>
  <si>
    <t>20252254651</t>
  </si>
  <si>
    <t>20252575457</t>
  </si>
  <si>
    <t>20253128641</t>
  </si>
  <si>
    <t>20253259826</t>
  </si>
  <si>
    <t>20253339005</t>
  </si>
  <si>
    <t>20253462389</t>
  </si>
  <si>
    <t>20253768119</t>
  </si>
  <si>
    <t>20254053822</t>
  </si>
  <si>
    <t>20254138577</t>
  </si>
  <si>
    <t>20254160742</t>
  </si>
  <si>
    <t>20254300188</t>
  </si>
  <si>
    <t>20254305066</t>
  </si>
  <si>
    <t>20254765652</t>
  </si>
  <si>
    <t>20254929353</t>
  </si>
  <si>
    <t>20255133986</t>
  </si>
  <si>
    <t>20255135253</t>
  </si>
  <si>
    <t>20255172884</t>
  </si>
  <si>
    <t>20255254937</t>
  </si>
  <si>
    <t>20255315669</t>
  </si>
  <si>
    <t>20255322363</t>
  </si>
  <si>
    <t>20256211310</t>
  </si>
  <si>
    <t>20256265916</t>
  </si>
  <si>
    <t>20256459010</t>
  </si>
  <si>
    <t>20256602343</t>
  </si>
  <si>
    <t>20256983479</t>
  </si>
  <si>
    <t>20257319564</t>
  </si>
  <si>
    <t>20257364357</t>
  </si>
  <si>
    <t>20257364608</t>
  </si>
  <si>
    <t>20257676910</t>
  </si>
  <si>
    <t>20258505213</t>
  </si>
  <si>
    <t>20258886420</t>
  </si>
  <si>
    <t>20258908849</t>
  </si>
  <si>
    <t>20259171891</t>
  </si>
  <si>
    <t>20259318310</t>
  </si>
  <si>
    <t>20259544247</t>
  </si>
  <si>
    <t>20259551022</t>
  </si>
  <si>
    <t>20259661553</t>
  </si>
  <si>
    <t>20259778582</t>
  </si>
  <si>
    <t>20259814210</t>
  </si>
  <si>
    <t>20259940860</t>
  </si>
  <si>
    <t>20260047567</t>
  </si>
  <si>
    <t>20260189868</t>
  </si>
  <si>
    <t>20260305795</t>
  </si>
  <si>
    <t>20260440901</t>
  </si>
  <si>
    <t>20261126568</t>
  </si>
  <si>
    <t>20261898706</t>
  </si>
  <si>
    <t>20262207006</t>
  </si>
  <si>
    <t>20262221335</t>
  </si>
  <si>
    <t>20262241441</t>
  </si>
  <si>
    <t>20262254268</t>
  </si>
  <si>
    <t>20262276407</t>
  </si>
  <si>
    <t>20262463771</t>
  </si>
  <si>
    <t>20262561781</t>
  </si>
  <si>
    <t>20262786511</t>
  </si>
  <si>
    <t>20262850545</t>
  </si>
  <si>
    <t>20262996329</t>
  </si>
  <si>
    <t>20263019807</t>
  </si>
  <si>
    <t>20263158327</t>
  </si>
  <si>
    <t>20263322496</t>
  </si>
  <si>
    <t>20263408293</t>
  </si>
  <si>
    <t>20263674929</t>
  </si>
  <si>
    <t>20264592497</t>
  </si>
  <si>
    <t>20264846855</t>
  </si>
  <si>
    <t>20265031677</t>
  </si>
  <si>
    <t>20265681299</t>
  </si>
  <si>
    <t>20265733515</t>
  </si>
  <si>
    <t>20265815830</t>
  </si>
  <si>
    <t>20266409461</t>
  </si>
  <si>
    <t>20266488743</t>
  </si>
  <si>
    <t>20266596805</t>
  </si>
  <si>
    <t>20267163228</t>
  </si>
  <si>
    <t>20267178331</t>
  </si>
  <si>
    <t>20267554090</t>
  </si>
  <si>
    <t>20267910813</t>
  </si>
  <si>
    <t>20268248936</t>
  </si>
  <si>
    <t>20268523821</t>
  </si>
  <si>
    <t>20268562053</t>
  </si>
  <si>
    <t>20268911082</t>
  </si>
  <si>
    <t>20269180731</t>
  </si>
  <si>
    <t>20269215624</t>
  </si>
  <si>
    <t>20269493519</t>
  </si>
  <si>
    <t>20269764211</t>
  </si>
  <si>
    <t>20269863626</t>
  </si>
  <si>
    <t>20282801141</t>
  </si>
  <si>
    <t>20289907743</t>
  </si>
  <si>
    <t>20291334335</t>
  </si>
  <si>
    <t>20291398902</t>
  </si>
  <si>
    <t>20293331066</t>
  </si>
  <si>
    <t>20293651729</t>
  </si>
  <si>
    <t>20293670600</t>
  </si>
  <si>
    <t>20293755770</t>
  </si>
  <si>
    <t>20293774308</t>
  </si>
  <si>
    <t>20293847038</t>
  </si>
  <si>
    <t>20294560204</t>
  </si>
  <si>
    <t>20294789457</t>
  </si>
  <si>
    <t>20294845896</t>
  </si>
  <si>
    <t>20295458551</t>
  </si>
  <si>
    <t>20295734681</t>
  </si>
  <si>
    <t>20296136728</t>
  </si>
  <si>
    <t>20297005244</t>
  </si>
  <si>
    <t>20297154673</t>
  </si>
  <si>
    <t>20297182456</t>
  </si>
  <si>
    <t>20297299051</t>
  </si>
  <si>
    <t>20297386531</t>
  </si>
  <si>
    <t>20297543653</t>
  </si>
  <si>
    <t>20297687655</t>
  </si>
  <si>
    <t>20297885538</t>
  </si>
  <si>
    <t>20297939131</t>
  </si>
  <si>
    <t>20297986130</t>
  </si>
  <si>
    <t>20298669707</t>
  </si>
  <si>
    <t>20298674611</t>
  </si>
  <si>
    <t>20299634443</t>
  </si>
  <si>
    <t>20299982484</t>
  </si>
  <si>
    <t>20300263578</t>
  </si>
  <si>
    <t>20300454080</t>
  </si>
  <si>
    <t>20301171316</t>
  </si>
  <si>
    <t>20301409151</t>
  </si>
  <si>
    <t>20301494590</t>
  </si>
  <si>
    <t>20301695145</t>
  </si>
  <si>
    <t>20301821388</t>
  </si>
  <si>
    <t>20301837896</t>
  </si>
  <si>
    <t>20301909986</t>
  </si>
  <si>
    <t>20302091766</t>
  </si>
  <si>
    <t>20302114481</t>
  </si>
  <si>
    <t>20302218774</t>
  </si>
  <si>
    <t>20302241598</t>
  </si>
  <si>
    <t>20302459381</t>
  </si>
  <si>
    <t>20302888231</t>
  </si>
  <si>
    <t>20303051831</t>
  </si>
  <si>
    <t>20303063413</t>
  </si>
  <si>
    <t>20303063766</t>
  </si>
  <si>
    <t>20303115405</t>
  </si>
  <si>
    <t>20303368877</t>
  </si>
  <si>
    <t>20303585622</t>
  </si>
  <si>
    <t>20303912682</t>
  </si>
  <si>
    <t>20303972821</t>
  </si>
  <si>
    <t>20304312271</t>
  </si>
  <si>
    <t>20304576929</t>
  </si>
  <si>
    <t>20304634554</t>
  </si>
  <si>
    <t>20305012417</t>
  </si>
  <si>
    <t>20305058085</t>
  </si>
  <si>
    <t>20305146618</t>
  </si>
  <si>
    <t>20305416933</t>
  </si>
  <si>
    <t>20305556786</t>
  </si>
  <si>
    <t>20305673669</t>
  </si>
  <si>
    <t>20305875296</t>
  </si>
  <si>
    <t>20305909611</t>
  </si>
  <si>
    <t>20306126475</t>
  </si>
  <si>
    <t>20306219996</t>
  </si>
  <si>
    <t>20306302621</t>
  </si>
  <si>
    <t>20306459954</t>
  </si>
  <si>
    <t>20307235545</t>
  </si>
  <si>
    <t>20307436958</t>
  </si>
  <si>
    <t>20307548322</t>
  </si>
  <si>
    <t>20307791936</t>
  </si>
  <si>
    <t>20308039731</t>
  </si>
  <si>
    <t>20308430457</t>
  </si>
  <si>
    <t>20308445641</t>
  </si>
  <si>
    <t>20308497951</t>
  </si>
  <si>
    <t>20308574700</t>
  </si>
  <si>
    <t>20309525532</t>
  </si>
  <si>
    <t>20310422755</t>
  </si>
  <si>
    <t>20311765222</t>
  </si>
  <si>
    <t>20312372895</t>
  </si>
  <si>
    <t>20317025425</t>
  </si>
  <si>
    <t>20318171701</t>
  </si>
  <si>
    <t>20324203118</t>
  </si>
  <si>
    <t>20325117835</t>
  </si>
  <si>
    <t>20325493811</t>
  </si>
  <si>
    <t>20327397258</t>
  </si>
  <si>
    <t>20329409270</t>
  </si>
  <si>
    <t>20329436323</t>
  </si>
  <si>
    <t>20329537278</t>
  </si>
  <si>
    <t>20329725431</t>
  </si>
  <si>
    <t>20329820263</t>
  </si>
  <si>
    <t>20329921531</t>
  </si>
  <si>
    <t>20330011930</t>
  </si>
  <si>
    <t>20330286874</t>
  </si>
  <si>
    <t>20330410478</t>
  </si>
  <si>
    <t>20330693917</t>
  </si>
  <si>
    <t>20330791501</t>
  </si>
  <si>
    <t>20330822661</t>
  </si>
  <si>
    <t>20330862450</t>
  </si>
  <si>
    <t>20331955249</t>
  </si>
  <si>
    <t>20332940008</t>
  </si>
  <si>
    <t>20333372216</t>
  </si>
  <si>
    <t>20333562341</t>
  </si>
  <si>
    <t>20334089941</t>
  </si>
  <si>
    <t>20334403166</t>
  </si>
  <si>
    <t>20334539149</t>
  </si>
  <si>
    <t>20334766714</t>
  </si>
  <si>
    <t>20335082801</t>
  </si>
  <si>
    <t>20335829434</t>
  </si>
  <si>
    <t>20336895783</t>
  </si>
  <si>
    <t>20337771085</t>
  </si>
  <si>
    <t>20338048905</t>
  </si>
  <si>
    <t>20338205261</t>
  </si>
  <si>
    <t>20338309041</t>
  </si>
  <si>
    <t>20338352728</t>
  </si>
  <si>
    <t>20338405864</t>
  </si>
  <si>
    <t>20338426781</t>
  </si>
  <si>
    <t>20338570041</t>
  </si>
  <si>
    <t>20338598301</t>
  </si>
  <si>
    <t>20338646802</t>
  </si>
  <si>
    <t>20338846305</t>
  </si>
  <si>
    <t>20338974991</t>
  </si>
  <si>
    <t>20339489565</t>
  </si>
  <si>
    <t>20340319169</t>
  </si>
  <si>
    <t>20341137935</t>
  </si>
  <si>
    <t>20341843996</t>
  </si>
  <si>
    <t>20342020870</t>
  </si>
  <si>
    <t>20342347950</t>
  </si>
  <si>
    <t>20342660429</t>
  </si>
  <si>
    <t>20342762779</t>
  </si>
  <si>
    <t>20342868844</t>
  </si>
  <si>
    <t>20343443961</t>
  </si>
  <si>
    <t>20343758287</t>
  </si>
  <si>
    <t>20344769932</t>
  </si>
  <si>
    <t>20344877158</t>
  </si>
  <si>
    <t>20344966096</t>
  </si>
  <si>
    <t>20345446894</t>
  </si>
  <si>
    <t>20346669625</t>
  </si>
  <si>
    <t>20346814731</t>
  </si>
  <si>
    <t>20346833280</t>
  </si>
  <si>
    <t>20346949318</t>
  </si>
  <si>
    <t>20347029697</t>
  </si>
  <si>
    <t>20347100316</t>
  </si>
  <si>
    <t>20347196917</t>
  </si>
  <si>
    <t>20347258611</t>
  </si>
  <si>
    <t>20347268683</t>
  </si>
  <si>
    <t>20347644502</t>
  </si>
  <si>
    <t>20348067053</t>
  </si>
  <si>
    <t>20348266684</t>
  </si>
  <si>
    <t>20348511824</t>
  </si>
  <si>
    <t>20348535685</t>
  </si>
  <si>
    <t>20348682980</t>
  </si>
  <si>
    <t>20349304903</t>
  </si>
  <si>
    <t>20349422850</t>
  </si>
  <si>
    <t>20349792193</t>
  </si>
  <si>
    <t>20356922311</t>
  </si>
  <si>
    <t>20363394541</t>
  </si>
  <si>
    <t>20367472694</t>
  </si>
  <si>
    <t>20370038083</t>
  </si>
  <si>
    <t>20370337668</t>
  </si>
  <si>
    <t>20372399687</t>
  </si>
  <si>
    <t>20372706288</t>
  </si>
  <si>
    <t>20373573249</t>
  </si>
  <si>
    <t>20373651223</t>
  </si>
  <si>
    <t>20373697720</t>
  </si>
  <si>
    <t>20373860736</t>
  </si>
  <si>
    <t>20374041011</t>
  </si>
  <si>
    <t>20374154304</t>
  </si>
  <si>
    <t>20374412524</t>
  </si>
  <si>
    <t>20375312868</t>
  </si>
  <si>
    <t>20375361991</t>
  </si>
  <si>
    <t>20375862779</t>
  </si>
  <si>
    <t>20376181015</t>
  </si>
  <si>
    <t>20376289215</t>
  </si>
  <si>
    <t>20376641466</t>
  </si>
  <si>
    <t>20376729126</t>
  </si>
  <si>
    <t>20377294778</t>
  </si>
  <si>
    <t>20377313071</t>
  </si>
  <si>
    <t>20377339461</t>
  </si>
  <si>
    <t>20377892918</t>
  </si>
  <si>
    <t>20378092419</t>
  </si>
  <si>
    <t>20378890161</t>
  </si>
  <si>
    <t>20379085505</t>
  </si>
  <si>
    <t>20380130336</t>
  </si>
  <si>
    <t>20380336384</t>
  </si>
  <si>
    <t>20380449405</t>
  </si>
  <si>
    <t>20380626463</t>
  </si>
  <si>
    <t>20380632943</t>
  </si>
  <si>
    <t>20381034071</t>
  </si>
  <si>
    <t>20381379648</t>
  </si>
  <si>
    <t>20381396909</t>
  </si>
  <si>
    <t>20381450377</t>
  </si>
  <si>
    <t>20382056681</t>
  </si>
  <si>
    <t>20382346921</t>
  </si>
  <si>
    <t>20382506040</t>
  </si>
  <si>
    <t>20382631294</t>
  </si>
  <si>
    <t>20382748132</t>
  </si>
  <si>
    <t>20382856539</t>
  </si>
  <si>
    <t>20383045267</t>
  </si>
  <si>
    <t>20383161330</t>
  </si>
  <si>
    <t>20383929050</t>
  </si>
  <si>
    <t>20384083995</t>
  </si>
  <si>
    <t>20384377719</t>
  </si>
  <si>
    <t>20384537007</t>
  </si>
  <si>
    <t>20385353406</t>
  </si>
  <si>
    <t>20386303003</t>
  </si>
  <si>
    <t>20386367664</t>
  </si>
  <si>
    <t>20386636070</t>
  </si>
  <si>
    <t>20386688207</t>
  </si>
  <si>
    <t>20386825042</t>
  </si>
  <si>
    <t>20387297481</t>
  </si>
  <si>
    <t>20388101971</t>
  </si>
  <si>
    <t>20388203111</t>
  </si>
  <si>
    <t>20388724278</t>
  </si>
  <si>
    <t>20388738228</t>
  </si>
  <si>
    <t>20388829452</t>
  </si>
  <si>
    <t>20388853752</t>
  </si>
  <si>
    <t>20389230724</t>
  </si>
  <si>
    <t>20389748669</t>
  </si>
  <si>
    <t>20390552794</t>
  </si>
  <si>
    <t>20390670649</t>
  </si>
  <si>
    <t>20390989467</t>
  </si>
  <si>
    <t>20391166855</t>
  </si>
  <si>
    <t>20391198897</t>
  </si>
  <si>
    <t>20391720623</t>
  </si>
  <si>
    <t>20392064550</t>
  </si>
  <si>
    <t>20392709194</t>
  </si>
  <si>
    <t>20392810316</t>
  </si>
  <si>
    <t>20392913476</t>
  </si>
  <si>
    <t>20399239801</t>
  </si>
  <si>
    <t>20406288359</t>
  </si>
  <si>
    <t>20408914397</t>
  </si>
  <si>
    <t>20410065364</t>
  </si>
  <si>
    <t>20411808972</t>
  </si>
  <si>
    <t>20413940568</t>
  </si>
  <si>
    <t>20414127046</t>
  </si>
  <si>
    <t>20414407677</t>
  </si>
  <si>
    <t>20414548491</t>
  </si>
  <si>
    <t>20414671773</t>
  </si>
  <si>
    <t>20414679162</t>
  </si>
  <si>
    <t>20414989277</t>
  </si>
  <si>
    <t>20415077565</t>
  </si>
  <si>
    <t>20415090316</t>
  </si>
  <si>
    <t>20416162299</t>
  </si>
  <si>
    <t>20416191809</t>
  </si>
  <si>
    <t>20416976440</t>
  </si>
  <si>
    <t>20417378911</t>
  </si>
  <si>
    <t>20417573705</t>
  </si>
  <si>
    <t>20417926632</t>
  </si>
  <si>
    <t>20418108151</t>
  </si>
  <si>
    <t>20418118629</t>
  </si>
  <si>
    <t>20418140551</t>
  </si>
  <si>
    <t>20418217104</t>
  </si>
  <si>
    <t>20418453177</t>
  </si>
  <si>
    <t>20418835886</t>
  </si>
  <si>
    <t>20419020606</t>
  </si>
  <si>
    <t>20419195317</t>
  </si>
  <si>
    <t>20419269701</t>
  </si>
  <si>
    <t>20419323170</t>
  </si>
  <si>
    <t>20419451259</t>
  </si>
  <si>
    <t>20419772217</t>
  </si>
  <si>
    <t>20419908305</t>
  </si>
  <si>
    <t>20419960561</t>
  </si>
  <si>
    <t>20420680717</t>
  </si>
  <si>
    <t>20421526258</t>
  </si>
  <si>
    <t>20421772968</t>
  </si>
  <si>
    <t>20422023802</t>
  </si>
  <si>
    <t>20422102770</t>
  </si>
  <si>
    <t>20422107224</t>
  </si>
  <si>
    <t>20422488198</t>
  </si>
  <si>
    <t>20422626175</t>
  </si>
  <si>
    <t>20423264617</t>
  </si>
  <si>
    <t>20423637405</t>
  </si>
  <si>
    <t>20423925028</t>
  </si>
  <si>
    <t>20424044203</t>
  </si>
  <si>
    <t>20424721400</t>
  </si>
  <si>
    <t>20425123115</t>
  </si>
  <si>
    <t>20425252608</t>
  </si>
  <si>
    <t>20425481038</t>
  </si>
  <si>
    <t>20425802870</t>
  </si>
  <si>
    <t>20427311296</t>
  </si>
  <si>
    <t>20427312187</t>
  </si>
  <si>
    <t>20427481370</t>
  </si>
  <si>
    <t>20427497888</t>
  </si>
  <si>
    <t>20427801625</t>
  </si>
  <si>
    <t>20427862331</t>
  </si>
  <si>
    <t>20427896740</t>
  </si>
  <si>
    <t>20427919111</t>
  </si>
  <si>
    <t>20427994911</t>
  </si>
  <si>
    <t>20428500475</t>
  </si>
  <si>
    <t>20429050546</t>
  </si>
  <si>
    <t>20429634882</t>
  </si>
  <si>
    <t>20430500521</t>
  </si>
  <si>
    <t>20430725441</t>
  </si>
  <si>
    <t>20430772873</t>
  </si>
  <si>
    <t>20431534046</t>
  </si>
  <si>
    <t>20431871808</t>
  </si>
  <si>
    <t>20431991960</t>
  </si>
  <si>
    <t>20432592961</t>
  </si>
  <si>
    <t>20432747833</t>
  </si>
  <si>
    <t>20433359870</t>
  </si>
  <si>
    <t>20433469039</t>
  </si>
  <si>
    <t>20433661495</t>
  </si>
  <si>
    <t>20434384410</t>
  </si>
  <si>
    <t>20440256474</t>
  </si>
  <si>
    <t>20440815716</t>
  </si>
  <si>
    <t>20441938846</t>
  </si>
  <si>
    <t>20447466547</t>
  </si>
  <si>
    <t>20447543631</t>
  </si>
  <si>
    <t>20451770099</t>
  </si>
  <si>
    <t>20451779711</t>
  </si>
  <si>
    <t>20452239818</t>
  </si>
  <si>
    <t>20452927625</t>
  </si>
  <si>
    <t>20454073143</t>
  </si>
  <si>
    <t>20454509707</t>
  </si>
  <si>
    <t>20454531036</t>
  </si>
  <si>
    <t>20455072540</t>
  </si>
  <si>
    <t>20456527770</t>
  </si>
  <si>
    <t>20457362294</t>
  </si>
  <si>
    <t>20458002372</t>
  </si>
  <si>
    <t>20458068471</t>
  </si>
  <si>
    <t>20458534382</t>
  </si>
  <si>
    <t>20458733741</t>
  </si>
  <si>
    <t>20458805165</t>
  </si>
  <si>
    <t>20459821652</t>
  </si>
  <si>
    <t>20460352674</t>
  </si>
  <si>
    <t>20461642706</t>
  </si>
  <si>
    <t>20462262087</t>
  </si>
  <si>
    <t>20462527137</t>
  </si>
  <si>
    <t>20462604735</t>
  </si>
  <si>
    <t>20462793791</t>
  </si>
  <si>
    <t>20465557754</t>
  </si>
  <si>
    <t>20466241734</t>
  </si>
  <si>
    <t>20466327612</t>
  </si>
  <si>
    <t>20467675436</t>
  </si>
  <si>
    <t>20467682726</t>
  </si>
  <si>
    <t>20467737300</t>
  </si>
  <si>
    <t>20468451451</t>
  </si>
  <si>
    <t>20468985757</t>
  </si>
  <si>
    <t>20469317855</t>
  </si>
  <si>
    <t>20469748597</t>
  </si>
  <si>
    <t>20469820531</t>
  </si>
  <si>
    <t>20470531968</t>
  </si>
  <si>
    <t>20470700662</t>
  </si>
  <si>
    <t>20471514064</t>
  </si>
  <si>
    <t>20471786811</t>
  </si>
  <si>
    <t>20471850099</t>
  </si>
  <si>
    <t>20472390521</t>
  </si>
  <si>
    <t>20472498305</t>
  </si>
  <si>
    <t>20473159644</t>
  </si>
  <si>
    <t>20473806186</t>
  </si>
  <si>
    <t>20473938929</t>
  </si>
  <si>
    <t>20474053351</t>
  </si>
  <si>
    <t>20474529291</t>
  </si>
  <si>
    <t>20475309899</t>
  </si>
  <si>
    <t>20476099928</t>
  </si>
  <si>
    <t>20476247030</t>
  </si>
  <si>
    <t>20476260303</t>
  </si>
  <si>
    <t>20477912355</t>
  </si>
  <si>
    <t>20478012498</t>
  </si>
  <si>
    <t>20482262725</t>
  </si>
  <si>
    <t>20483894814</t>
  </si>
  <si>
    <t>20483957590</t>
  </si>
  <si>
    <t>20484002216</t>
  </si>
  <si>
    <t>20484294756</t>
  </si>
  <si>
    <t>20491964660</t>
  </si>
  <si>
    <t>20491984776</t>
  </si>
  <si>
    <t>20492050742</t>
  </si>
  <si>
    <t>20492092313</t>
  </si>
  <si>
    <t>20492185087</t>
  </si>
  <si>
    <t>20492321011</t>
  </si>
  <si>
    <t>20492333701</t>
  </si>
  <si>
    <t>20492392031</t>
  </si>
  <si>
    <t>20492404901</t>
  </si>
  <si>
    <t>20492418952</t>
  </si>
  <si>
    <t>20492516024</t>
  </si>
  <si>
    <t>20492946541</t>
  </si>
  <si>
    <t>20493040643</t>
  </si>
  <si>
    <t>20495330126</t>
  </si>
  <si>
    <t>20500854651</t>
  </si>
  <si>
    <t>20500985322</t>
  </si>
  <si>
    <t>20501057682</t>
  </si>
  <si>
    <t>20501165141</t>
  </si>
  <si>
    <t>20501259552</t>
  </si>
  <si>
    <t>20501477622</t>
  </si>
  <si>
    <t>20501603784</t>
  </si>
  <si>
    <t>20501620107</t>
  </si>
  <si>
    <t>20501638651</t>
  </si>
  <si>
    <t>20501663256</t>
  </si>
  <si>
    <t>20501923428</t>
  </si>
  <si>
    <t>20501967638</t>
  </si>
  <si>
    <t>20502028104</t>
  </si>
  <si>
    <t>20502042352</t>
  </si>
  <si>
    <t>20502102517</t>
  </si>
  <si>
    <t>20502129806</t>
  </si>
  <si>
    <t>20502175581</t>
  </si>
  <si>
    <t>20502187679</t>
  </si>
  <si>
    <t>20502203461</t>
  </si>
  <si>
    <t>20502288947</t>
  </si>
  <si>
    <t>20502333322</t>
  </si>
  <si>
    <t>20502407385</t>
  </si>
  <si>
    <t>20502435672</t>
  </si>
  <si>
    <t>20502437616</t>
  </si>
  <si>
    <t>20502772831</t>
  </si>
  <si>
    <t>20502797230</t>
  </si>
  <si>
    <t>20502807057</t>
  </si>
  <si>
    <t>20502896301</t>
  </si>
  <si>
    <t>20503180449</t>
  </si>
  <si>
    <t>20503258901</t>
  </si>
  <si>
    <t>20503314585</t>
  </si>
  <si>
    <t>20503382742</t>
  </si>
  <si>
    <t>20503423287</t>
  </si>
  <si>
    <t>20503464129</t>
  </si>
  <si>
    <t>20503595819</t>
  </si>
  <si>
    <t>20503610711</t>
  </si>
  <si>
    <t>20503623961</t>
  </si>
  <si>
    <t>20503632528</t>
  </si>
  <si>
    <t>20503643309</t>
  </si>
  <si>
    <t>20503727405</t>
  </si>
  <si>
    <t>20503840121</t>
  </si>
  <si>
    <t>20504004415</t>
  </si>
  <si>
    <t>20504166318</t>
  </si>
  <si>
    <t>20504187234</t>
  </si>
  <si>
    <t>20504299628</t>
  </si>
  <si>
    <t>20504312403</t>
  </si>
  <si>
    <t>20504541267</t>
  </si>
  <si>
    <t>20504795790</t>
  </si>
  <si>
    <t>20504946241</t>
  </si>
  <si>
    <t>20504963927</t>
  </si>
  <si>
    <t>20504986978</t>
  </si>
  <si>
    <t>20505089350</t>
  </si>
  <si>
    <t>20505108672</t>
  </si>
  <si>
    <t>20505203586</t>
  </si>
  <si>
    <t>20505225555</t>
  </si>
  <si>
    <t>20505226446</t>
  </si>
  <si>
    <t>20505243537</t>
  </si>
  <si>
    <t>20505250401</t>
  </si>
  <si>
    <t>20505364164</t>
  </si>
  <si>
    <t>20505440286</t>
  </si>
  <si>
    <t>20505519893</t>
  </si>
  <si>
    <t>20505598408</t>
  </si>
  <si>
    <t>20505612753</t>
  </si>
  <si>
    <t>20505779291</t>
  </si>
  <si>
    <t>20505960361</t>
  </si>
  <si>
    <t>20506006024</t>
  </si>
  <si>
    <t>20506035121</t>
  </si>
  <si>
    <t>20506223394</t>
  </si>
  <si>
    <t>20506228515</t>
  </si>
  <si>
    <t>20506285586</t>
  </si>
  <si>
    <t>20506427551</t>
  </si>
  <si>
    <t>20506440735</t>
  </si>
  <si>
    <t>20506540284</t>
  </si>
  <si>
    <t>20506643504</t>
  </si>
  <si>
    <t>20506759804</t>
  </si>
  <si>
    <t>20507133003</t>
  </si>
  <si>
    <t>20507314644</t>
  </si>
  <si>
    <t>20507360751</t>
  </si>
  <si>
    <t>20507398210</t>
  </si>
  <si>
    <t>20507646051</t>
  </si>
  <si>
    <t>20507771204</t>
  </si>
  <si>
    <t>20507845500</t>
  </si>
  <si>
    <t>20507975977</t>
  </si>
  <si>
    <t>20508061201</t>
  </si>
  <si>
    <t>20508082119</t>
  </si>
  <si>
    <t>20508163461</t>
  </si>
  <si>
    <t>20508185864</t>
  </si>
  <si>
    <t>20508261633</t>
  </si>
  <si>
    <t>20508956020</t>
  </si>
  <si>
    <t>20508972734</t>
  </si>
  <si>
    <t>20509076945</t>
  </si>
  <si>
    <t>20509121592</t>
  </si>
  <si>
    <t>20509121754</t>
  </si>
  <si>
    <t>20509212474</t>
  </si>
  <si>
    <t>20509435937</t>
  </si>
  <si>
    <t>20509439843</t>
  </si>
  <si>
    <t>20509551767</t>
  </si>
  <si>
    <t>20509617709</t>
  </si>
  <si>
    <t>20509638706</t>
  </si>
  <si>
    <t>20509845167</t>
  </si>
  <si>
    <t>20509862843</t>
  </si>
  <si>
    <t>20509992461</t>
  </si>
  <si>
    <t>20510000138</t>
  </si>
  <si>
    <t>20510014279</t>
  </si>
  <si>
    <t>20510106394</t>
  </si>
  <si>
    <t>20510117914</t>
  </si>
  <si>
    <t>20510347243</t>
  </si>
  <si>
    <t>20510598246</t>
  </si>
  <si>
    <t>20510656629</t>
  </si>
  <si>
    <t>20510927754</t>
  </si>
  <si>
    <t>20510944764</t>
  </si>
  <si>
    <t>20511130124</t>
  </si>
  <si>
    <t>20511261571</t>
  </si>
  <si>
    <t>20511442011</t>
  </si>
  <si>
    <t>20511445389</t>
  </si>
  <si>
    <t>20511804702</t>
  </si>
  <si>
    <t>20511910642</t>
  </si>
  <si>
    <t>20511914125</t>
  </si>
  <si>
    <t>20512009345</t>
  </si>
  <si>
    <t>20512016805</t>
  </si>
  <si>
    <t>20512072543</t>
  </si>
  <si>
    <t>20512286349</t>
  </si>
  <si>
    <t>20512365648</t>
  </si>
  <si>
    <t>20512460802</t>
  </si>
  <si>
    <t>20512657690</t>
  </si>
  <si>
    <t>20512857869</t>
  </si>
  <si>
    <t>20512868046</t>
  </si>
  <si>
    <t>20513112727</t>
  </si>
  <si>
    <t>20513113456</t>
  </si>
  <si>
    <t>20513320753</t>
  </si>
  <si>
    <t>20513396571</t>
  </si>
  <si>
    <t>20513613009</t>
  </si>
  <si>
    <t>20513640316</t>
  </si>
  <si>
    <t>20513646519</t>
  </si>
  <si>
    <t>20513842881</t>
  </si>
  <si>
    <t>20513998202</t>
  </si>
  <si>
    <t>20514480495</t>
  </si>
  <si>
    <t>20514513172</t>
  </si>
  <si>
    <t>20514584789</t>
  </si>
  <si>
    <t>20514587885</t>
  </si>
  <si>
    <t>20514808300</t>
  </si>
  <si>
    <t>20514831620</t>
  </si>
  <si>
    <t>20514951528</t>
  </si>
  <si>
    <t>20515019422</t>
  </si>
  <si>
    <t>20515351541</t>
  </si>
  <si>
    <t>20515758659</t>
  </si>
  <si>
    <t>20515826590</t>
  </si>
  <si>
    <t>20515954164</t>
  </si>
  <si>
    <t>20516041995</t>
  </si>
  <si>
    <t>20516269074</t>
  </si>
  <si>
    <t>20516488973</t>
  </si>
  <si>
    <t>20516589656</t>
  </si>
  <si>
    <t>20516865190</t>
  </si>
  <si>
    <t>20516955261</t>
  </si>
  <si>
    <t>20517401146</t>
  </si>
  <si>
    <t>20517679420</t>
  </si>
  <si>
    <t>20517680517</t>
  </si>
  <si>
    <t>20517730476</t>
  </si>
  <si>
    <t>20518042280</t>
  </si>
  <si>
    <t>20518334736</t>
  </si>
  <si>
    <t>20518402839</t>
  </si>
  <si>
    <t>20518625544</t>
  </si>
  <si>
    <t>20519098017</t>
  </si>
  <si>
    <t>20519176263</t>
  </si>
  <si>
    <t>20519188946</t>
  </si>
  <si>
    <t>20519344743</t>
  </si>
  <si>
    <t>20522294218</t>
  </si>
  <si>
    <t>20522478700</t>
  </si>
  <si>
    <t>20522994970</t>
  </si>
  <si>
    <t>20523173716</t>
  </si>
  <si>
    <t>20523273851</t>
  </si>
  <si>
    <t>20523441826</t>
  </si>
  <si>
    <t>20523470761</t>
  </si>
  <si>
    <t>20523621212</t>
  </si>
  <si>
    <t>20524919321</t>
  </si>
  <si>
    <t>20525011993</t>
  </si>
  <si>
    <t>20525028535</t>
  </si>
  <si>
    <t>20526937130</t>
  </si>
  <si>
    <t>20526938535</t>
  </si>
  <si>
    <t>20532145415</t>
  </si>
  <si>
    <t>20534938587</t>
  </si>
  <si>
    <t>20535543349</t>
  </si>
  <si>
    <t>20535863769</t>
  </si>
  <si>
    <t>20536058690</t>
  </si>
  <si>
    <t>20536692399</t>
  </si>
  <si>
    <t>20536766694</t>
  </si>
  <si>
    <t>20536788311</t>
  </si>
  <si>
    <t>20536810341</t>
  </si>
  <si>
    <t>20537479907</t>
  </si>
  <si>
    <t>20537496828</t>
  </si>
  <si>
    <t>20537577232</t>
  </si>
  <si>
    <t>20537605465</t>
  </si>
  <si>
    <t>20537613484</t>
  </si>
  <si>
    <t>20538439135</t>
  </si>
  <si>
    <t>20538837611</t>
  </si>
  <si>
    <t>20543208923</t>
  </si>
  <si>
    <t>20543254798</t>
  </si>
  <si>
    <t>20543405834</t>
  </si>
  <si>
    <t>20543420477</t>
  </si>
  <si>
    <t>20544229118</t>
  </si>
  <si>
    <t>20545015529</t>
  </si>
  <si>
    <t>20545084687</t>
  </si>
  <si>
    <t>20545235138</t>
  </si>
  <si>
    <t>20545286719</t>
  </si>
  <si>
    <t>20545955653</t>
  </si>
  <si>
    <t>20546128424</t>
  </si>
  <si>
    <t>20546723225</t>
  </si>
  <si>
    <t>20547028253</t>
  </si>
  <si>
    <t>20547052634</t>
  </si>
  <si>
    <t>20547125372</t>
  </si>
  <si>
    <t>20547735014</t>
  </si>
  <si>
    <t>20547999691</t>
  </si>
  <si>
    <t>20548040320</t>
  </si>
  <si>
    <t>20548498181</t>
  </si>
  <si>
    <t>20548637130</t>
  </si>
  <si>
    <t>20548739641</t>
  </si>
  <si>
    <t>20549045848</t>
  </si>
  <si>
    <t>20549548327</t>
  </si>
  <si>
    <t>20549706500</t>
  </si>
  <si>
    <t>20550520002</t>
  </si>
  <si>
    <t>20551182992</t>
  </si>
  <si>
    <t>20552438591</t>
  </si>
  <si>
    <t>20552836481</t>
  </si>
  <si>
    <t>20553157014</t>
  </si>
  <si>
    <t>20554303901</t>
  </si>
  <si>
    <t>20554545743</t>
  </si>
  <si>
    <t>20555529326</t>
  </si>
  <si>
    <t>20555641240</t>
  </si>
  <si>
    <t>20556584479</t>
  </si>
  <si>
    <t>20557024205</t>
  </si>
  <si>
    <t>20557547054</t>
  </si>
  <si>
    <t>20557811924</t>
  </si>
  <si>
    <t>20563120135</t>
  </si>
  <si>
    <t>20563785374</t>
  </si>
  <si>
    <t>20565337611</t>
  </si>
  <si>
    <t>20565339401</t>
  </si>
  <si>
    <t>20565538510</t>
  </si>
  <si>
    <t>20565945077</t>
  </si>
  <si>
    <t>20566476194</t>
  </si>
  <si>
    <t>20600040341</t>
  </si>
  <si>
    <t>20600050118</t>
  </si>
  <si>
    <t>20600180631</t>
  </si>
  <si>
    <t>20600206827</t>
  </si>
  <si>
    <t>20600269241</t>
  </si>
  <si>
    <t>20600415418</t>
  </si>
  <si>
    <t>20600419430</t>
  </si>
  <si>
    <t>20600607716</t>
  </si>
  <si>
    <t>20600676793</t>
  </si>
  <si>
    <t>20601116619</t>
  </si>
  <si>
    <t>20100096341</t>
  </si>
  <si>
    <t>20100177341</t>
  </si>
  <si>
    <t>20107916343</t>
  </si>
  <si>
    <t>20108730294</t>
  </si>
  <si>
    <t>20163898200</t>
  </si>
  <si>
    <t>20205467603</t>
  </si>
  <si>
    <t>20260995449</t>
  </si>
  <si>
    <t>20342015108</t>
  </si>
  <si>
    <t>20348735692</t>
  </si>
  <si>
    <t>20505520638</t>
  </si>
  <si>
    <t>20505669518</t>
  </si>
  <si>
    <t>20505792042</t>
  </si>
  <si>
    <t>20508100206</t>
  </si>
  <si>
    <t>20511687803</t>
  </si>
  <si>
    <t>20536814176</t>
  </si>
  <si>
    <t>20538593053</t>
  </si>
  <si>
    <t>20543662217</t>
  </si>
  <si>
    <t>20550372640</t>
  </si>
  <si>
    <t>20100036101</t>
  </si>
  <si>
    <t>20100121809</t>
  </si>
  <si>
    <t>20100144922</t>
  </si>
  <si>
    <t>20100366747</t>
  </si>
  <si>
    <t>20307460743</t>
  </si>
  <si>
    <t>20349065488</t>
  </si>
  <si>
    <t>20352427081</t>
  </si>
  <si>
    <t>20369769007</t>
  </si>
  <si>
    <t>20387937308</t>
  </si>
  <si>
    <t>20414766308</t>
  </si>
  <si>
    <t>20505670443</t>
  </si>
  <si>
    <t>20507480811</t>
  </si>
  <si>
    <t>20510098278</t>
  </si>
  <si>
    <t>20511315922</t>
  </si>
  <si>
    <t>20512148116</t>
  </si>
  <si>
    <t>20512707972</t>
  </si>
  <si>
    <t>20512759778</t>
  </si>
  <si>
    <t>20512773924</t>
  </si>
  <si>
    <t>20512830316</t>
  </si>
  <si>
    <t>20513230843</t>
  </si>
  <si>
    <t>20514020907</t>
  </si>
  <si>
    <t>20514211087</t>
  </si>
  <si>
    <t>20514710911</t>
  </si>
  <si>
    <t>20514737364</t>
  </si>
  <si>
    <t>20515164945</t>
  </si>
  <si>
    <t>20516556561</t>
  </si>
  <si>
    <t>20516702649</t>
  </si>
  <si>
    <t>20517057003</t>
  </si>
  <si>
    <t>20518370881</t>
  </si>
  <si>
    <t>20518538064</t>
  </si>
  <si>
    <t>20518630891</t>
  </si>
  <si>
    <t>20519327148</t>
  </si>
  <si>
    <t>20522576621</t>
  </si>
  <si>
    <t>20527030421</t>
  </si>
  <si>
    <t>20536126440</t>
  </si>
  <si>
    <t>20537521792</t>
  </si>
  <si>
    <t>20537942381</t>
  </si>
  <si>
    <t>20544542282</t>
  </si>
  <si>
    <t>20545914116</t>
  </si>
  <si>
    <t>20545925151</t>
  </si>
  <si>
    <t>20546406688</t>
  </si>
  <si>
    <t>20548185051</t>
  </si>
  <si>
    <t>20548971897</t>
  </si>
  <si>
    <t>20549105255</t>
  </si>
  <si>
    <t>20549521470</t>
  </si>
  <si>
    <t>20555271566</t>
  </si>
  <si>
    <t>20556126764</t>
  </si>
  <si>
    <t>20557644416</t>
  </si>
  <si>
    <t>20557987020</t>
  </si>
  <si>
    <t>20563664666</t>
  </si>
  <si>
    <t>20565405552</t>
  </si>
  <si>
    <t>20565739175</t>
  </si>
  <si>
    <t>20600734271</t>
  </si>
  <si>
    <t>20600785622</t>
  </si>
  <si>
    <t>20600869737</t>
  </si>
  <si>
    <t>20601047005</t>
  </si>
  <si>
    <t>20601189063</t>
  </si>
  <si>
    <t>20601398606</t>
  </si>
  <si>
    <t>20553143498</t>
  </si>
  <si>
    <t>20563579553</t>
  </si>
  <si>
    <t>20550344603</t>
  </si>
  <si>
    <t>20513358564</t>
  </si>
  <si>
    <t>20538761967</t>
  </si>
  <si>
    <t>20562613545</t>
  </si>
  <si>
    <t>20600281489</t>
  </si>
  <si>
    <t>20307146798</t>
  </si>
  <si>
    <t>20549517952</t>
  </si>
  <si>
    <t>20415932376</t>
  </si>
  <si>
    <t>20552395507</t>
  </si>
  <si>
    <t>20512797785</t>
  </si>
  <si>
    <t>20557606328</t>
  </si>
  <si>
    <t>20550087791</t>
  </si>
  <si>
    <t>20419952461</t>
  </si>
  <si>
    <t>20517406610</t>
  </si>
  <si>
    <t>20543482316</t>
  </si>
  <si>
    <t>20383380643</t>
  </si>
  <si>
    <t>20402885549</t>
  </si>
  <si>
    <t>20503957231</t>
  </si>
  <si>
    <t>20262518001</t>
  </si>
  <si>
    <t>20100102766</t>
  </si>
  <si>
    <t>20550251851</t>
  </si>
  <si>
    <t>20555881551</t>
  </si>
  <si>
    <t>20600216512</t>
  </si>
  <si>
    <t>20520628704</t>
  </si>
  <si>
    <t>20519233593</t>
  </si>
  <si>
    <t>20308287395</t>
  </si>
  <si>
    <t>20299688373</t>
  </si>
  <si>
    <t>20112273922</t>
  </si>
  <si>
    <t>20106758477</t>
  </si>
  <si>
    <t>20511015961</t>
  </si>
  <si>
    <t>20548156549</t>
  </si>
  <si>
    <t>20296977447</t>
  </si>
  <si>
    <t>20552010133</t>
  </si>
  <si>
    <t>20134522616</t>
  </si>
  <si>
    <t>20454505621</t>
  </si>
  <si>
    <t>20307308526</t>
  </si>
  <si>
    <t>20548184160</t>
  </si>
  <si>
    <t>20545757002</t>
  </si>
  <si>
    <t>20566587263</t>
  </si>
  <si>
    <t>20550523362</t>
  </si>
  <si>
    <t>20546121250</t>
  </si>
  <si>
    <t>20535627101</t>
  </si>
  <si>
    <t>20454332262</t>
  </si>
  <si>
    <t>20133877615</t>
  </si>
  <si>
    <t>20340546653</t>
  </si>
  <si>
    <t>20348858182</t>
  </si>
  <si>
    <t>20347323374</t>
  </si>
  <si>
    <t>20417531026</t>
  </si>
  <si>
    <t>20100151112</t>
  </si>
  <si>
    <t>20261677955</t>
  </si>
  <si>
    <t>20547425414</t>
  </si>
  <si>
    <t>20551706061</t>
  </si>
  <si>
    <t>20601150477</t>
  </si>
  <si>
    <t>20601120691</t>
  </si>
  <si>
    <t>20601071801</t>
  </si>
  <si>
    <t>20546844791</t>
  </si>
  <si>
    <t>20539454731</t>
  </si>
  <si>
    <t>20307825423</t>
  </si>
  <si>
    <t>20535654094</t>
  </si>
  <si>
    <t>20601317037</t>
  </si>
  <si>
    <t>20601317231</t>
  </si>
  <si>
    <t>20547228775</t>
  </si>
  <si>
    <t>20425809882</t>
  </si>
  <si>
    <t>20405479592</t>
  </si>
  <si>
    <t>20157385292</t>
  </si>
  <si>
    <t>20256391202</t>
  </si>
  <si>
    <t>20502759575</t>
  </si>
  <si>
    <t>20555189631</t>
  </si>
  <si>
    <t>20600676084</t>
  </si>
  <si>
    <t>20514768324</t>
  </si>
  <si>
    <t>20565851251</t>
  </si>
  <si>
    <t>20100027705</t>
  </si>
  <si>
    <t>20119205949</t>
  </si>
  <si>
    <t>20259033072</t>
  </si>
  <si>
    <t>20601050120</t>
  </si>
  <si>
    <t>20566558247</t>
  </si>
  <si>
    <t>20526095261</t>
  </si>
  <si>
    <t>20601254582</t>
  </si>
  <si>
    <t>20554698817</t>
  </si>
  <si>
    <t>20557294849</t>
  </si>
  <si>
    <t>20563588544</t>
  </si>
  <si>
    <t>20544955102</t>
  </si>
  <si>
    <t>20555763868</t>
  </si>
  <si>
    <t>20552349815</t>
  </si>
  <si>
    <t>20522890171</t>
  </si>
  <si>
    <t>20601272670</t>
  </si>
  <si>
    <t>20601284791</t>
  </si>
  <si>
    <t>20601332222</t>
  </si>
  <si>
    <t>20554062785</t>
  </si>
  <si>
    <t>20545026725</t>
  </si>
  <si>
    <t>20565337298</t>
  </si>
  <si>
    <t>20600703499</t>
  </si>
  <si>
    <t>20559902048</t>
  </si>
  <si>
    <t>20537464543</t>
  </si>
  <si>
    <t>20478963719</t>
  </si>
  <si>
    <t>20518153278</t>
  </si>
  <si>
    <t>20563343193</t>
  </si>
  <si>
    <t>20481464499</t>
  </si>
  <si>
    <t>20477542833</t>
  </si>
  <si>
    <t>20539927494</t>
  </si>
  <si>
    <t>20481661057</t>
  </si>
  <si>
    <t>20510246307</t>
  </si>
  <si>
    <t>20511721912</t>
  </si>
  <si>
    <t>20512638393</t>
  </si>
  <si>
    <t>20514469505</t>
  </si>
  <si>
    <t>20556406881</t>
  </si>
  <si>
    <t>20566385989</t>
  </si>
  <si>
    <t>20600686691</t>
  </si>
  <si>
    <t>20329973256</t>
  </si>
  <si>
    <t>20100054184</t>
  </si>
  <si>
    <t>20568326963</t>
  </si>
  <si>
    <t>20408809682</t>
  </si>
  <si>
    <t>20601194164</t>
  </si>
  <si>
    <t>20551455476</t>
  </si>
  <si>
    <t>20418686350</t>
  </si>
  <si>
    <t>20600703723</t>
  </si>
  <si>
    <t>20334461875</t>
  </si>
  <si>
    <t>20549510940</t>
  </si>
  <si>
    <t>20129531275</t>
  </si>
  <si>
    <t>20218339167</t>
  </si>
  <si>
    <t>20279889208</t>
  </si>
  <si>
    <t>20103117560</t>
  </si>
  <si>
    <t>20232236273</t>
  </si>
  <si>
    <t>20288529087</t>
  </si>
  <si>
    <t>20473955939</t>
  </si>
  <si>
    <t>20100116805</t>
  </si>
  <si>
    <t>20481509778</t>
  </si>
  <si>
    <t>20510704291</t>
  </si>
  <si>
    <t>20546191541</t>
  </si>
  <si>
    <t>20555723645</t>
  </si>
  <si>
    <t>20545764807</t>
  </si>
  <si>
    <t>20538243079</t>
  </si>
  <si>
    <t>20517749142</t>
  </si>
  <si>
    <t>20600323289</t>
  </si>
  <si>
    <t>20600934130</t>
  </si>
  <si>
    <t>20143611893</t>
  </si>
  <si>
    <t>20518723040</t>
  </si>
  <si>
    <t>20600935918</t>
  </si>
  <si>
    <t>20554347607</t>
  </si>
  <si>
    <t>20492925030</t>
  </si>
  <si>
    <t>20517270297</t>
  </si>
  <si>
    <t>20563587220</t>
  </si>
  <si>
    <t>20554066349</t>
  </si>
  <si>
    <t>20524522871</t>
  </si>
  <si>
    <t>20480901844</t>
  </si>
  <si>
    <t>20525019200</t>
  </si>
  <si>
    <t>20513120584</t>
  </si>
  <si>
    <t>20389177220</t>
  </si>
  <si>
    <t>20106903230</t>
  </si>
  <si>
    <t>20556295876</t>
  </si>
  <si>
    <t>20253757931</t>
  </si>
  <si>
    <t>20518685016</t>
  </si>
  <si>
    <t>20536742248</t>
  </si>
  <si>
    <t>20543791700</t>
  </si>
  <si>
    <t>20521834642</t>
  </si>
  <si>
    <t>20103030791</t>
  </si>
  <si>
    <t>20306841506</t>
  </si>
  <si>
    <t>20551464971</t>
  </si>
  <si>
    <t>20157036794</t>
  </si>
  <si>
    <t>20547706774</t>
  </si>
  <si>
    <t>20132377783</t>
  </si>
  <si>
    <t>20297660536</t>
  </si>
  <si>
    <t>20331061655</t>
  </si>
  <si>
    <t>20100085063</t>
  </si>
  <si>
    <t>20100055237</t>
  </si>
  <si>
    <t>20467534026</t>
  </si>
  <si>
    <t>20428698569</t>
  </si>
  <si>
    <t>20100114420</t>
  </si>
  <si>
    <t>20511230188</t>
  </si>
  <si>
    <t>20516023318</t>
  </si>
  <si>
    <t>20137913250</t>
  </si>
  <si>
    <t>20543083888</t>
  </si>
  <si>
    <t>20379251286</t>
  </si>
  <si>
    <t>20514987395</t>
  </si>
  <si>
    <t>20306713923</t>
  </si>
  <si>
    <t>20421421669</t>
  </si>
  <si>
    <t>20338054115</t>
  </si>
  <si>
    <t>20520929658</t>
  </si>
  <si>
    <t>20513669560</t>
  </si>
  <si>
    <t>20517476405</t>
  </si>
  <si>
    <t>20543166660</t>
  </si>
  <si>
    <t>20509507199</t>
  </si>
  <si>
    <t>20100047218</t>
  </si>
  <si>
    <t>20100030595</t>
  </si>
  <si>
    <t>20330401991</t>
  </si>
  <si>
    <t>20100105862</t>
  </si>
  <si>
    <t>20513074370</t>
  </si>
  <si>
    <t>20101036813</t>
  </si>
  <si>
    <t>20100053455</t>
  </si>
  <si>
    <t>20259702411</t>
  </si>
  <si>
    <t>20516711559</t>
  </si>
  <si>
    <t>20101072453</t>
  </si>
  <si>
    <t>20100006376</t>
  </si>
  <si>
    <t>20100130204</t>
  </si>
  <si>
    <t>20503238463</t>
  </si>
  <si>
    <t>20378813761</t>
  </si>
  <si>
    <t>20100124492</t>
  </si>
  <si>
    <t>20261180937</t>
  </si>
  <si>
    <t>20419811646</t>
  </si>
  <si>
    <t>20340584237</t>
  </si>
  <si>
    <t>20100127912</t>
  </si>
  <si>
    <t>20424964990</t>
  </si>
  <si>
    <t>20100115400</t>
  </si>
  <si>
    <t>20498513086</t>
  </si>
  <si>
    <t>20419387658</t>
  </si>
  <si>
    <t>20516504685</t>
  </si>
  <si>
    <t>20516020301</t>
  </si>
  <si>
    <t>20517905454</t>
  </si>
  <si>
    <t>20109072177</t>
  </si>
  <si>
    <t>20101026001</t>
  </si>
  <si>
    <t>20538810682</t>
  </si>
  <si>
    <t>20100123763</t>
  </si>
  <si>
    <t>20492304604</t>
  </si>
  <si>
    <t>20565536223</t>
  </si>
  <si>
    <t>20100148162</t>
  </si>
  <si>
    <t>20137025354</t>
  </si>
  <si>
    <t>20100049008</t>
  </si>
  <si>
    <t>20429683581</t>
  </si>
  <si>
    <t>20100116635</t>
  </si>
  <si>
    <t>20101956327</t>
  </si>
  <si>
    <t>20329790682</t>
  </si>
  <si>
    <t>20356476434</t>
  </si>
  <si>
    <t>20253881438</t>
  </si>
  <si>
    <t>20100919002</t>
  </si>
  <si>
    <t>20478000996</t>
  </si>
  <si>
    <t>20330262428</t>
  </si>
  <si>
    <t>20192779333</t>
  </si>
  <si>
    <t>20100079501</t>
  </si>
  <si>
    <t>20512481125</t>
  </si>
  <si>
    <t>20100012856</t>
  </si>
  <si>
    <t>20114915026</t>
  </si>
  <si>
    <t>20100123500</t>
  </si>
  <si>
    <t>20100110513</t>
  </si>
  <si>
    <t>20506285314</t>
  </si>
  <si>
    <t>20100120152</t>
  </si>
  <si>
    <t>20341198217</t>
  </si>
  <si>
    <t>20369155360</t>
  </si>
  <si>
    <t>20503955882</t>
  </si>
  <si>
    <t>20509586986</t>
  </si>
  <si>
    <t>20511004251</t>
  </si>
  <si>
    <t>20509093521</t>
  </si>
  <si>
    <t>20511465061</t>
  </si>
  <si>
    <t>20522547957</t>
  </si>
  <si>
    <t>20517252558</t>
  </si>
  <si>
    <t>20100370426</t>
  </si>
  <si>
    <t>20101362702</t>
  </si>
  <si>
    <t>20465261634</t>
  </si>
  <si>
    <t>20492903141</t>
  </si>
  <si>
    <t>20383316473</t>
  </si>
  <si>
    <t>20109565017</t>
  </si>
  <si>
    <t>20509656607</t>
  </si>
  <si>
    <t>20110522151</t>
  </si>
  <si>
    <t>20519485487</t>
  </si>
  <si>
    <t>20370146994</t>
  </si>
  <si>
    <t>20511866210</t>
  </si>
  <si>
    <t>20100116392</t>
  </si>
  <si>
    <t>20390863871</t>
  </si>
  <si>
    <t>20101024645</t>
  </si>
  <si>
    <t>20224748711</t>
  </si>
  <si>
    <t>20461309951</t>
  </si>
  <si>
    <t>20100082391</t>
  </si>
  <si>
    <t>20508614811</t>
  </si>
  <si>
    <t>20279866682</t>
  </si>
  <si>
    <t>20170040938</t>
  </si>
  <si>
    <t>20100123330</t>
  </si>
  <si>
    <t>20501977439</t>
  </si>
  <si>
    <t>20101128777</t>
  </si>
  <si>
    <t>20376303811</t>
  </si>
  <si>
    <t>20100134021</t>
  </si>
  <si>
    <t>20513462388</t>
  </si>
  <si>
    <t>20468802342</t>
  </si>
  <si>
    <t>20516534754</t>
  </si>
  <si>
    <t>20331066703</t>
  </si>
  <si>
    <t>20516980452</t>
  </si>
  <si>
    <t>20330791412</t>
  </si>
  <si>
    <t>20332970411</t>
  </si>
  <si>
    <t>20100035392</t>
  </si>
  <si>
    <t>20334586147</t>
  </si>
  <si>
    <t>20106156400</t>
  </si>
  <si>
    <t>20269985900</t>
  </si>
  <si>
    <t>20507024051</t>
  </si>
  <si>
    <t>20270508163</t>
  </si>
  <si>
    <t>20332907990</t>
  </si>
  <si>
    <t>20101951872</t>
  </si>
  <si>
    <t>20543298574</t>
  </si>
  <si>
    <t>20517049086</t>
  </si>
  <si>
    <t>20333363900</t>
  </si>
  <si>
    <t>20106897914</t>
  </si>
  <si>
    <t>20513066431</t>
  </si>
  <si>
    <t>20522093743</t>
  </si>
  <si>
    <t>20510037562</t>
  </si>
  <si>
    <t>20110886196</t>
  </si>
  <si>
    <t>20168544252</t>
  </si>
  <si>
    <t>20476219761</t>
  </si>
  <si>
    <t>20100094135</t>
  </si>
  <si>
    <t>20259880603</t>
  </si>
  <si>
    <t>20260172035</t>
  </si>
  <si>
    <t>20509514641</t>
  </si>
  <si>
    <t>20100028698</t>
  </si>
  <si>
    <t>20519151279</t>
  </si>
  <si>
    <t>20544705335</t>
  </si>
  <si>
    <t>20544637313</t>
  </si>
  <si>
    <t>20503758114</t>
  </si>
  <si>
    <t>20544072031</t>
  </si>
  <si>
    <t>20563236354</t>
  </si>
  <si>
    <t>20256466652</t>
  </si>
  <si>
    <t>20297652274</t>
  </si>
  <si>
    <t>20565367952</t>
  </si>
  <si>
    <t>20423195119</t>
  </si>
  <si>
    <t>20524489300</t>
  </si>
  <si>
    <t>20515056468</t>
  </si>
  <si>
    <t>20100223555</t>
  </si>
  <si>
    <t>20100190797</t>
  </si>
  <si>
    <t>20100356270</t>
  </si>
  <si>
    <t>20507828915</t>
  </si>
  <si>
    <t>20536161199</t>
  </si>
  <si>
    <t>20513842377</t>
  </si>
  <si>
    <t>20332600592</t>
  </si>
  <si>
    <t>20549302671</t>
  </si>
  <si>
    <t>20101247431</t>
  </si>
  <si>
    <t>20543011976</t>
  </si>
  <si>
    <t>20523611250</t>
  </si>
  <si>
    <t>20155793075</t>
  </si>
  <si>
    <t>20335020872</t>
  </si>
  <si>
    <t>20501426041</t>
  </si>
  <si>
    <t>20508565934</t>
  </si>
  <si>
    <t>20517849104</t>
  </si>
  <si>
    <t>20479079006</t>
  </si>
  <si>
    <t>20266041846</t>
  </si>
  <si>
    <t>20103733015</t>
  </si>
  <si>
    <t>20552721668</t>
  </si>
  <si>
    <t>20507646728</t>
  </si>
  <si>
    <t>20511165181</t>
  </si>
  <si>
    <t>20467685661</t>
  </si>
  <si>
    <t>20100075009</t>
  </si>
  <si>
    <t>20546892175</t>
  </si>
  <si>
    <t>20512208119</t>
  </si>
  <si>
    <t>20475308817</t>
  </si>
  <si>
    <t>20441766883</t>
  </si>
  <si>
    <t>20101029442</t>
  </si>
  <si>
    <t>20512942891</t>
  </si>
  <si>
    <t>20135227740</t>
  </si>
  <si>
    <t>20144675216</t>
  </si>
  <si>
    <t>20254507874</t>
  </si>
  <si>
    <t>20501844986</t>
  </si>
  <si>
    <t>20268451146</t>
  </si>
  <si>
    <t>20508780746</t>
  </si>
  <si>
    <t>20514448338</t>
  </si>
  <si>
    <t>20382748566</t>
  </si>
  <si>
    <t>20553556733</t>
  </si>
  <si>
    <t>20101099149</t>
  </si>
  <si>
    <t>20544994779</t>
  </si>
  <si>
    <t>20101045995</t>
  </si>
  <si>
    <t>20217264783</t>
  </si>
  <si>
    <t>20114803228</t>
  </si>
  <si>
    <t>20503615518</t>
  </si>
  <si>
    <t>20260497414</t>
  </si>
  <si>
    <t>20520694839</t>
  </si>
  <si>
    <t>20330511401</t>
  </si>
  <si>
    <t>20510992904</t>
  </si>
  <si>
    <t>20472468147</t>
  </si>
  <si>
    <t>20100152941</t>
  </si>
  <si>
    <t>20297037952</t>
  </si>
  <si>
    <t>20501842771</t>
  </si>
  <si>
    <t>20100210909</t>
  </si>
  <si>
    <t>20341841357</t>
  </si>
  <si>
    <t>20524981981</t>
  </si>
  <si>
    <t>20375755344</t>
  </si>
  <si>
    <t>20501577252</t>
  </si>
  <si>
    <t>20536830376</t>
  </si>
  <si>
    <t>20416414018</t>
  </si>
  <si>
    <t>20506363480</t>
  </si>
  <si>
    <t>20331898008</t>
  </si>
  <si>
    <t>20332705262</t>
  </si>
  <si>
    <t>20202380621</t>
  </si>
  <si>
    <t>20418896915</t>
  </si>
  <si>
    <t>20504192157</t>
  </si>
  <si>
    <t>20195923753</t>
  </si>
  <si>
    <t>20513632569</t>
  </si>
  <si>
    <t>20418826119</t>
  </si>
  <si>
    <t>20335955065</t>
  </si>
  <si>
    <t>20516102706</t>
  </si>
  <si>
    <t>20260344341</t>
  </si>
  <si>
    <t>20557410008</t>
  </si>
  <si>
    <t>20262478964</t>
  </si>
  <si>
    <t>20382036655</t>
  </si>
  <si>
    <t>20100192650</t>
  </si>
  <si>
    <t>20492744833</t>
  </si>
  <si>
    <t>20513397543</t>
  </si>
  <si>
    <t>20513023201</t>
  </si>
  <si>
    <t>20209133394</t>
  </si>
  <si>
    <t>20506675457</t>
  </si>
  <si>
    <t>20505174896</t>
  </si>
  <si>
    <t>20538428524</t>
  </si>
  <si>
    <t>20137291313</t>
  </si>
  <si>
    <t>20100035121</t>
  </si>
  <si>
    <t>20498260285</t>
  </si>
  <si>
    <t>20100192064</t>
  </si>
  <si>
    <t>20100164010</t>
  </si>
  <si>
    <t>20100182263</t>
  </si>
  <si>
    <t>20100045517</t>
  </si>
  <si>
    <t>20110345519</t>
  </si>
  <si>
    <t>20381235051</t>
  </si>
  <si>
    <t>20505377142</t>
  </si>
  <si>
    <t>20522003345</t>
  </si>
  <si>
    <t>20501439020</t>
  </si>
  <si>
    <t>20545341248</t>
  </si>
  <si>
    <t>20166012687</t>
  </si>
  <si>
    <t>20305875539</t>
  </si>
  <si>
    <t>20290314799</t>
  </si>
  <si>
    <t>20502351908</t>
  </si>
  <si>
    <t>20131016639</t>
  </si>
  <si>
    <t>20257982794</t>
  </si>
  <si>
    <t>20100011701</t>
  </si>
  <si>
    <t>20517553914</t>
  </si>
  <si>
    <t>20523183941</t>
  </si>
  <si>
    <t>20506342563</t>
  </si>
  <si>
    <t>20251995967</t>
  </si>
  <si>
    <t>20493092791</t>
  </si>
  <si>
    <t>20430493486</t>
  </si>
  <si>
    <t>20159473148</t>
  </si>
  <si>
    <t>20136165667</t>
  </si>
  <si>
    <t>20523552903</t>
  </si>
  <si>
    <t>20100128218</t>
  </si>
  <si>
    <t>20100126606</t>
  </si>
  <si>
    <t>20100102090</t>
  </si>
  <si>
    <t>20521866927</t>
  </si>
  <si>
    <t>20510889135</t>
  </si>
  <si>
    <t>20508294566</t>
  </si>
  <si>
    <t>20510888911</t>
  </si>
  <si>
    <t>20504311342</t>
  </si>
  <si>
    <t>20304177552</t>
  </si>
  <si>
    <t>20155945860</t>
  </si>
  <si>
    <t>20101071562</t>
  </si>
  <si>
    <t>20510398158</t>
  </si>
  <si>
    <t>20432405525</t>
  </si>
  <si>
    <t>20100127165</t>
  </si>
  <si>
    <t>20266352337</t>
  </si>
  <si>
    <t>20142829551</t>
  </si>
  <si>
    <t>20517207331</t>
  </si>
  <si>
    <t>20513251506</t>
  </si>
  <si>
    <t>20332473388</t>
  </si>
  <si>
    <t>20371828851</t>
  </si>
  <si>
    <t>20100085225</t>
  </si>
  <si>
    <t>20518497104</t>
  </si>
  <si>
    <t>20100039207</t>
  </si>
  <si>
    <t>20504645046</t>
  </si>
  <si>
    <t>20423075059</t>
  </si>
  <si>
    <t>20259829594</t>
  </si>
  <si>
    <t>20509959766</t>
  </si>
  <si>
    <t>20258262728</t>
  </si>
  <si>
    <t>20100176450</t>
  </si>
  <si>
    <t>20100041953</t>
  </si>
  <si>
    <t>20100617332</t>
  </si>
  <si>
    <t>20308422942</t>
  </si>
  <si>
    <t>20213053915</t>
  </si>
  <si>
    <t>20184778824</t>
  </si>
  <si>
    <t>20457830905</t>
  </si>
  <si>
    <t>20100128056</t>
  </si>
  <si>
    <t>20515248880</t>
  </si>
  <si>
    <t>20171724687</t>
  </si>
  <si>
    <t>20509534838</t>
  </si>
  <si>
    <t>20513320915</t>
  </si>
  <si>
    <t>20100134706</t>
  </si>
  <si>
    <t>20378721998</t>
  </si>
  <si>
    <t>20168702346</t>
  </si>
  <si>
    <t>20203058781</t>
  </si>
  <si>
    <t>20101363008</t>
  </si>
  <si>
    <t>20110964928</t>
  </si>
  <si>
    <t>20195867233</t>
  </si>
  <si>
    <t>20100118174</t>
  </si>
  <si>
    <t>20100043140</t>
  </si>
  <si>
    <t>20463627488</t>
  </si>
  <si>
    <t>20519395224</t>
  </si>
  <si>
    <t>20100003351</t>
  </si>
  <si>
    <t>20256136865</t>
  </si>
  <si>
    <t>20429350264</t>
  </si>
  <si>
    <t>20100114349</t>
  </si>
  <si>
    <t>20100142989</t>
  </si>
  <si>
    <t>20303180720</t>
  </si>
  <si>
    <t>20153045021</t>
  </si>
  <si>
    <t>20182246078</t>
  </si>
  <si>
    <t>20299935648</t>
  </si>
  <si>
    <t>20513215887</t>
  </si>
  <si>
    <t>20170072465</t>
  </si>
  <si>
    <t>20100017572</t>
  </si>
  <si>
    <t>20100151384</t>
  </si>
  <si>
    <t>20536903519</t>
  </si>
  <si>
    <t>20100104114</t>
  </si>
  <si>
    <t>20506766762</t>
  </si>
  <si>
    <t>20100147514</t>
  </si>
  <si>
    <t>20507493476</t>
  </si>
  <si>
    <t>20330791684</t>
  </si>
  <si>
    <t>20100070970</t>
  </si>
  <si>
    <t>20466590747</t>
  </si>
  <si>
    <t>20204621242</t>
  </si>
  <si>
    <t>20433763221</t>
  </si>
  <si>
    <t>20100971772</t>
  </si>
  <si>
    <t>20510569491</t>
  </si>
  <si>
    <t>20499433698</t>
  </si>
  <si>
    <t>20100017491</t>
  </si>
  <si>
    <t>20501827623</t>
  </si>
  <si>
    <t>20458362077</t>
  </si>
  <si>
    <t>20290000263</t>
  </si>
  <si>
    <t>20515621190</t>
  </si>
  <si>
    <t>20522473571</t>
  </si>
  <si>
    <t>20432807160</t>
  </si>
  <si>
    <t>20337564373</t>
  </si>
  <si>
    <t>20520694910</t>
  </si>
  <si>
    <t>20100132592</t>
  </si>
  <si>
    <t>20101395031</t>
  </si>
  <si>
    <t>20555286831</t>
  </si>
  <si>
    <t>20499432021</t>
  </si>
  <si>
    <t>20100003946</t>
  </si>
  <si>
    <t>20100137390</t>
  </si>
  <si>
    <t>20100113610</t>
  </si>
  <si>
    <t>20100102413</t>
  </si>
  <si>
    <t>20211614545</t>
  </si>
  <si>
    <t>20297868790</t>
  </si>
  <si>
    <t>20492055973</t>
  </si>
  <si>
    <t>20493840925</t>
  </si>
  <si>
    <t>20377575351</t>
  </si>
  <si>
    <t>20399253030</t>
  </si>
  <si>
    <t>20100119065</t>
  </si>
  <si>
    <t>20100692628</t>
  </si>
  <si>
    <t>20100181534</t>
  </si>
  <si>
    <t>20100015014</t>
  </si>
  <si>
    <t>20511129975</t>
  </si>
  <si>
    <t>20511125040</t>
  </si>
  <si>
    <t>20518410858</t>
  </si>
  <si>
    <t>20390625007</t>
  </si>
  <si>
    <t>20513469471</t>
  </si>
  <si>
    <t>20510210451</t>
  </si>
  <si>
    <t>20516373301</t>
  </si>
  <si>
    <t>20110886862</t>
  </si>
  <si>
    <t>20100228352</t>
  </si>
  <si>
    <t>20100355206</t>
  </si>
  <si>
    <t>20104347691</t>
  </si>
  <si>
    <t>20119982911</t>
  </si>
  <si>
    <t>20153275450</t>
  </si>
  <si>
    <t>20197226944</t>
  </si>
  <si>
    <t>20205605500</t>
  </si>
  <si>
    <t>20262207774</t>
  </si>
  <si>
    <t>20329560687</t>
  </si>
  <si>
    <t>20337996834</t>
  </si>
  <si>
    <t>20345337769</t>
  </si>
  <si>
    <t>20348817401</t>
  </si>
  <si>
    <t>20379859888</t>
  </si>
  <si>
    <t>20382072023</t>
  </si>
  <si>
    <t>20419455912</t>
  </si>
  <si>
    <t>20432347142</t>
  </si>
  <si>
    <t>20432348114</t>
  </si>
  <si>
    <t>20433819544</t>
  </si>
  <si>
    <t>20433841558</t>
  </si>
  <si>
    <t>20504843867</t>
  </si>
  <si>
    <t>20505153970</t>
  </si>
  <si>
    <t>20507941304</t>
  </si>
  <si>
    <t>20507977082</t>
  </si>
  <si>
    <t>20508499702</t>
  </si>
  <si>
    <t>20509709573</t>
  </si>
  <si>
    <t>20510017375</t>
  </si>
  <si>
    <t>20510017456</t>
  </si>
  <si>
    <t>20510169558</t>
  </si>
  <si>
    <t>20513155965</t>
  </si>
  <si>
    <t>20536924869</t>
  </si>
  <si>
    <t>20380122317</t>
  </si>
  <si>
    <t>20509016454</t>
  </si>
  <si>
    <t>20392895800</t>
  </si>
  <si>
    <t>20100042330</t>
  </si>
  <si>
    <t>20139425287</t>
  </si>
  <si>
    <t>20510452624</t>
  </si>
  <si>
    <t>20300119884</t>
  </si>
  <si>
    <t>PIVOTE</t>
  </si>
  <si>
    <t>VALIDACIONES</t>
  </si>
  <si>
    <t>Declaró patrimonio en el Panorama B. y coincide con el detalle de la Tabla VI.</t>
  </si>
  <si>
    <t>Panorama B.</t>
  </si>
  <si>
    <t>Patrimonio</t>
  </si>
  <si>
    <t>Tabla VI.</t>
  </si>
  <si>
    <t>No residentes</t>
  </si>
  <si>
    <t>Residentes</t>
  </si>
  <si>
    <t>Declaró inversiones en empresas no residentes y el saldo es menor o igual que el activo total del Panorama B.</t>
  </si>
  <si>
    <t>Activo total</t>
  </si>
  <si>
    <t>Relacionadas</t>
  </si>
  <si>
    <t>No relacionadas</t>
  </si>
  <si>
    <t>El balance de servicios del Panorama C es igual al de la Tabla I.</t>
  </si>
  <si>
    <t>Panorama C.</t>
  </si>
  <si>
    <t>Ingresos</t>
  </si>
  <si>
    <t>Egresos</t>
  </si>
  <si>
    <t>Declaró inversión en empresas no residentes en Panorama A. y coincide con saldos y flujos de la Tabla VI.</t>
  </si>
  <si>
    <t>Panorama A.</t>
  </si>
  <si>
    <t>Empresas de propiedad no residente (número)</t>
  </si>
  <si>
    <t>Saldo inicial</t>
  </si>
  <si>
    <t>(+) Aportes y operaciones</t>
  </si>
  <si>
    <t>(+) Resultado de operación</t>
  </si>
  <si>
    <t>(-) Dividendos</t>
  </si>
  <si>
    <t>(+) Otros flujos</t>
  </si>
  <si>
    <t>Saldo final</t>
  </si>
  <si>
    <t>Declaró accionistas no residentes en Panorama A. y coincide con saldos y flujos de la Tabla VI.</t>
  </si>
  <si>
    <t>Accionistas residentes (porcentaje)</t>
  </si>
  <si>
    <t>Accionistas no residentes (porcentaje)</t>
  </si>
  <si>
    <t>(+) Resultado de operación (porcentaje aplicado)</t>
  </si>
  <si>
    <t>(-) Dividendos (porcentaje aplicado)</t>
  </si>
  <si>
    <t>(+) Otros flujos (porcentaje aplicado)</t>
  </si>
  <si>
    <t>Declaró obligaciones de instrumentos de deuda y detalló sus respectivos calendarios de pago</t>
  </si>
  <si>
    <t>Tabla III.1</t>
  </si>
  <si>
    <t>Frente a empresas relacionadas</t>
  </si>
  <si>
    <t>Frente a empresas no relacionadas</t>
  </si>
  <si>
    <t>Año 1</t>
  </si>
  <si>
    <t>Año 2</t>
  </si>
  <si>
    <t>Año 3</t>
  </si>
  <si>
    <t>Año 4</t>
  </si>
  <si>
    <t>Año 5</t>
  </si>
  <si>
    <t>En adelante</t>
  </si>
  <si>
    <t>La variación del patrimonio es explicado por las fuentes solicitadas</t>
  </si>
  <si>
    <t>A.1. Accionistas inmediatos de la empresa declarante</t>
  </si>
  <si>
    <t>CÓDIGO</t>
  </si>
  <si>
    <t>País de residencia</t>
  </si>
  <si>
    <t xml:space="preserve"> cod_ETBP_ANT</t>
  </si>
  <si>
    <t xml:space="preserve"> cod_ETBP_NEW</t>
  </si>
  <si>
    <t>01.01.00.</t>
  </si>
  <si>
    <t>1.1. RESIDENTES</t>
  </si>
  <si>
    <t>01.01.01.</t>
  </si>
  <si>
    <t>Perú</t>
  </si>
  <si>
    <t>01.01.02.</t>
  </si>
  <si>
    <t>01.01.03.</t>
  </si>
  <si>
    <t>01.01.04.</t>
  </si>
  <si>
    <t>01.01.05.</t>
  </si>
  <si>
    <t>01.01.06.</t>
  </si>
  <si>
    <t>01.01.07.</t>
  </si>
  <si>
    <t>01.01.08.</t>
  </si>
  <si>
    <t>01.01.09.</t>
  </si>
  <si>
    <t>01.01.10.</t>
  </si>
  <si>
    <t>01.02.00.</t>
  </si>
  <si>
    <t>1.2 NO RESIDENTES</t>
  </si>
  <si>
    <t>01.02.01.</t>
  </si>
  <si>
    <t>Elija el país</t>
  </si>
  <si>
    <t>01.02.02.</t>
  </si>
  <si>
    <t>01.02.03.</t>
  </si>
  <si>
    <t>01.02.04.</t>
  </si>
  <si>
    <t>01.02.05.</t>
  </si>
  <si>
    <t>01.02.06.</t>
  </si>
  <si>
    <t>01.02.07.</t>
  </si>
  <si>
    <t>01.02.08.</t>
  </si>
  <si>
    <t>01.02.09.</t>
  </si>
  <si>
    <t>01.02.10.</t>
  </si>
  <si>
    <t>Notas para la parte A.1:</t>
  </si>
  <si>
    <t>A.2. Empresas de propiedad inmediata de la empresa declarante</t>
  </si>
  <si>
    <t>02.01.00.</t>
  </si>
  <si>
    <t>1. RESIDENTES</t>
  </si>
  <si>
    <t>02.01.01.</t>
  </si>
  <si>
    <t>02.01.02.</t>
  </si>
  <si>
    <t>02.01.03.</t>
  </si>
  <si>
    <t>02.01.04.</t>
  </si>
  <si>
    <t>02.01.05.</t>
  </si>
  <si>
    <t>02.01.06.</t>
  </si>
  <si>
    <t>02.01.07.</t>
  </si>
  <si>
    <t>02.01.08.</t>
  </si>
  <si>
    <t>02.01.09.</t>
  </si>
  <si>
    <t>02.01.10.</t>
  </si>
  <si>
    <t>02.02.00.</t>
  </si>
  <si>
    <t>2. NO RESIDENTES</t>
  </si>
  <si>
    <t>02.02.01.</t>
  </si>
  <si>
    <t>02.02.02.</t>
  </si>
  <si>
    <t>02.02.03.</t>
  </si>
  <si>
    <t>02.02.04.</t>
  </si>
  <si>
    <t>02.02.05.</t>
  </si>
  <si>
    <t>02.02.06.</t>
  </si>
  <si>
    <t>02.02.07.</t>
  </si>
  <si>
    <t>02.02.08.</t>
  </si>
  <si>
    <t>02.02.09.</t>
  </si>
  <si>
    <t>02.02.10.</t>
  </si>
  <si>
    <t>Notas para la parte A.2:</t>
  </si>
  <si>
    <t>A.3. Empresas emparentadas con la empresa declarante (*)</t>
  </si>
  <si>
    <t>03.01.00.</t>
  </si>
  <si>
    <t>03.01.01.</t>
  </si>
  <si>
    <t>03.01.02.</t>
  </si>
  <si>
    <t>03.01.03.</t>
  </si>
  <si>
    <t>03.01.04.</t>
  </si>
  <si>
    <t>03.01.05.</t>
  </si>
  <si>
    <t>03.01.06.</t>
  </si>
  <si>
    <t>03.01.07.</t>
  </si>
  <si>
    <t>03.01.08.</t>
  </si>
  <si>
    <t>03.01.09.</t>
  </si>
  <si>
    <t>03.01.10.</t>
  </si>
  <si>
    <t>03.02.00.</t>
  </si>
  <si>
    <t>03.02.01.</t>
  </si>
  <si>
    <t>03.02.02.</t>
  </si>
  <si>
    <t>03.02.03.</t>
  </si>
  <si>
    <t>03.02.04.</t>
  </si>
  <si>
    <t>03.02.05.</t>
  </si>
  <si>
    <t>03.02.06.</t>
  </si>
  <si>
    <t>03.02.07.</t>
  </si>
  <si>
    <t>03.02.08.</t>
  </si>
  <si>
    <t>03.02.09.</t>
  </si>
  <si>
    <t>03.02.10.</t>
  </si>
  <si>
    <t>Notas para la parte A.3:</t>
  </si>
  <si>
    <t>(*) Emparentadas: aquellas que comparten con la empresa declarante un propietario común (inmediato o indirecto) en algún punto de la cadena de propiedad, 
    propietario que cuenta con el 10% o más de la propiedad (inmediata o indirecta) de la empresa declarante y de la emparentada..</t>
  </si>
  <si>
    <t xml:space="preserve">    De preferencia ordenar de mayor a menor, según el grado de importancia de las posiciones activas o pasivas que tienen con la empresa declarante.</t>
  </si>
  <si>
    <t>1/ Personas jurídicas. Reportar solo las empresas con las cuales la declarante mantiene una posición acreedora o deudora (solo hasta llenar la lista, si fuera posible).</t>
  </si>
  <si>
    <t>NUMERACIÓN DE COLUMNAS</t>
  </si>
  <si>
    <t>01</t>
  </si>
  <si>
    <t>02</t>
  </si>
  <si>
    <t>03</t>
  </si>
  <si>
    <t>04</t>
  </si>
  <si>
    <t>05</t>
  </si>
  <si>
    <t>06</t>
  </si>
  <si>
    <t>S A L D O S</t>
  </si>
  <si>
    <t>Pivote_1</t>
  </si>
  <si>
    <t>Pivote_2</t>
  </si>
  <si>
    <t>Moneda 
Nacional
 (en miles de soles)</t>
  </si>
  <si>
    <t>Moneda 
Extranjera
(en miles de 
US dólares)</t>
  </si>
  <si>
    <t>TOTAL
(en miles de 
US dólares)</t>
  </si>
  <si>
    <t>A</t>
  </si>
  <si>
    <t>B</t>
  </si>
  <si>
    <t>C</t>
  </si>
  <si>
    <t>D</t>
  </si>
  <si>
    <t>E</t>
  </si>
  <si>
    <t>F</t>
  </si>
  <si>
    <t>.01.</t>
  </si>
  <si>
    <t>19..01.</t>
  </si>
  <si>
    <t>I. ACTIVO TOTAL</t>
  </si>
  <si>
    <t>01.01.</t>
  </si>
  <si>
    <t>1. Activo corriente</t>
  </si>
  <si>
    <t>01.</t>
  </si>
  <si>
    <t>1.1. Efectivo y equivalentes de efectivo</t>
  </si>
  <si>
    <t>02.</t>
  </si>
  <si>
    <t>1.2. Otros activos financieros</t>
  </si>
  <si>
    <t>02.01.</t>
  </si>
  <si>
    <t>1.2.0.1. De los cuales: Depósitos</t>
  </si>
  <si>
    <t>02.02.</t>
  </si>
  <si>
    <t>1.2.0.2. De los cuales: Bonos</t>
  </si>
  <si>
    <t>03.</t>
  </si>
  <si>
    <t>1.3. Cuentas por cobrar comerciales y otras cuentas por cobrar</t>
  </si>
  <si>
    <t>03.01.</t>
  </si>
  <si>
    <t>1.3.0.1. De las cuales: Cuentas por cobrar comerciales</t>
  </si>
  <si>
    <t>03.02.</t>
  </si>
  <si>
    <t>1.3.0.2. De las cuales: Cuentas por cobrar a entidades relacionadas</t>
  </si>
  <si>
    <t>04.</t>
  </si>
  <si>
    <t>1.4. Resto</t>
  </si>
  <si>
    <t>01.02.</t>
  </si>
  <si>
    <t>2. Activo no corriente</t>
  </si>
  <si>
    <t>2.1. Otros activos financieros</t>
  </si>
  <si>
    <t>2.1.0.1. De los cuales: Depósitos</t>
  </si>
  <si>
    <t>2.1.0.2. De los cuales: Bonos</t>
  </si>
  <si>
    <t>2.2. Cuentas por cobrar comerciales y otras cuentas por cobrar</t>
  </si>
  <si>
    <t>2.2.0.1. De las cuales: Cuentas por cobrar comerciales</t>
  </si>
  <si>
    <t>2.2.0.2. De las cuales: Cuentas por cobrar a entidades relacionadas</t>
  </si>
  <si>
    <t>2.3. Resto</t>
  </si>
  <si>
    <t>.02.</t>
  </si>
  <si>
    <t>19..02.</t>
  </si>
  <si>
    <t>II. PASIVO TOTAL</t>
  </si>
  <si>
    <t>19..02.02.</t>
  </si>
  <si>
    <t>19..02.03.</t>
  </si>
  <si>
    <t>.99.</t>
  </si>
  <si>
    <t>19..99.</t>
  </si>
  <si>
    <t>III. PATRIMONIO ( I - II )</t>
  </si>
  <si>
    <t xml:space="preserve">(*) Para convertir de soles a dólares use las cifras de la hoja "Tipo de Cambio". </t>
  </si>
  <si>
    <t>MEMO: Del Estado de Resultados (Resultado Neto del Ejercicio)</t>
  </si>
  <si>
    <t>MOVIMIENTO POR TRANSACCIONES Y VARIACIONES (en miles de soles)</t>
  </si>
  <si>
    <t>19..03.</t>
  </si>
  <si>
    <t>CONCEPTO</t>
  </si>
  <si>
    <t>EN EL TRIMESTRE ANTERIOR</t>
  </si>
  <si>
    <t>1. Ganancia (pérdida) neta del ejercicio</t>
  </si>
  <si>
    <t>Del cual: Diferencias de cambio neto</t>
  </si>
  <si>
    <t>(En miles de US dólares)</t>
  </si>
  <si>
    <t>Saldos</t>
  </si>
  <si>
    <t>.01.01.</t>
  </si>
  <si>
    <t>.01.01.01.</t>
  </si>
  <si>
    <t>1.1. Denominados en moneda extranjera</t>
  </si>
  <si>
    <t>.01.01.02.</t>
  </si>
  <si>
    <t>1.2. Denominados en moneda nacional</t>
  </si>
  <si>
    <t>.01.02.</t>
  </si>
  <si>
    <t>.02.01.</t>
  </si>
  <si>
    <t>1. Denominados en moneda extranjera</t>
  </si>
  <si>
    <t>.02.02.</t>
  </si>
  <si>
    <t>2. Denominados en moneda nacional</t>
  </si>
  <si>
    <t xml:space="preserve">1. COMPRA Y VENTA DE BIENES </t>
  </si>
  <si>
    <t>1.1. Venta de bienes</t>
  </si>
  <si>
    <t>1.1.1. En el país</t>
  </si>
  <si>
    <t>1.1.2. Al exterior (exportaciones f.o.b.)</t>
  </si>
  <si>
    <t>1.2. Compras de bienes del exterior (importaciones f.o.b.)</t>
  </si>
  <si>
    <t>2. COMPRA Y VENTA DE SERVICIOS</t>
  </si>
  <si>
    <t>2.1. Venta de servicios</t>
  </si>
  <si>
    <t>2.1.1. En el país</t>
  </si>
  <si>
    <t>2.1.2. Al exterior (exportación de servicios)</t>
  </si>
  <si>
    <t>2.2. Compras del exterior (importación de servicios)</t>
  </si>
  <si>
    <t>(*) Excluya el impuesto general a las ventas. Para convertir de soles a dólares use las cifras de la hoja "Tipo de Cambio"</t>
  </si>
  <si>
    <t xml:space="preserve">INGRESOS </t>
  </si>
  <si>
    <t xml:space="preserve">EGRESOS </t>
  </si>
  <si>
    <t>1</t>
  </si>
  <si>
    <t>1.1</t>
  </si>
  <si>
    <t xml:space="preserve"> Transporte marítimo</t>
  </si>
  <si>
    <t>Pasajeros</t>
  </si>
  <si>
    <t>Flete</t>
  </si>
  <si>
    <t>Otros servicios de apoyo y auxiliares del transporte</t>
  </si>
  <si>
    <t xml:space="preserve">1.2 </t>
  </si>
  <si>
    <t>Transporte aéreo</t>
  </si>
  <si>
    <t>1.3</t>
  </si>
  <si>
    <t>1.4</t>
  </si>
  <si>
    <t>Servicios postales y de mensajería (excluir giros postales de dinero) - incluye todas las modalidades de transporte</t>
  </si>
  <si>
    <t>2</t>
  </si>
  <si>
    <t>Servicios de Telecomunicaciones, informática e información</t>
  </si>
  <si>
    <t xml:space="preserve">2.1 </t>
  </si>
  <si>
    <t>2.2</t>
  </si>
  <si>
    <t xml:space="preserve"> Servicios de Informática</t>
  </si>
  <si>
    <t>2.3</t>
  </si>
  <si>
    <t xml:space="preserve"> Servicios de Información</t>
  </si>
  <si>
    <t>Servicios de Construcción</t>
  </si>
  <si>
    <t>3.1</t>
  </si>
  <si>
    <t xml:space="preserve"> Construcción en el extranjero</t>
  </si>
  <si>
    <t>Valor total bruto de los trabajos de construcción (Ingresos)</t>
  </si>
  <si>
    <t>Bienes y Servicios de la Construcción (Egresos)</t>
  </si>
  <si>
    <t>Remuneración de empleados (Egresos)</t>
  </si>
  <si>
    <t xml:space="preserve">3.2 </t>
  </si>
  <si>
    <t>Construcción en el Perú (en el país)</t>
  </si>
  <si>
    <t>Valor total bruto de los trabajos de construcción (Egresos)</t>
  </si>
  <si>
    <t>Bienes y Servicios de la Construcción (Ingresos)</t>
  </si>
  <si>
    <t>Remuneración de empleados (Ingresos)</t>
  </si>
  <si>
    <t xml:space="preserve">5.1  </t>
  </si>
  <si>
    <t>Cargos por el uso de propiedad intelectual (patentes, franquicias, marcas registradas)</t>
  </si>
  <si>
    <t>5.2</t>
  </si>
  <si>
    <t>Cargos por licencias para reproducir y/o distribuir  propiedad intelectual</t>
  </si>
  <si>
    <t>Otros Servicios Empresariales</t>
  </si>
  <si>
    <t>6.1</t>
  </si>
  <si>
    <t>Investigación y desarrollo</t>
  </si>
  <si>
    <t>6.2</t>
  </si>
  <si>
    <t>Servicios profesionales y de consultoría en administración de empresas</t>
  </si>
  <si>
    <t>6.3</t>
  </si>
  <si>
    <t>Servicios técnicos, relacionados con el comercio (comisiones de corredores, distribuidores y agentes de venta)  y otros servicios empresariales</t>
  </si>
  <si>
    <t>6.4</t>
  </si>
  <si>
    <t xml:space="preserve">Otros servicios empresariales. Especificar: </t>
  </si>
  <si>
    <t/>
  </si>
  <si>
    <t>Servicios Personales, Culturales y Recreativos</t>
  </si>
  <si>
    <t>7.1</t>
  </si>
  <si>
    <t>Servicios audiovisuales y conexos</t>
  </si>
  <si>
    <t>7.2</t>
  </si>
  <si>
    <t>Otros servicios personales, culturales y recreativos</t>
  </si>
  <si>
    <t xml:space="preserve">Servicios de Mantenimiento y Reparaciones </t>
  </si>
  <si>
    <t>10</t>
  </si>
  <si>
    <t xml:space="preserve">10.1 </t>
  </si>
  <si>
    <t>Seguros de bienes (transporte de carga)</t>
  </si>
  <si>
    <t xml:space="preserve">Primas pagadas </t>
  </si>
  <si>
    <t>Indeminizaciones recibidas  (Siniestros)</t>
  </si>
  <si>
    <t xml:space="preserve">10.2 </t>
  </si>
  <si>
    <t>Otros seguros directos</t>
  </si>
  <si>
    <t>10.3</t>
  </si>
  <si>
    <t xml:space="preserve"> Seguros de vida</t>
  </si>
  <si>
    <t>11</t>
  </si>
  <si>
    <t>Aportes de pensiones realizadas por corredores y agentes en nombre de empleados residentes y no residentes: ¿Paga su empresa o sus subsidiarias de Perú contribuciones de pensiones:</t>
  </si>
  <si>
    <t xml:space="preserve">11.1  </t>
  </si>
  <si>
    <t xml:space="preserve">En nombre de empleados residentes a fondos de pensiones no residentes? </t>
  </si>
  <si>
    <t>Elija una opción</t>
  </si>
  <si>
    <t xml:space="preserve">11.2 </t>
  </si>
  <si>
    <t xml:space="preserve"> En nombre de empleados no residentes a fondos de pensiones residentes?</t>
  </si>
  <si>
    <t xml:space="preserve">11.3  </t>
  </si>
  <si>
    <t>En nombre de empleados no residentes a fondos de pensiones no residentes?</t>
  </si>
  <si>
    <t>12</t>
  </si>
  <si>
    <t xml:space="preserve">Aportes de pensiones realizadas por corredores y agentes en nombre de empleados residentes y no residentes </t>
  </si>
  <si>
    <t>Contribuciones realizadas a fondos de pensiones:</t>
  </si>
  <si>
    <t>12.1</t>
  </si>
  <si>
    <t>En nombre de empleados residentes a fondo de pensiones no residentes</t>
  </si>
  <si>
    <t>12.2</t>
  </si>
  <si>
    <t>En nombre de empleados no residentes a fondos de pensiones residentes</t>
  </si>
  <si>
    <t>12.3</t>
  </si>
  <si>
    <t>En nombre de empleados no residentes a fondo de pensiones no residentes</t>
  </si>
  <si>
    <t>07</t>
  </si>
  <si>
    <t>En miles de US dólares</t>
  </si>
  <si>
    <t>Esta tabla tiene dos partes: Parte A y Parte B.</t>
  </si>
  <si>
    <t>DERECHOS SOBRE EMPRESAS RELACIONADAS</t>
  </si>
  <si>
    <t>I. SALDOS Y FLUJOS DE LA DEUDA DEL PRINCIPAL</t>
  </si>
  <si>
    <t>II. INTERESES</t>
  </si>
  <si>
    <t>Aumento del saldo
(adquisición  
de activos)</t>
  </si>
  <si>
    <t>Disminución del saldo
(venta de activos)</t>
  </si>
  <si>
    <t>COBRADOS</t>
  </si>
  <si>
    <t>DEVENGADOS</t>
  </si>
  <si>
    <t>E = A+B-C+D</t>
  </si>
  <si>
    <t>G</t>
  </si>
  <si>
    <t>.01.00.01.</t>
  </si>
  <si>
    <t>401</t>
  </si>
  <si>
    <t>.01.00.02.</t>
  </si>
  <si>
    <t>411</t>
  </si>
  <si>
    <t>.02.00.01.</t>
  </si>
  <si>
    <t>402</t>
  </si>
  <si>
    <t>.02.00.02.</t>
  </si>
  <si>
    <t>412</t>
  </si>
  <si>
    <t>.03.</t>
  </si>
  <si>
    <t>.03.00.01.</t>
  </si>
  <si>
    <t>.03.00.02.</t>
  </si>
  <si>
    <t>.04.</t>
  </si>
  <si>
    <t>.04.00.01.</t>
  </si>
  <si>
    <t>.04.00.02.</t>
  </si>
  <si>
    <t xml:space="preserve">I. TOTAL </t>
  </si>
  <si>
    <t>Notas:</t>
  </si>
  <si>
    <t xml:space="preserve">      Solo en el caso en que la empresa declarante (ED) y su contraparte no residente sean sociedades financieras afiliadas, las posiciones deben considerarse como con terceros no relacionados</t>
  </si>
  <si>
    <t xml:space="preserve">    (parte B). Este caso se aplica a las sociedades captadoras de depósitos (bancos y otros), fondos de inversión y otros intermediarios financieros (excepto seguros y fondos de pensiones).</t>
  </si>
  <si>
    <t>Parte B. Sobre empresas no residentes no relacionadas</t>
  </si>
  <si>
    <t>Iniciliazador:</t>
  </si>
  <si>
    <t>DERECHOS SOBRE EMPRESAS
 NO RELACIONADAS</t>
  </si>
  <si>
    <t>400</t>
  </si>
  <si>
    <t>403</t>
  </si>
  <si>
    <t>413</t>
  </si>
  <si>
    <t>.01.02.01.</t>
  </si>
  <si>
    <t>404</t>
  </si>
  <si>
    <t>.01.02.02.</t>
  </si>
  <si>
    <t>414</t>
  </si>
  <si>
    <t>.01.03.</t>
  </si>
  <si>
    <t>.01.03.01.</t>
  </si>
  <si>
    <t>.01.03.02.</t>
  </si>
  <si>
    <t>420</t>
  </si>
  <si>
    <t>.02.01.01.</t>
  </si>
  <si>
    <t>421</t>
  </si>
  <si>
    <t>.02.01.02.</t>
  </si>
  <si>
    <t>422</t>
  </si>
  <si>
    <t>.03.01.</t>
  </si>
  <si>
    <t>430</t>
  </si>
  <si>
    <t xml:space="preserve">C. ACTIVOS POR DEPÓSITOS EN MONEDA EXTRANJERA </t>
  </si>
  <si>
    <t>.03.01.01.</t>
  </si>
  <si>
    <t>431</t>
  </si>
  <si>
    <t>1. EN EL EXTERIOR</t>
  </si>
  <si>
    <t>.03.01.02.</t>
  </si>
  <si>
    <t>432</t>
  </si>
  <si>
    <t>2. EN EL PAÍS</t>
  </si>
  <si>
    <t>440</t>
  </si>
  <si>
    <t>I. TOTAL</t>
  </si>
  <si>
    <t xml:space="preserve">     </t>
  </si>
  <si>
    <t>Memo. Otras cuentas por cobrar: Posiciones y movimientos relacionados con los seguros contratados con aseguradoras no residentes</t>
  </si>
  <si>
    <t>.01.03..</t>
  </si>
  <si>
    <t>3.1.  SEGUROS, PENSIONES Y MECANISMOS NORMALIZADOS DE GARANTÍA</t>
  </si>
  <si>
    <t>.01.03..01</t>
  </si>
  <si>
    <t>.01.03..02</t>
  </si>
  <si>
    <t xml:space="preserve">    Incluye adelantos proporcionados por la empresa declarante a proveedores externos para la provisión futura de bienes o servicios (prefinanciamiento de importaciones).</t>
  </si>
  <si>
    <t>RESPUESTA</t>
  </si>
  <si>
    <t>MARQUE CON
 UNA "X"</t>
  </si>
  <si>
    <t>SI</t>
  </si>
  <si>
    <t>NO</t>
  </si>
  <si>
    <t>Esta tabla tiene tres partes: Parte A, Parte B y Parte B.1</t>
  </si>
  <si>
    <t>Parte A. Obligaciones frente a empresas no residentes relacionadas: principal  1/</t>
  </si>
  <si>
    <t>OBLIGACIONES FRENTE A 
EMPRESAS RELACIONADAS</t>
  </si>
  <si>
    <t>II. ATRASOS DEL PRINCIPAL</t>
  </si>
  <si>
    <t>Aumento del saldo
(nuevos préstamos)</t>
  </si>
  <si>
    <t>Principal vencido 
pero no pagado.</t>
  </si>
  <si>
    <t>E =A+B-C+D</t>
  </si>
  <si>
    <t>H</t>
  </si>
  <si>
    <t xml:space="preserve">      Solo en el caso en que la empresa declarante (ED) y su contraparte no residente sean sociedades financieras afiliadas, las posiciones deben considerarse como con terceros no relacionados (parte B).</t>
  </si>
  <si>
    <t xml:space="preserve">    Este caso se aplica a las sociedades captadoras de depósitos (bancos y otros), fondos de inversión y otros intermediarios financieros (excepto seguros y fondos de pensiones).</t>
  </si>
  <si>
    <t xml:space="preserve">Parte B. Obligaciones frente a empresas no residentes no relacionadas: principal </t>
  </si>
  <si>
    <t>OBLIGACIONES FRENTE A 
EMPRESAS NO RELACIONADAS</t>
  </si>
  <si>
    <r>
      <t xml:space="preserve">A. PASIVOS DE DEUDA EXTERNA DISTINTOS DE BONOS
    </t>
    </r>
    <r>
      <rPr>
        <b/>
        <sz val="12"/>
        <rFont val="Traditional Arabic"/>
        <family val="1"/>
      </rPr>
      <t xml:space="preserve"> </t>
    </r>
    <r>
      <rPr>
        <b/>
        <sz val="11"/>
        <rFont val="Traditional Arabic"/>
        <family val="1"/>
      </rPr>
      <t>(Comprende la deuda con banca comercial extranjera, organismos
      financieros internacionales y cualquier otra entidad no financiera del
      exterior)</t>
    </r>
  </si>
  <si>
    <t>103</t>
  </si>
  <si>
    <t>.03.02.</t>
  </si>
  <si>
    <t>.04.00.</t>
  </si>
  <si>
    <t>B.1 PARTIDAS DE MEMORÁNDUM</t>
  </si>
  <si>
    <t>..01.</t>
  </si>
  <si>
    <t>1. PASIVOS DE DEUDA CON BANCA COMERCIAL EXTRANJERA
   (excluye bonos)</t>
  </si>
  <si>
    <t>..01.01.</t>
  </si>
  <si>
    <t>..01.02.</t>
  </si>
  <si>
    <t>..02.</t>
  </si>
  <si>
    <t>2. PASIVOS DE DEUDA CON ORGANISMOS FINANCIEROS INTERNACIONALES
    (excluye bonos)</t>
  </si>
  <si>
    <t>..02.01.</t>
  </si>
  <si>
    <t>..02.02.</t>
  </si>
  <si>
    <t>B.1.2. Deuda externa relacionada con los seguros contratados con aseguradoras no residentes</t>
  </si>
  <si>
    <t>..03.</t>
  </si>
  <si>
    <t>1. SEGUROS, PENSIONES Y MECANISMOS NORMALIZADOS DE GARANTÍA</t>
  </si>
  <si>
    <t>..03.01.</t>
  </si>
  <si>
    <t>..03.02.</t>
  </si>
  <si>
    <t xml:space="preserve">     Incluye adelantos recibidos de clientes para la provisión futura de bienes o servicios (prefinanciamienbto de exportaciones).</t>
  </si>
  <si>
    <t>Esta tabla tiene dos partes: Parte A y Parte B</t>
  </si>
  <si>
    <t>FRENTE A EMPRESAS RELACIONADAS</t>
  </si>
  <si>
    <t>I. SALDOS Y FLUJOS DE INTERESES DEVENGADOS Y PAGADOS</t>
  </si>
  <si>
    <t>II. ATRASOS DE INTERESES</t>
  </si>
  <si>
    <t>Variaciones por tipo de cambio ú otros (+ , -)</t>
  </si>
  <si>
    <r>
      <t xml:space="preserve">Aumento 
del saldo
</t>
    </r>
    <r>
      <rPr>
        <sz val="14"/>
        <rFont val="Calibri"/>
        <family val="2"/>
      </rPr>
      <t>Devengados 
en el período</t>
    </r>
  </si>
  <si>
    <r>
      <t xml:space="preserve">Disminución 
del saldo
</t>
    </r>
    <r>
      <rPr>
        <sz val="14"/>
        <rFont val="Calibri"/>
        <family val="2"/>
      </rPr>
      <t>Pagados
 en el período</t>
    </r>
  </si>
  <si>
    <t>Intereses vencidos
 pero no pagados.</t>
  </si>
  <si>
    <t>1.  CON INVERSIONISTAS DIRECTOS</t>
  </si>
  <si>
    <t>a. Largo plazo</t>
  </si>
  <si>
    <t>b. Corto plazo</t>
  </si>
  <si>
    <t>2.  CON EMPRESAS DE INVERSIÓN DIRECTA</t>
  </si>
  <si>
    <t>3.  CON EMPARENTADAS, SI MATRIZ COMÚN QUE EJERCE EL CONTROL FINAL
     RESIDE EN EL EXTERIOR</t>
  </si>
  <si>
    <t>4.  CON EMPARENTADAS, SI MATRIZ COMÚN QUE EJECE EL CONTROL FINAL
     RESIDE EN EL PAÍS</t>
  </si>
  <si>
    <r>
      <t xml:space="preserve">    Las categorías de inversionista directo, empresa de </t>
    </r>
    <r>
      <rPr>
        <sz val="12"/>
        <rFont val="Segoe UI"/>
        <family val="2"/>
      </rPr>
      <t>inversión directa,</t>
    </r>
    <r>
      <rPr>
        <sz val="14"/>
        <rFont val="Segoe UI"/>
        <family val="2"/>
      </rPr>
      <t xml:space="preserve"> empresas emparentadas y plazo (corto y largo plazo) corresponden a las definidas en el Formulario III.1, </t>
    </r>
    <r>
      <rPr>
        <sz val="12"/>
        <rFont val="Segoe UI"/>
        <family val="2"/>
      </rPr>
      <t>sección A.</t>
    </r>
  </si>
  <si>
    <t>FRENTE A EMPRESAS NO RELACIONADAS</t>
  </si>
  <si>
    <t>A. PASIVOS DE DEUDA EXTERNA DISTINTOS DE BONOS</t>
  </si>
  <si>
    <t>1.  CRÉDITOS Y ANTICIPOS COMERCIALES</t>
  </si>
  <si>
    <t xml:space="preserve">2.  PRÉSTAMOS  (incluye banca comercial y organismos, entre otros) </t>
  </si>
  <si>
    <t>3.  OTRAS CUENTAS POR PAGAR</t>
  </si>
  <si>
    <t xml:space="preserve">B.TITULOS DE DEUDA DEL MERCADO EXTERNO:  
    EN PODER DE NO RESIDENTES </t>
  </si>
  <si>
    <t>C.TITULOS DE DEUDA DEL MERCADO LOCAL
    EN PODER DE NO RESIDENTES 10/</t>
  </si>
  <si>
    <t>D. DEPÓSITOS EN EL PAÍS DE NO RESIDENTES</t>
  </si>
  <si>
    <r>
      <t xml:space="preserve">   Las diversas categorías de pasivos de deuda y plazo (corto y largo plazo) corresponden a las definidas en el</t>
    </r>
    <r>
      <rPr>
        <sz val="12"/>
        <rFont val="Segoe UI"/>
        <family val="2"/>
      </rPr>
      <t xml:space="preserve"> Formulario III.1, sección B.</t>
    </r>
  </si>
  <si>
    <t>08</t>
  </si>
  <si>
    <t>09</t>
  </si>
  <si>
    <t xml:space="preserve">
FRENTE A EMPRESAS RELACIONADAS</t>
  </si>
  <si>
    <t>CRONOGRAMA DE PAGOS (excluye intereses)</t>
  </si>
  <si>
    <t>0-3 meses</t>
  </si>
  <si>
    <t>4-6 meses</t>
  </si>
  <si>
    <t>7-9 meses</t>
  </si>
  <si>
    <t>10-12 meses</t>
  </si>
  <si>
    <t>13-18 meses
(seis meses)</t>
  </si>
  <si>
    <t>19-24 meses
(seis meses)</t>
  </si>
  <si>
    <t>3er. año</t>
  </si>
  <si>
    <t>4to. año</t>
  </si>
  <si>
    <t>5to. año</t>
  </si>
  <si>
    <t>( 1 )</t>
  </si>
  <si>
    <t>( 2 )</t>
  </si>
  <si>
    <t>( 3 )</t>
  </si>
  <si>
    <t>( 4 )</t>
  </si>
  <si>
    <t>( 5 )</t>
  </si>
  <si>
    <t>( 6 )</t>
  </si>
  <si>
    <t>( 7 )</t>
  </si>
  <si>
    <t>( 8 )</t>
  </si>
  <si>
    <t>( 9 )</t>
  </si>
  <si>
    <t>( 10 )</t>
  </si>
  <si>
    <t>( 11 )</t>
  </si>
  <si>
    <t>(15 )</t>
  </si>
  <si>
    <t>.01.00.01</t>
  </si>
  <si>
    <t>M11</t>
  </si>
  <si>
    <t>.02.00.01</t>
  </si>
  <si>
    <t>.03.00.01</t>
  </si>
  <si>
    <t>4.  CON EMPARENTADAS, SI MATRIZ COMÚN QUE EJERCE EL CONTROL FINAL
     RESIDE EN EL PAÍS</t>
  </si>
  <si>
    <t>.04.00.01</t>
  </si>
  <si>
    <t>I, TOTAL</t>
  </si>
  <si>
    <t xml:space="preserve">    Las diversas categorías de pasivos de deuda y plazo (corto y largo plazo) corresponden a las definidas en el Formulario III.1, sección B.</t>
  </si>
  <si>
    <t xml:space="preserve">
FRENTE A EMPRESAS NO RELACIONADAS</t>
  </si>
  <si>
    <t>M19</t>
  </si>
  <si>
    <t xml:space="preserve">C.TITULOS DE DEUDA DEL MERCADO LOCAL
    EN PODER DE NO RESIDENTES </t>
  </si>
  <si>
    <t xml:space="preserve">D. DEPÓSITOS DE NO RESIDENTES </t>
  </si>
  <si>
    <t>CRONOGRAMA DE PAGOS (excluye el principal)</t>
  </si>
  <si>
    <t xml:space="preserve">   Las diversas categorías de pasivos de deuda y plazo (corto y largo plazo) corresponden a las definidas en el Formulario III.1, sección B.</t>
  </si>
  <si>
    <t>C.TITULOS DE DEUDA DEL MERCADO LOCAL
    EN PODER DE NO RESIDENTES</t>
  </si>
  <si>
    <t>Valores expresados en miles de US dólares</t>
  </si>
  <si>
    <t>M O N E D A</t>
  </si>
  <si>
    <t>DOLAR USA (*)</t>
  </si>
  <si>
    <t>EURO (*)</t>
  </si>
  <si>
    <t>YEN (*)</t>
  </si>
  <si>
    <t>SOLES (*)</t>
  </si>
  <si>
    <t>RESTO (*)</t>
  </si>
  <si>
    <t>(A)</t>
  </si>
  <si>
    <t>(B)</t>
  </si>
  <si>
    <t>(C )</t>
  </si>
  <si>
    <t>(D)</t>
  </si>
  <si>
    <t>(E )</t>
  </si>
  <si>
    <t>(F)</t>
  </si>
  <si>
    <t>1. FRENTE A EMPRESAS RELACIONADAS</t>
  </si>
  <si>
    <t>1.1. DE LARGO PLAZO</t>
  </si>
  <si>
    <t>1.2. DE CORTO PLAZO</t>
  </si>
  <si>
    <t>2. FRENTE A EMPRESAS NO RELACIONADAS</t>
  </si>
  <si>
    <t>2.1. DE LARGO PLAZO</t>
  </si>
  <si>
    <t xml:space="preserve">2.1.1. PASIVOS DE DEUDA EXTERNA DISTINTO DE BONOS </t>
  </si>
  <si>
    <t>2.1.2. PASIVOS DE DEUDA EXTERNA POR BONOS</t>
  </si>
  <si>
    <t>2.2. DE CORTO PLAZO</t>
  </si>
  <si>
    <t>.02.02.01.</t>
  </si>
  <si>
    <t>.02.02.02.</t>
  </si>
  <si>
    <t>2.2.2. PASIVOS DE DEUDA EXTERNA POR BONOS</t>
  </si>
  <si>
    <r>
      <t>Notas</t>
    </r>
    <r>
      <rPr>
        <b/>
        <sz val="16"/>
        <rFont val="Arial"/>
        <family val="2"/>
      </rPr>
      <t>:</t>
    </r>
  </si>
  <si>
    <t>(*) Registrar en la casilla de cada moneda el monto una vez convertido a US$ (en miles).</t>
  </si>
  <si>
    <t xml:space="preserve">    En el caso de bancos y otras entidades declarantes que aceptan depósitos, incluir los depósitos únicamente de no residentes.</t>
  </si>
  <si>
    <t>DESCRIPCIÓN</t>
  </si>
  <si>
    <t>ACTIVOS: SALDOS AL CIERRE DEL PERIODO</t>
  </si>
  <si>
    <t>.01.01.01</t>
  </si>
  <si>
    <t>CON NO RESIDENTES</t>
  </si>
  <si>
    <t>.01.01.02</t>
  </si>
  <si>
    <t>CON RESIDENTES</t>
  </si>
  <si>
    <t>PASIVOS: SALDOS AL CIERRE DEL PERIODO</t>
  </si>
  <si>
    <t>.01.02.01</t>
  </si>
  <si>
    <t>.01.02.02</t>
  </si>
  <si>
    <t>GANANCIAS NO REALIZADAS</t>
  </si>
  <si>
    <t>OTROS</t>
  </si>
  <si>
    <t>1/ Excluya los denominados "derivados implícitos" por no constituir derivados financieros propiamente dichos.</t>
  </si>
  <si>
    <t>2/ En el caso de las empresas del sector financiero (bancos, p. ej.), emplear las cuentas contingentes</t>
  </si>
  <si>
    <t>3/ Registrar el movimiento por derivados financieros de cada periodo, antes de impuestos.</t>
  </si>
  <si>
    <t>( En miles de US dólares)</t>
  </si>
  <si>
    <t>I. Opciones</t>
  </si>
  <si>
    <t>Ingreso de primas</t>
  </si>
  <si>
    <t>Pagos de primas</t>
  </si>
  <si>
    <t>Pagos</t>
  </si>
  <si>
    <t>Activos</t>
  </si>
  <si>
    <t>Pasivos</t>
  </si>
  <si>
    <t xml:space="preserve">UNIDAD DECLARANTE RESIDENTE Y TIPO DE OPERACIÓN </t>
  </si>
  <si>
    <t>Empresa bancaria como contraparte frente a no residentes</t>
  </si>
  <si>
    <t>Operaciones de negociación</t>
  </si>
  <si>
    <t>Operaciones no de negociación (incluye operaciones de cobertura)</t>
  </si>
  <si>
    <t xml:space="preserve">Empresa no bancaria </t>
  </si>
  <si>
    <t>Operaciones con contraparte no residente</t>
  </si>
  <si>
    <t>Operaciones con contraparte inmediata residente (p.ej. con la banca local)</t>
  </si>
  <si>
    <t>II. Futuros y contratos a término</t>
  </si>
  <si>
    <t>.02.03.</t>
  </si>
  <si>
    <t>.02.03.01.</t>
  </si>
  <si>
    <t>.02.03.02.</t>
  </si>
  <si>
    <r>
      <t xml:space="preserve">III. </t>
    </r>
    <r>
      <rPr>
        <b/>
        <i/>
        <sz val="24"/>
        <rFont val="Traditional Arabic"/>
        <family val="1"/>
      </rPr>
      <t>SWAPS</t>
    </r>
  </si>
  <si>
    <t>.03.03.</t>
  </si>
  <si>
    <t>.03.03.01.</t>
  </si>
  <si>
    <t>.03.03.02.</t>
  </si>
  <si>
    <t>Valor hipotético de contratos en moneda extranjera y contratos vinculados a una moneda extranjera</t>
  </si>
  <si>
    <t>I. UNIDAD DECLARANTE: EMPRESAS BANCARIAS RESIDENTES</t>
  </si>
  <si>
    <t>TIPO DE OPERACIÓN</t>
  </si>
  <si>
    <t>Para recibir moneda extranjera de no residentes</t>
  </si>
  <si>
    <t>Futuros y contratos a término</t>
  </si>
  <si>
    <t>Opciones</t>
  </si>
  <si>
    <t>Para pagar moneda extranjera a no residentes</t>
  </si>
  <si>
    <t>.02.02.01</t>
  </si>
  <si>
    <t>.02.02.02</t>
  </si>
  <si>
    <t>II. UNIDAD DECLARANTE: EMPRESAS NO BANCARIAS RESIDENTES</t>
  </si>
  <si>
    <r>
      <t xml:space="preserve">Para recibir moneda extranjera de </t>
    </r>
    <r>
      <rPr>
        <b/>
        <u/>
        <sz val="20"/>
        <color indexed="8"/>
        <rFont val="Arial Narrow"/>
        <family val="2"/>
      </rPr>
      <t>no residentes</t>
    </r>
  </si>
  <si>
    <r>
      <t xml:space="preserve">Para pagar moneda extranjera a </t>
    </r>
    <r>
      <rPr>
        <b/>
        <u/>
        <sz val="20"/>
        <color indexed="8"/>
        <rFont val="Arial Narrow"/>
        <family val="2"/>
      </rPr>
      <t>no residentes</t>
    </r>
  </si>
  <si>
    <r>
      <t xml:space="preserve">Para recibir moneda extranjera de </t>
    </r>
    <r>
      <rPr>
        <b/>
        <u/>
        <sz val="20"/>
        <color indexed="8"/>
        <rFont val="Arial Narrow"/>
        <family val="2"/>
      </rPr>
      <t>residentes</t>
    </r>
  </si>
  <si>
    <r>
      <t xml:space="preserve">Para pagar moneda extranjera a </t>
    </r>
    <r>
      <rPr>
        <b/>
        <u/>
        <sz val="20"/>
        <color indexed="8"/>
        <rFont val="Arial Narrow"/>
        <family val="2"/>
      </rPr>
      <t>residentes</t>
    </r>
  </si>
  <si>
    <t xml:space="preserve">Tabla IV.3 Derivados cambiarios según contraparte 
residente y no residente 
Posiciones para recibir y pagar moneda extranjera del trimestre actual </t>
  </si>
  <si>
    <r>
      <t xml:space="preserve">Valor </t>
    </r>
    <r>
      <rPr>
        <b/>
        <sz val="28"/>
        <rFont val="Arial Narrow"/>
        <family val="2"/>
      </rPr>
      <t>nocional</t>
    </r>
    <r>
      <rPr>
        <sz val="28"/>
        <rFont val="Arial Narrow"/>
        <family val="2"/>
      </rPr>
      <t xml:space="preserve"> de contratos en moneda extranjera y 
contratos vinculados a una moneda extranjera</t>
    </r>
  </si>
  <si>
    <t>UNIDAD DECLARANTE: EMPRESAS NO FINANCIERAS RESIDENTES</t>
  </si>
  <si>
    <t xml:space="preserve">POSICIONES PENDIENTES 
SALDO DE CIERRE DE TRIMESTRE ACTUAL </t>
  </si>
  <si>
    <t>Contraparte
 residente</t>
  </si>
  <si>
    <t>Contraparte 
no residente</t>
  </si>
  <si>
    <t>TOTAL</t>
  </si>
  <si>
    <t>15..</t>
  </si>
  <si>
    <t>I. Operaciones Netas según contraparte (1-2)</t>
  </si>
  <si>
    <t>15..01.</t>
  </si>
  <si>
    <t>1. Para recibir moneda extranjera</t>
  </si>
  <si>
    <t>15..01.01.</t>
  </si>
  <si>
    <t>Futuros</t>
  </si>
  <si>
    <t>15..01.02.</t>
  </si>
  <si>
    <t>Forwards</t>
  </si>
  <si>
    <t>15..01.03.</t>
  </si>
  <si>
    <t>Swaps</t>
  </si>
  <si>
    <t>15..01.04.</t>
  </si>
  <si>
    <t>15..01.05.</t>
  </si>
  <si>
    <t>Otros</t>
  </si>
  <si>
    <t>15..02.</t>
  </si>
  <si>
    <t xml:space="preserve">2. Para pagar moneda extranjera </t>
  </si>
  <si>
    <t>15..02.01.</t>
  </si>
  <si>
    <t>15..02.02.</t>
  </si>
  <si>
    <t>15..02.03.</t>
  </si>
  <si>
    <t>15..02.04.</t>
  </si>
  <si>
    <t>15..02.05.</t>
  </si>
  <si>
    <t>700</t>
  </si>
  <si>
    <t>710</t>
  </si>
  <si>
    <t xml:space="preserve"> 2. FUENTES DE FINANCIAMIENTO</t>
  </si>
  <si>
    <t>.02.01</t>
  </si>
  <si>
    <t>711</t>
  </si>
  <si>
    <t>.02.02</t>
  </si>
  <si>
    <t>720</t>
  </si>
  <si>
    <t>Esta tabla tiene dos partes: Parte A (si la empresa invierte en el exterior) y 
Parte B (si la empresa es de origen extranjero -directa o indirectamente)</t>
  </si>
  <si>
    <t>Parte A. Derechos por las participaciones de la empresa declarante en empresas del exterior</t>
  </si>
  <si>
    <t>Llenar esta Parte A sólo si la empresa declarante tiene participaciones de capital en empresas del exterior.</t>
  </si>
  <si>
    <t>VALOR DE LA PARTICIPACIÓN PATRIMONIAL
 (*)</t>
  </si>
  <si>
    <t>VALOR DE LA PARTICIPACIÓN PATRIMONIAL
(*)</t>
  </si>
  <si>
    <t>PARTICIPACIONES
 DE CAPITAL</t>
  </si>
  <si>
    <t>DIVIDENDOS</t>
  </si>
  <si>
    <t xml:space="preserve">Transacciones:
Aumentos - Disminuciones </t>
  </si>
  <si>
    <r>
      <t xml:space="preserve">Dividendos cobrados o utilidades recibidas
</t>
    </r>
    <r>
      <rPr>
        <b/>
        <sz val="12"/>
        <rFont val="Arial Narrow"/>
        <family val="2"/>
      </rPr>
      <t>(ESTADO DE FLUJO DE EFECTIVO)</t>
    </r>
  </si>
  <si>
    <t>DERECHOS EN:</t>
  </si>
  <si>
    <t>H = 
A + B + C - E + G</t>
  </si>
  <si>
    <t>1. SOBRE EMPRESAS RELACIONADAS</t>
  </si>
  <si>
    <t>.01.01.03</t>
  </si>
  <si>
    <t>.01.01.04</t>
  </si>
  <si>
    <t>Notas para la parte A:</t>
  </si>
  <si>
    <t>(*) Si la empresa declarante emplea el método de costo, para la coherencia entre los saldos (columnas A y H) y las transacciones y variaciones (columnas de la B a la G), los dividendos deben reportarse simultáneamente en las columnas C (signo positivo) y E (signo negativo).</t>
  </si>
  <si>
    <t xml:space="preserve">    Incluya también la amortización total de gastos de investigación (por ejemplo, gastos en exploración minera o petrolera), las reducciones contables de deudas incobrables, las reservas o provisiones para distintas pérdidas (por deudas incobrables, por ejemplo).</t>
  </si>
  <si>
    <t xml:space="preserve">Parte B. Obligaciones de la empresa declarante por las participaciones de empresas relacionadas y no relacionadas </t>
  </si>
  <si>
    <t>Llenar esta Parte B cuando exista participación extranjera (inmediata o indirecta) en el capital de la empresa declarante (*)</t>
  </si>
  <si>
    <t>Fórmula de Validación 
(deber ser Cero)</t>
  </si>
  <si>
    <t>OBLIGACIONES CON:</t>
  </si>
  <si>
    <t>I =
B+C+D-F+H</t>
  </si>
  <si>
    <t>J</t>
  </si>
  <si>
    <t>K</t>
  </si>
  <si>
    <t>L = K - I</t>
  </si>
  <si>
    <t>1. CON NO RESIDENTES: RELACIONADOS
   (Inversionistas / Empresas Extranjeras)</t>
  </si>
  <si>
    <t xml:space="preserve">N O  L L E N A R  E S T A  A R E A </t>
  </si>
  <si>
    <t>VALIDACIÓN (DEBER VOLVERSE CERO) ------------&gt;&gt;&gt;&gt;&gt;</t>
  </si>
  <si>
    <t>Notas para la parte B:</t>
  </si>
  <si>
    <r>
      <t xml:space="preserve">(*) En las columnas A y J los porcentajes corresponden solo a la </t>
    </r>
    <r>
      <rPr>
        <u/>
        <sz val="16"/>
        <color indexed="10"/>
        <rFont val="Arial"/>
        <family val="2"/>
      </rPr>
      <t xml:space="preserve">participación </t>
    </r>
    <r>
      <rPr>
        <sz val="16"/>
        <color indexed="10"/>
        <rFont val="Arial"/>
        <family val="2"/>
      </rPr>
      <t xml:space="preserve">inmediata. Si la empresa tiene participación extranjera pero solo de modo </t>
    </r>
    <r>
      <rPr>
        <u/>
        <sz val="16"/>
        <color indexed="10"/>
        <rFont val="Arial"/>
        <family val="2"/>
      </rPr>
      <t>indirecto</t>
    </r>
    <r>
      <rPr>
        <sz val="16"/>
        <color indexed="10"/>
        <rFont val="Arial"/>
        <family val="2"/>
      </rPr>
      <t>, también debe llenar este cuadro (en este caso la participación inmediata sería solo residente, código 18.01.03.)</t>
    </r>
  </si>
  <si>
    <t xml:space="preserve">      Incluya también la amortización total de gastos de investigación (por ejemplo, gastos en exploración minera o petrolera), las reducciones contables de deudas incobrables, las reservas o provisiones para distintas pérdidas (por deudas incobrables, por ejemplo).</t>
  </si>
  <si>
    <t>Derechos y Obligaciones: valor de la participación patrimonial 
de las participaciones de capital con no residentes</t>
  </si>
  <si>
    <t>Esta tabla tiene dos partes: Parte A.1 y Parte A.2</t>
  </si>
  <si>
    <t>Parte A.1. Derechos de la empresa declarante (ED) por sus participaciones de capital</t>
  </si>
  <si>
    <t>Cuando se verifica una relación de inversión directa entre la empresa declarante y empresas no residentes</t>
  </si>
  <si>
    <t xml:space="preserve"> cod_ECID_ant</t>
  </si>
  <si>
    <t xml:space="preserve"> cod_ECID_new</t>
  </si>
  <si>
    <t>correl_ETBP_new</t>
  </si>
  <si>
    <t>categoría FMI</t>
  </si>
  <si>
    <t>Código</t>
  </si>
  <si>
    <t>PARTIDA / PAÍS</t>
  </si>
  <si>
    <t>activos, outward</t>
  </si>
  <si>
    <t>01.01.01.01.</t>
  </si>
  <si>
    <t>01.01.01.02.</t>
  </si>
  <si>
    <t>01.01.01.03.</t>
  </si>
  <si>
    <t>01.01.01.04.</t>
  </si>
  <si>
    <t>01.01.01.05.</t>
  </si>
  <si>
    <t>01.01.01.06.</t>
  </si>
  <si>
    <t>01.01.01.07.</t>
  </si>
  <si>
    <t>01.01.01.08.</t>
  </si>
  <si>
    <t>01.01.01.09.</t>
  </si>
  <si>
    <t>01.01.01.10.</t>
  </si>
  <si>
    <t>01.01.01.11.</t>
  </si>
  <si>
    <t>Variable de control (debe ser cero)</t>
  </si>
  <si>
    <t>activos, inward</t>
  </si>
  <si>
    <t>01.01.02.01.</t>
  </si>
  <si>
    <t>01.01.02.02.</t>
  </si>
  <si>
    <t>01.01.02.03.</t>
  </si>
  <si>
    <t>01.01.02.04.</t>
  </si>
  <si>
    <t>01.01.02.05.</t>
  </si>
  <si>
    <t>01.01.02.06.</t>
  </si>
  <si>
    <t>01.01.02.07.</t>
  </si>
  <si>
    <t>01.01.02.08.</t>
  </si>
  <si>
    <t>01.01.02.09.</t>
  </si>
  <si>
    <t>01.01.02.10.</t>
  </si>
  <si>
    <t>01.01.02.11.</t>
  </si>
  <si>
    <t>200</t>
  </si>
  <si>
    <t>01.01.03.01.</t>
  </si>
  <si>
    <t>01.01.03.02.</t>
  </si>
  <si>
    <t>01.01.03.03.</t>
  </si>
  <si>
    <t>01.01.03.04.</t>
  </si>
  <si>
    <t>01.01.03.05.</t>
  </si>
  <si>
    <t>01.01.03.06.</t>
  </si>
  <si>
    <t>01.01.03.07.</t>
  </si>
  <si>
    <t>01.01.03.08.</t>
  </si>
  <si>
    <t>01.01.03.09.</t>
  </si>
  <si>
    <t>01.01.03.10.</t>
  </si>
  <si>
    <t>01.01.03.11.</t>
  </si>
  <si>
    <t>01.01.04.01.</t>
  </si>
  <si>
    <t>01.01.04.02.</t>
  </si>
  <si>
    <t>01.01.04.03.</t>
  </si>
  <si>
    <t>01.01.04.04.</t>
  </si>
  <si>
    <t>01.01.04.05.</t>
  </si>
  <si>
    <t>01.01.04.06.</t>
  </si>
  <si>
    <t>01.01.04.07.</t>
  </si>
  <si>
    <t>01.01.04.08.</t>
  </si>
  <si>
    <t>01.01.04.09.</t>
  </si>
  <si>
    <t>01.01.04.10.</t>
  </si>
  <si>
    <t>01.01.04.11.</t>
  </si>
  <si>
    <t>Parte A.2. Obligaciones de la empresa declarante (ED) en participaciones de capital</t>
  </si>
  <si>
    <t>100</t>
  </si>
  <si>
    <t>pasivos, inward</t>
  </si>
  <si>
    <t>01.02.01.01.</t>
  </si>
  <si>
    <t>01.02.01.02.</t>
  </si>
  <si>
    <t>01.02.01.03.</t>
  </si>
  <si>
    <t>01.02.01.04.</t>
  </si>
  <si>
    <t>01.02.01.05.</t>
  </si>
  <si>
    <t>01.02.01.06.</t>
  </si>
  <si>
    <t>01.02.01.07.</t>
  </si>
  <si>
    <t>01.02.01.08.</t>
  </si>
  <si>
    <t>01.02.01.09.</t>
  </si>
  <si>
    <t>01.02.01.10.</t>
  </si>
  <si>
    <t>01.02.01.11.</t>
  </si>
  <si>
    <t>330</t>
  </si>
  <si>
    <t>pasivos, outward</t>
  </si>
  <si>
    <t>01.02.02.01.</t>
  </si>
  <si>
    <t>01.02.02.02.</t>
  </si>
  <si>
    <t>01.02.02.03.</t>
  </si>
  <si>
    <t>01.02.02.04.</t>
  </si>
  <si>
    <t>01.02.02.05.</t>
  </si>
  <si>
    <t>01.02.02.06.</t>
  </si>
  <si>
    <t>01.02.02.07.</t>
  </si>
  <si>
    <t>01.02.02.08.</t>
  </si>
  <si>
    <t>01.02.02.09.</t>
  </si>
  <si>
    <t>01.02.02.10.</t>
  </si>
  <si>
    <t>01.02.02.11.</t>
  </si>
  <si>
    <t>230</t>
  </si>
  <si>
    <t>01.02.03.01.</t>
  </si>
  <si>
    <t>01.02.03.02.</t>
  </si>
  <si>
    <t>01.02.03.03.</t>
  </si>
  <si>
    <t>01.02.03.04.</t>
  </si>
  <si>
    <t>01.02.03.05.</t>
  </si>
  <si>
    <t>01.02.03.06.</t>
  </si>
  <si>
    <t>01.02.03.07.</t>
  </si>
  <si>
    <t>01.02.03.08.</t>
  </si>
  <si>
    <t>01.02.03.09.</t>
  </si>
  <si>
    <t>01.02.03.10.</t>
  </si>
  <si>
    <t>01.02.03.11.</t>
  </si>
  <si>
    <t>01.02.04.01.</t>
  </si>
  <si>
    <t>01.02.04.02.</t>
  </si>
  <si>
    <t>01.02.04.03.</t>
  </si>
  <si>
    <t>01.02.04.04.</t>
  </si>
  <si>
    <t>01.02.04.05.</t>
  </si>
  <si>
    <t>01.02.04.06.</t>
  </si>
  <si>
    <t>01.02.04.07.</t>
  </si>
  <si>
    <t>01.02.04.08.</t>
  </si>
  <si>
    <t>01.02.04.09.</t>
  </si>
  <si>
    <t>01.02.04.10.</t>
  </si>
  <si>
    <t>01.02.04.11.</t>
  </si>
  <si>
    <t>Derechos y obligaciones en instrumentos de deuda con no residentes</t>
  </si>
  <si>
    <t>Parte A.1. Derechos de la empresa declarante (ED) en instrumentos de deuda</t>
  </si>
  <si>
    <t>VALOR DE LOS INSTRUMENTOS 
DE DEUDA</t>
  </si>
  <si>
    <t>02.01.01.01.</t>
  </si>
  <si>
    <t>02.01.01.02.</t>
  </si>
  <si>
    <t>02.01.01.03.</t>
  </si>
  <si>
    <t>02.01.01.04.</t>
  </si>
  <si>
    <t>02.01.01.05.</t>
  </si>
  <si>
    <t>02.01.01.06.</t>
  </si>
  <si>
    <t>02.01.01.07.</t>
  </si>
  <si>
    <t>02.01.01.08.</t>
  </si>
  <si>
    <t>02.01.01.09.</t>
  </si>
  <si>
    <t>02.01.01.10.</t>
  </si>
  <si>
    <t>02.01.01.11.</t>
  </si>
  <si>
    <t>02.01.02.01.</t>
  </si>
  <si>
    <t>02.01.02.02.</t>
  </si>
  <si>
    <t>02.01.02.03.</t>
  </si>
  <si>
    <t>02.01.02.04.</t>
  </si>
  <si>
    <t>02.01.02.05.</t>
  </si>
  <si>
    <t>02.01.02.06.</t>
  </si>
  <si>
    <t>02.01.02.07.</t>
  </si>
  <si>
    <t>02.01.02.08.</t>
  </si>
  <si>
    <t>02.01.02.09.</t>
  </si>
  <si>
    <t>02.01.02.10.</t>
  </si>
  <si>
    <t>02.01.02.11.</t>
  </si>
  <si>
    <t>02.01.03.01.</t>
  </si>
  <si>
    <t>02.01.03.02.</t>
  </si>
  <si>
    <t>02.01.03.03.</t>
  </si>
  <si>
    <t>02.01.03.04.</t>
  </si>
  <si>
    <t>02.01.03.05.</t>
  </si>
  <si>
    <t>02.01.03.06.</t>
  </si>
  <si>
    <t>02.01.03.07.</t>
  </si>
  <si>
    <t>02.01.03.08.</t>
  </si>
  <si>
    <t>02.01.03.09.</t>
  </si>
  <si>
    <t>02.01.03.10.</t>
  </si>
  <si>
    <t>02.01.03.11.</t>
  </si>
  <si>
    <t>02.01.04.01.</t>
  </si>
  <si>
    <t>02.01.04.02.</t>
  </si>
  <si>
    <t>02.01.04.03.</t>
  </si>
  <si>
    <t>02.01.04.04.</t>
  </si>
  <si>
    <t>02.01.04.05.</t>
  </si>
  <si>
    <t>02.01.04.06.</t>
  </si>
  <si>
    <t>02.01.04.07.</t>
  </si>
  <si>
    <t>02.01.04.08.</t>
  </si>
  <si>
    <t>02.01.04.09.</t>
  </si>
  <si>
    <t>02.01.04.10.</t>
  </si>
  <si>
    <t>02.01.04.11.</t>
  </si>
  <si>
    <t>Parte A.2. Obligaciones de la empresa declarante (ED) en instrumentos de deuda</t>
  </si>
  <si>
    <t>02.02.01.01.</t>
  </si>
  <si>
    <t>02.02.01.02.</t>
  </si>
  <si>
    <t>02.02.01.03.</t>
  </si>
  <si>
    <t>02.02.01.04.</t>
  </si>
  <si>
    <t>02.02.01.05.</t>
  </si>
  <si>
    <t>02.02.01.06.</t>
  </si>
  <si>
    <t>02.02.01.07.</t>
  </si>
  <si>
    <t>02.02.01.08.</t>
  </si>
  <si>
    <t>02.02.01.09.</t>
  </si>
  <si>
    <t>02.02.01.10.</t>
  </si>
  <si>
    <t>02.02.01.11.</t>
  </si>
  <si>
    <t>02.02.02.01.</t>
  </si>
  <si>
    <t>02.02.02.02.</t>
  </si>
  <si>
    <t>02.02.02.03.</t>
  </si>
  <si>
    <t>02.02.02.04.</t>
  </si>
  <si>
    <t>02.02.02.05.</t>
  </si>
  <si>
    <t>02.02.02.06.</t>
  </si>
  <si>
    <t>02.02.02.07.</t>
  </si>
  <si>
    <t>02.02.02.08.</t>
  </si>
  <si>
    <t>02.02.02.09.</t>
  </si>
  <si>
    <t>02.02.02.10.</t>
  </si>
  <si>
    <t>02.02.02.11.</t>
  </si>
  <si>
    <t>02.02.03.01.</t>
  </si>
  <si>
    <t>02.02.03.02.</t>
  </si>
  <si>
    <t>02.02.03.03.</t>
  </si>
  <si>
    <t>02.02.03.04.</t>
  </si>
  <si>
    <t>02.02.03.05.</t>
  </si>
  <si>
    <t>02.02.03.06.</t>
  </si>
  <si>
    <t>02.02.03.07.</t>
  </si>
  <si>
    <t>02.02.03.08.</t>
  </si>
  <si>
    <t>02.02.03.09.</t>
  </si>
  <si>
    <t>02.02.03.10.</t>
  </si>
  <si>
    <t>02.02.03.11.</t>
  </si>
  <si>
    <t>02.02.04.01.</t>
  </si>
  <si>
    <t>02.02.04.02.</t>
  </si>
  <si>
    <t>02.02.04.03.</t>
  </si>
  <si>
    <t>02.02.04.04.</t>
  </si>
  <si>
    <t>02.02.04.05.</t>
  </si>
  <si>
    <t>02.02.04.06.</t>
  </si>
  <si>
    <t>02.02.04.07.</t>
  </si>
  <si>
    <t>02.02.04.08.</t>
  </si>
  <si>
    <t>02.02.04.09.</t>
  </si>
  <si>
    <t>02.02.04.10.</t>
  </si>
  <si>
    <t>02.02.04.11.</t>
  </si>
  <si>
    <t>ENC</t>
  </si>
  <si>
    <t>PERIODO</t>
  </si>
  <si>
    <t>COD</t>
  </si>
  <si>
    <t>RUC1</t>
  </si>
  <si>
    <t>RUC2</t>
  </si>
  <si>
    <t>ACCIONISTA</t>
  </si>
  <si>
    <t>PAIS</t>
  </si>
  <si>
    <t>MONTO</t>
  </si>
  <si>
    <t>Hoja</t>
  </si>
  <si>
    <t>Seccion</t>
  </si>
  <si>
    <t>MIXTO</t>
  </si>
  <si>
    <t>A.1</t>
  </si>
  <si>
    <t>A.2</t>
  </si>
  <si>
    <t>A.3</t>
  </si>
  <si>
    <t>VERS</t>
  </si>
  <si>
    <t>COLUMNA</t>
  </si>
  <si>
    <t>Help_FILA</t>
  </si>
  <si>
    <t>Help_COLU</t>
  </si>
  <si>
    <t>ETBP</t>
  </si>
  <si>
    <t>v1</t>
  </si>
  <si>
    <t>v2</t>
  </si>
  <si>
    <t>HOJA DE CONTROL DE CAMBIOS DEL FORMATO TRIMESTRAL</t>
  </si>
  <si>
    <t>Versión</t>
  </si>
  <si>
    <t>Fecha 
de registro</t>
  </si>
  <si>
    <t>Tablas</t>
  </si>
  <si>
    <t xml:space="preserve">Descripción </t>
  </si>
  <si>
    <t>Atendido</t>
  </si>
  <si>
    <t>Base_EABP</t>
  </si>
  <si>
    <t>A la partida 18.01.01.02 le falta considerar las columnas 2, 9 y 10 (omitidas). Tiene que agregarse 3 filas más para incluirlas.</t>
  </si>
  <si>
    <t>ok</t>
  </si>
  <si>
    <t>Tabla III.4.</t>
  </si>
  <si>
    <t>Celda H9. El titulo se parece al del saldo del principal, pero ello no corresponde. Cambiarlo por un título que haga referencia a la suma del cronograma de intereses.</t>
  </si>
  <si>
    <t>Panorama A. 
Parte A.1. Nota 2.</t>
  </si>
  <si>
    <t>Hace falta indicar que no obstante el umbral del 10% también deben considerarse porcentajes menores cuando las empresas pertenecen al mismo grupo empresarial.</t>
  </si>
  <si>
    <t>Panorama A. 
Filas 41 y 52, Columna I.</t>
  </si>
  <si>
    <t>No corresponde poner fórmula de suma. Quitar.</t>
  </si>
  <si>
    <t>Tabla I.</t>
  </si>
  <si>
    <t>Poner fila final totalizando las partidas</t>
  </si>
  <si>
    <t>Indice</t>
  </si>
  <si>
    <t>Se colocaron enlaces a las distintas hojas del formulario</t>
  </si>
  <si>
    <t>DatosGenerales</t>
  </si>
  <si>
    <r>
      <t xml:space="preserve">Se  eliminó la expresión </t>
    </r>
    <r>
      <rPr>
        <sz val="10"/>
        <color rgb="FFFF0000"/>
        <rFont val="Arial"/>
        <family val="2"/>
      </rPr>
      <t>"Ingrese su RUC y obtendrá, en la sección C, la persona de contacto para sus consultas sobre esta encuesta"</t>
    </r>
  </si>
  <si>
    <t>Tabla III.1: 
celda C46</t>
  </si>
  <si>
    <r>
      <t xml:space="preserve">Se agregó nota explicativa (en rojo) 
A. PASIVOS DE DEUDA EXTERNA DISTINTOS DE BONOS
    </t>
    </r>
    <r>
      <rPr>
        <sz val="10"/>
        <color rgb="FFFF0000"/>
        <rFont val="Arial"/>
        <family val="2"/>
      </rPr>
      <t xml:space="preserve"> (Incluye, entre otros, deuda con banca comercial extranjera, organismos
      financieros internacionales y cualquier otra entidad no residente)</t>
    </r>
  </si>
  <si>
    <t>Panorama B
Panorama C</t>
  </si>
  <si>
    <t>Se mejoró  la referencia del periodo pues jalaba 2018 en vez de 201901.
Ahora ya jala bien las referencias de las dos columnas.</t>
  </si>
  <si>
    <t>Se ha mejorado el texto de la partida de "préstamos", indicando que se debe incluir la deuda con banca comercia y organismos.</t>
  </si>
  <si>
    <t>Tabla Base_EABP</t>
  </si>
  <si>
    <t>Las filas 1711 y 1713 que se ve ahora estaban omitidas. Se procedió a generarlas (filas correlacionadas con la Tabla VI.)</t>
  </si>
  <si>
    <t>Texto de la periodificación. " I trim. " en vez de "(ene-mar)"</t>
  </si>
  <si>
    <t>Tabla IV.1.</t>
  </si>
  <si>
    <t>Inclusión / Mejora de los textos de la periodificación</t>
  </si>
  <si>
    <t>Tabla IV.2.</t>
  </si>
  <si>
    <t>Base_Panor_A</t>
  </si>
  <si>
    <t>Hoja colectora, se le agregó el campo RUC1, para que capture el RUC de la empresa declarante. A las empresas relacionadas se les asigna el campo RUC2.</t>
  </si>
  <si>
    <r>
      <t xml:space="preserve">Balance General según Moneda. Se cambió el diseño (el diseño antiguo se ocultó con el nombre "Panorama B. ant"). El nuevo diseño considera más columnas y filas e incorpora las variables para fines de Política Monetaria. 
</t>
    </r>
    <r>
      <rPr>
        <u/>
        <sz val="10"/>
        <rFont val="Times New Roman"/>
        <family val="1"/>
      </rPr>
      <t>Nota</t>
    </r>
    <r>
      <rPr>
        <sz val="10"/>
        <rFont val="Times New Roman"/>
        <family val="1"/>
      </rPr>
      <t>: la base de datos "Base_EABP" sigue jalando la tabla antigua (Panorama B. ant"), pero como esa tabla ya no se llena, los valores en la base de datos son ceros.</t>
    </r>
  </si>
  <si>
    <t>Tabla IV.3.</t>
  </si>
  <si>
    <r>
      <t xml:space="preserve">Nueva tabla de Derivados Cambiarios, para fines de Política Monetaria. 
</t>
    </r>
    <r>
      <rPr>
        <u/>
        <sz val="10"/>
        <rFont val="Times New Roman"/>
        <family val="1"/>
      </rPr>
      <t>Nota</t>
    </r>
    <r>
      <rPr>
        <sz val="10"/>
        <rFont val="Times New Roman"/>
        <family val="1"/>
      </rPr>
      <t>: por decisión del DEBP, la Tabla IV.3. se ocultará, no debe ser llenada. En el siguiente trimestre, la ETBP migrará completamente al sistema SELI-ETBP web.</t>
    </r>
  </si>
  <si>
    <t>Base_Monet</t>
  </si>
  <si>
    <t xml:space="preserve">Nueva base de datos que consolida la información del Panorama B y Tabla IV.3. 
</t>
  </si>
  <si>
    <t>HOJA DE CONTROL DE CAMBIOS DELM FORMATO ANUAL</t>
  </si>
  <si>
    <t>Fecha</t>
  </si>
  <si>
    <r>
      <t xml:space="preserve">Descripción 
</t>
    </r>
    <r>
      <rPr>
        <sz val="11"/>
        <color indexed="10"/>
        <rFont val="Arial"/>
        <family val="2"/>
      </rPr>
      <t>(en rojo las propuestas de cambio pendientes)</t>
    </r>
  </si>
  <si>
    <t>VII.1., VII.2.</t>
  </si>
  <si>
    <t>Se limpió la selección de paises</t>
  </si>
  <si>
    <t>Casi todas</t>
  </si>
  <si>
    <t>Borrado de valores de prueba</t>
  </si>
  <si>
    <t>III.3.</t>
  </si>
  <si>
    <t>Cronograma del principal: jala atrasos</t>
  </si>
  <si>
    <t>III.4.</t>
  </si>
  <si>
    <t>Cronograma del intereses: jala atrasos y otros</t>
  </si>
  <si>
    <t>VI.A</t>
  </si>
  <si>
    <t>Inversiones en el exterior: se modificó el saldo final ingresando la fórmula que exige la coherencia de saldos y flujos</t>
  </si>
  <si>
    <t>VI.B</t>
  </si>
  <si>
    <t xml:space="preserve">Patrimonio inward: 
- Se agregó una nota que explica que las empresas declarantes que son propiedad indirecta de un no residente también deben declarar la tabla VI.B
- Se modificó el texto de las columnas A y J  que quedaría en "participación accionaria inmediata" </t>
  </si>
  <si>
    <t>IV.2.</t>
  </si>
  <si>
    <t>Nuevo desglose de los derivados financieros</t>
  </si>
  <si>
    <t>VI.</t>
  </si>
  <si>
    <t>Cambio del título: se incluye la expresión "patrimonial", para evitar restricciones en el llenado</t>
  </si>
  <si>
    <t>II.</t>
  </si>
  <si>
    <t>Cambio del título: se agrega la expresión "depósitos en moneda extranjera" para evitar restricciones en el llenado</t>
  </si>
  <si>
    <t>III.2, III.3, III.4.</t>
  </si>
  <si>
    <t>Se eliminó sección de Seguros: intereses devengados y calendarios</t>
  </si>
  <si>
    <t>Se eliminó columnas antiguas a la derecha de la tabla II (antiguos saldos por moneda</t>
  </si>
  <si>
    <t>Se cambió el desglose de pasivos (corriente y no corriente) por pasivos según moneda (extranjera y nacional).</t>
  </si>
  <si>
    <t>VI.A, VI.B</t>
  </si>
  <si>
    <t>Se adoptó el siguiente orden de conceptos: primero dividendos declarados y luego dividendos pagados. En consecuencia se modificó la fórmula del saldo final y se realinearon las notas de pie de página.</t>
  </si>
  <si>
    <t xml:space="preserve">Tipo de cambio de Soles x Dólar US </t>
  </si>
  <si>
    <t>Tipo de cambio Soles x Euro</t>
  </si>
  <si>
    <t>Tipo de cambio Soles x Yen</t>
  </si>
  <si>
    <t>http://www.sbs.gob.pe/app/stats/TC-Contable.asp</t>
  </si>
  <si>
    <t>Año</t>
  </si>
  <si>
    <t>Trimestre</t>
  </si>
  <si>
    <t>Trim_Año</t>
  </si>
  <si>
    <t>Promedio</t>
  </si>
  <si>
    <t xml:space="preserve">Fin </t>
  </si>
  <si>
    <t>pivote</t>
  </si>
  <si>
    <t>Fuente:</t>
  </si>
  <si>
    <t>TABLA DE PERIODOS</t>
  </si>
  <si>
    <t>TABLA DE MONEDAS</t>
  </si>
  <si>
    <t>TIPO DE CAMBIO PARA SALDOS</t>
  </si>
  <si>
    <t>(Dólar / Otras Monedas)</t>
  </si>
  <si>
    <t>(Nuevo Sol / Otras Monedas)</t>
  </si>
  <si>
    <t>NOTA: DESDE EL 4T2011 SE EMPLEA INFO DE LA SBS (ver link)</t>
  </si>
  <si>
    <t>AÑO</t>
  </si>
  <si>
    <t>TRIMESTRE</t>
  </si>
  <si>
    <t>SALDO ACTUAL</t>
  </si>
  <si>
    <t>SALDO ANTERIOR</t>
  </si>
  <si>
    <t>ACUMULADO</t>
  </si>
  <si>
    <t>#</t>
  </si>
  <si>
    <t>Codigo</t>
  </si>
  <si>
    <t>DESCRIPTOR</t>
  </si>
  <si>
    <t>AÑO_TRIM</t>
  </si>
  <si>
    <t>EURO</t>
  </si>
  <si>
    <t>YEN</t>
  </si>
  <si>
    <t>NUEVOS 
SOLES</t>
  </si>
  <si>
    <t>DÓLAR</t>
  </si>
  <si>
    <t>AAA</t>
  </si>
  <si>
    <t>ELIJA LA MONEDA</t>
  </si>
  <si>
    <t>actualizado</t>
  </si>
  <si>
    <t>USD</t>
  </si>
  <si>
    <t>US DOLLAR</t>
  </si>
  <si>
    <t>a 13.12.2018</t>
  </si>
  <si>
    <t>EUR</t>
  </si>
  <si>
    <t>GBP</t>
  </si>
  <si>
    <t>LIBRA ESTERLINA</t>
  </si>
  <si>
    <t>JPY</t>
  </si>
  <si>
    <t>RUB</t>
  </si>
  <si>
    <t>RUSSIAN RUBLE</t>
  </si>
  <si>
    <t>BRL</t>
  </si>
  <si>
    <t>BRAZILIAN REAL</t>
  </si>
  <si>
    <t>CAD</t>
  </si>
  <si>
    <t>CANADIAN DOLLAR</t>
  </si>
  <si>
    <t>AFN</t>
  </si>
  <si>
    <t>AFGHANI</t>
  </si>
  <si>
    <t>DZD</t>
  </si>
  <si>
    <t>ALGERIAN DINAR</t>
  </si>
  <si>
    <t>ARS</t>
  </si>
  <si>
    <t>ARGENTINE PESO</t>
  </si>
  <si>
    <t>AMD</t>
  </si>
  <si>
    <t>ARMENIAN DRAM</t>
  </si>
  <si>
    <t>AWG</t>
  </si>
  <si>
    <t>ARUBAN GUILDER</t>
  </si>
  <si>
    <t>AUD</t>
  </si>
  <si>
    <t>AUSTRALIAN DOLLAR</t>
  </si>
  <si>
    <t>AZN</t>
  </si>
  <si>
    <t>AZERBAIJANIAN MANAT</t>
  </si>
  <si>
    <t>BSD</t>
  </si>
  <si>
    <t>BAHAMIAN DOLLAR</t>
  </si>
  <si>
    <t>BHD</t>
  </si>
  <si>
    <t>BAHRAINI DINAR</t>
  </si>
  <si>
    <t>THB</t>
  </si>
  <si>
    <t>BAHT</t>
  </si>
  <si>
    <t>PAB</t>
  </si>
  <si>
    <t>BALBOA</t>
  </si>
  <si>
    <t>BBD</t>
  </si>
  <si>
    <t>BARBADOS DOLLAR</t>
  </si>
  <si>
    <t>BYR</t>
  </si>
  <si>
    <t>BELARUSSIAN RUBLE</t>
  </si>
  <si>
    <t>BZD</t>
  </si>
  <si>
    <t>BELIZE DOLLAR</t>
  </si>
  <si>
    <t>BMD</t>
  </si>
  <si>
    <t>BERMUDIAN DOLLAR (BERMUDA DOLLAR)</t>
  </si>
  <si>
    <t>VEB</t>
  </si>
  <si>
    <t>BOLIVAR</t>
  </si>
  <si>
    <t>BOB</t>
  </si>
  <si>
    <t>BOLIVIANO</t>
  </si>
  <si>
    <t>BND</t>
  </si>
  <si>
    <t>BRUNEI DOLLAR</t>
  </si>
  <si>
    <t>BGN</t>
  </si>
  <si>
    <t>BULGARIAN LEV</t>
  </si>
  <si>
    <t>BIF</t>
  </si>
  <si>
    <t>BURUNDI FRANC</t>
  </si>
  <si>
    <t>CVE</t>
  </si>
  <si>
    <t>CAPE VERDE ESCUDO</t>
  </si>
  <si>
    <t>KYD</t>
  </si>
  <si>
    <t>CAYMAN ISLANDS DOLLAR</t>
  </si>
  <si>
    <t>GHC</t>
  </si>
  <si>
    <t>CEDI</t>
  </si>
  <si>
    <t>XOF</t>
  </si>
  <si>
    <t>CFA FRANC BCEAO †</t>
  </si>
  <si>
    <t>XAF</t>
  </si>
  <si>
    <t>CFA FRANC BEAC ‡</t>
  </si>
  <si>
    <t>XPF</t>
  </si>
  <si>
    <t>CFP FRANC</t>
  </si>
  <si>
    <t>CLP</t>
  </si>
  <si>
    <t>CHILEAN PESO</t>
  </si>
  <si>
    <t>COP</t>
  </si>
  <si>
    <t>COLOMBIAN PESO</t>
  </si>
  <si>
    <t>KMF</t>
  </si>
  <si>
    <t>COMORO FRANC</t>
  </si>
  <si>
    <t>BAM</t>
  </si>
  <si>
    <t>CONVERTIBLE MARKS</t>
  </si>
  <si>
    <t>NIO</t>
  </si>
  <si>
    <t>CORDOBA ORO</t>
  </si>
  <si>
    <t>CRC</t>
  </si>
  <si>
    <t>COSTA RICAN COLON</t>
  </si>
  <si>
    <t>HRK</t>
  </si>
  <si>
    <t>CROATIAN KUNA</t>
  </si>
  <si>
    <t>CUP</t>
  </si>
  <si>
    <t>CUBAN PESO</t>
  </si>
  <si>
    <t>CYP</t>
  </si>
  <si>
    <t>CYPRUS POUND</t>
  </si>
  <si>
    <t>CZK</t>
  </si>
  <si>
    <t>CZECH KORUNA</t>
  </si>
  <si>
    <t>GMD</t>
  </si>
  <si>
    <t>DALASI</t>
  </si>
  <si>
    <t>DKK</t>
  </si>
  <si>
    <t>DANISH KRONE</t>
  </si>
  <si>
    <t>MKD</t>
  </si>
  <si>
    <t>DENAR</t>
  </si>
  <si>
    <t>DJF</t>
  </si>
  <si>
    <t>DJIBOUTI FRANC</t>
  </si>
  <si>
    <t>STD</t>
  </si>
  <si>
    <t>DOBRA</t>
  </si>
  <si>
    <t>DOP</t>
  </si>
  <si>
    <t>DOMINICAN PESO</t>
  </si>
  <si>
    <t>VND</t>
  </si>
  <si>
    <t>DONG</t>
  </si>
  <si>
    <t>XCD</t>
  </si>
  <si>
    <t>EAST CARIBBEAN DOLLAR</t>
  </si>
  <si>
    <t>EGP</t>
  </si>
  <si>
    <t>EGYPTIAN POUND</t>
  </si>
  <si>
    <t>SVC</t>
  </si>
  <si>
    <t>EL SALVADOR COLON</t>
  </si>
  <si>
    <t>ETB</t>
  </si>
  <si>
    <t>ETHIOPIAN BIRR</t>
  </si>
  <si>
    <t>FKP</t>
  </si>
  <si>
    <t>FALKLAND ISLANDS POUND</t>
  </si>
  <si>
    <t>FJD</t>
  </si>
  <si>
    <t>FIJI DOLLAR</t>
  </si>
  <si>
    <t>HUF</t>
  </si>
  <si>
    <t>FORINT</t>
  </si>
  <si>
    <t>CDF</t>
  </si>
  <si>
    <t>FRANC CONGOLAIS</t>
  </si>
  <si>
    <t>GIP</t>
  </si>
  <si>
    <t>GIBRALTAR POUND</t>
  </si>
  <si>
    <t>HTG</t>
  </si>
  <si>
    <t>GOURDE</t>
  </si>
  <si>
    <t>PYG</t>
  </si>
  <si>
    <t>GUARANI</t>
  </si>
  <si>
    <t>GNF</t>
  </si>
  <si>
    <t>GUINEA FRANC</t>
  </si>
  <si>
    <t>GWP</t>
  </si>
  <si>
    <t>GUINEA-BISSAU PESO</t>
  </si>
  <si>
    <t>GYD</t>
  </si>
  <si>
    <t>GUYANA DOLLAR</t>
  </si>
  <si>
    <t>HKD</t>
  </si>
  <si>
    <t>HONG KONG DOLLAR</t>
  </si>
  <si>
    <t>UAH</t>
  </si>
  <si>
    <t>HRYVNIA</t>
  </si>
  <si>
    <t>ISK</t>
  </si>
  <si>
    <t>ICELAND KRONA</t>
  </si>
  <si>
    <t>INR</t>
  </si>
  <si>
    <t>INDIAN RUPEE</t>
  </si>
  <si>
    <t>IRR</t>
  </si>
  <si>
    <t>IRANIAN RIAL</t>
  </si>
  <si>
    <t>IQD</t>
  </si>
  <si>
    <t>IRAQI DINAR</t>
  </si>
  <si>
    <t>JMD</t>
  </si>
  <si>
    <t>JAMAICAN DOLLAR</t>
  </si>
  <si>
    <t>JOD</t>
  </si>
  <si>
    <t>JORDANIAN DINAR</t>
  </si>
  <si>
    <t>KES</t>
  </si>
  <si>
    <t>KENYAN SHILLING</t>
  </si>
  <si>
    <t>PGK</t>
  </si>
  <si>
    <t>KINA</t>
  </si>
  <si>
    <t>LAK</t>
  </si>
  <si>
    <t>KIP</t>
  </si>
  <si>
    <t>EEK</t>
  </si>
  <si>
    <t>KROON</t>
  </si>
  <si>
    <t>KWD</t>
  </si>
  <si>
    <t>KUWAITI DINAR</t>
  </si>
  <si>
    <t>MWK</t>
  </si>
  <si>
    <t>KWACHA</t>
  </si>
  <si>
    <t>MMK</t>
  </si>
  <si>
    <t>KYAT</t>
  </si>
  <si>
    <t>GEL</t>
  </si>
  <si>
    <t>LARI</t>
  </si>
  <si>
    <t>LVL</t>
  </si>
  <si>
    <t>LATVIAN LATS</t>
  </si>
  <si>
    <t>LBP</t>
  </si>
  <si>
    <t>LEBANESE POUND</t>
  </si>
  <si>
    <t>ALL</t>
  </si>
  <si>
    <t>LEK</t>
  </si>
  <si>
    <t>HNL</t>
  </si>
  <si>
    <t>LEMPIRA</t>
  </si>
  <si>
    <t>SLL</t>
  </si>
  <si>
    <t>LEONE</t>
  </si>
  <si>
    <t>LRD</t>
  </si>
  <si>
    <t>LIBERIAN DOLLAR</t>
  </si>
  <si>
    <t>LYD</t>
  </si>
  <si>
    <t>LIBYAN DINAR</t>
  </si>
  <si>
    <t>SZL</t>
  </si>
  <si>
    <t>LILANGENI</t>
  </si>
  <si>
    <t>LTL</t>
  </si>
  <si>
    <t>LITHUANIAN LITAS</t>
  </si>
  <si>
    <t>LSL</t>
  </si>
  <si>
    <t>LOTI</t>
  </si>
  <si>
    <t>MGA</t>
  </si>
  <si>
    <t>MALAGASCY ARIARY</t>
  </si>
  <si>
    <t>MYR</t>
  </si>
  <si>
    <t>MALAYSIAN RINGGIT</t>
  </si>
  <si>
    <t>MTL</t>
  </si>
  <si>
    <t>MALTESE LIRA</t>
  </si>
  <si>
    <t>TMM</t>
  </si>
  <si>
    <t>MANAT</t>
  </si>
  <si>
    <t>MUR</t>
  </si>
  <si>
    <t>MAURITIUS RUPEE</t>
  </si>
  <si>
    <t>MZN</t>
  </si>
  <si>
    <t>METICAL</t>
  </si>
  <si>
    <t>MXN</t>
  </si>
  <si>
    <t>MEXICAN PESO</t>
  </si>
  <si>
    <t>MDL</t>
  </si>
  <si>
    <t>MOLDOVAN LEU</t>
  </si>
  <si>
    <t>MAD</t>
  </si>
  <si>
    <t>MOROCCAN DIRHAM</t>
  </si>
  <si>
    <t>NGN</t>
  </si>
  <si>
    <t>NAIRA</t>
  </si>
  <si>
    <t>ERN</t>
  </si>
  <si>
    <t>NAKFA</t>
  </si>
  <si>
    <t>NAD</t>
  </si>
  <si>
    <t>NAMIBIAN DOLLAR</t>
  </si>
  <si>
    <t>NPR</t>
  </si>
  <si>
    <t>NEPALESE RUPEE</t>
  </si>
  <si>
    <t>ANG</t>
  </si>
  <si>
    <t>NETHERLANDS ANTILLIAN GUILDER</t>
  </si>
  <si>
    <t>ILS</t>
  </si>
  <si>
    <t>NEW ISRAELI SHEQEL</t>
  </si>
  <si>
    <t>RON</t>
  </si>
  <si>
    <t>NEW LEU</t>
  </si>
  <si>
    <t>TWD</t>
  </si>
  <si>
    <t>NEW TAIWAN DOLLAR</t>
  </si>
  <si>
    <t>TRY</t>
  </si>
  <si>
    <t>NEW TURKISH LIRA</t>
  </si>
  <si>
    <t>NZD</t>
  </si>
  <si>
    <t>NEW ZEALAND DOLLAR</t>
  </si>
  <si>
    <t>BTN</t>
  </si>
  <si>
    <t>NGULTRUM</t>
  </si>
  <si>
    <t>KPW</t>
  </si>
  <si>
    <t>NORTH KOREAN WON</t>
  </si>
  <si>
    <t>NOK</t>
  </si>
  <si>
    <t>NORWEGIAN KRONE</t>
  </si>
  <si>
    <t>PEN</t>
  </si>
  <si>
    <t>NUEVO SOL</t>
  </si>
  <si>
    <t>ROL</t>
  </si>
  <si>
    <t>OLD LEU</t>
  </si>
  <si>
    <t>MRO</t>
  </si>
  <si>
    <t>OUGUIYA</t>
  </si>
  <si>
    <t>TOP</t>
  </si>
  <si>
    <t>PA'ANGA</t>
  </si>
  <si>
    <t>PKR</t>
  </si>
  <si>
    <t>PAKISTAN RUPEE</t>
  </si>
  <si>
    <t>MOP</t>
  </si>
  <si>
    <t>PATACA</t>
  </si>
  <si>
    <t>UYU</t>
  </si>
  <si>
    <t>PESO URUGUAYO</t>
  </si>
  <si>
    <t>PHP</t>
  </si>
  <si>
    <t>PHILIPPINE PESO</t>
  </si>
  <si>
    <t>BWP</t>
  </si>
  <si>
    <t>PULA</t>
  </si>
  <si>
    <t>QAR</t>
  </si>
  <si>
    <t>QATARI RIAL</t>
  </si>
  <si>
    <t>GTQ</t>
  </si>
  <si>
    <t>QUETZAL</t>
  </si>
  <si>
    <t>ZAR</t>
  </si>
  <si>
    <t>RAND</t>
  </si>
  <si>
    <t>OMR</t>
  </si>
  <si>
    <t>RIAL OMANI</t>
  </si>
  <si>
    <t>KHR</t>
  </si>
  <si>
    <t>RIEL</t>
  </si>
  <si>
    <t>MVR</t>
  </si>
  <si>
    <t>RUFIYAA</t>
  </si>
  <si>
    <t>IDR</t>
  </si>
  <si>
    <t>RUPIAH</t>
  </si>
  <si>
    <t>RWF</t>
  </si>
  <si>
    <t>RWANDA FRANC</t>
  </si>
  <si>
    <t>SHP</t>
  </si>
  <si>
    <t>SAINT HELENA POUND</t>
  </si>
  <si>
    <t>SAR</t>
  </si>
  <si>
    <t>SAUDI RIYAL</t>
  </si>
  <si>
    <t>RSD</t>
  </si>
  <si>
    <t>SERBIAN DINAR</t>
  </si>
  <si>
    <t>SCR</t>
  </si>
  <si>
    <t>SEYCHELLES RUPEE</t>
  </si>
  <si>
    <t>SGD</t>
  </si>
  <si>
    <t>SINGAPORE DOLLAR</t>
  </si>
  <si>
    <t>SKK</t>
  </si>
  <si>
    <t>SLOVAK KORUNA</t>
  </si>
  <si>
    <t>SBD</t>
  </si>
  <si>
    <t>SOLOMON ISLANDS DOLLAR</t>
  </si>
  <si>
    <t>KGS</t>
  </si>
  <si>
    <t>SOM</t>
  </si>
  <si>
    <t>SOS</t>
  </si>
  <si>
    <t>SOMALI SHILLING</t>
  </si>
  <si>
    <t>TJS</t>
  </si>
  <si>
    <t>SOMONI</t>
  </si>
  <si>
    <t>LKR</t>
  </si>
  <si>
    <t>SRI LANKA RUPEE</t>
  </si>
  <si>
    <t>SDD</t>
  </si>
  <si>
    <t>SUDANESE DINAR</t>
  </si>
  <si>
    <t>SRD</t>
  </si>
  <si>
    <t>SURINAM DOLLAR</t>
  </si>
  <si>
    <t>SEK</t>
  </si>
  <si>
    <t>SWEDISH KRONA</t>
  </si>
  <si>
    <t>CHF</t>
  </si>
  <si>
    <t>SWISS FRANC</t>
  </si>
  <si>
    <t>SYP</t>
  </si>
  <si>
    <t>SYRIAN POUND</t>
  </si>
  <si>
    <t>BDT</t>
  </si>
  <si>
    <t>TAKA</t>
  </si>
  <si>
    <t>WST</t>
  </si>
  <si>
    <t>TALA</t>
  </si>
  <si>
    <t>TZS</t>
  </si>
  <si>
    <t>TANZANIAN SHILLING</t>
  </si>
  <si>
    <t>KZT</t>
  </si>
  <si>
    <t>TENGE</t>
  </si>
  <si>
    <t>SIT</t>
  </si>
  <si>
    <t>TOLAR</t>
  </si>
  <si>
    <t>TTD</t>
  </si>
  <si>
    <t>TRINIDAD AND TOBAGO DOLLAR</t>
  </si>
  <si>
    <t>MNT</t>
  </si>
  <si>
    <t>TUGRIK</t>
  </si>
  <si>
    <t>TND</t>
  </si>
  <si>
    <t>TUNISIAN DINAR</t>
  </si>
  <si>
    <t>AED</t>
  </si>
  <si>
    <t>UAE DIRHAM</t>
  </si>
  <si>
    <t>UGX</t>
  </si>
  <si>
    <t>UGANDA SHILLING</t>
  </si>
  <si>
    <t>UZS</t>
  </si>
  <si>
    <t>UZBEKISTAN SUM</t>
  </si>
  <si>
    <t>VUV</t>
  </si>
  <si>
    <t>VATU</t>
  </si>
  <si>
    <t>KRW</t>
  </si>
  <si>
    <t>WON</t>
  </si>
  <si>
    <t>YER</t>
  </si>
  <si>
    <t>YEMENI RIAL</t>
  </si>
  <si>
    <t>CNY</t>
  </si>
  <si>
    <t>YUAN RENMINBI</t>
  </si>
  <si>
    <t>ZWD</t>
  </si>
  <si>
    <t>ZIMBABWE DOLLAR</t>
  </si>
  <si>
    <t>PLN</t>
  </si>
  <si>
    <t>ZLOTY</t>
  </si>
  <si>
    <t>999</t>
  </si>
  <si>
    <t>RESTO</t>
  </si>
  <si>
    <t>Tipo de cambio. Dólar por Sol</t>
  </si>
  <si>
    <t>Unidades de US Dólar por Sol</t>
  </si>
  <si>
    <t xml:space="preserve">  1. TIPO DE CAMBIO DE FIN DE PERIODO (PARA SALDOS)</t>
  </si>
  <si>
    <t xml:space="preserve">  2. TIPO DE  CAMBIO PROMEDIO (PARA FLUJOS)</t>
  </si>
  <si>
    <t>Tipo de cambio.  Dólar por Euro</t>
  </si>
  <si>
    <t>Unidades de US Dólar por Euro</t>
  </si>
  <si>
    <t>Tipo de cambio. Dólar por Yen</t>
  </si>
  <si>
    <t>Unidades de US Dólar por Yen</t>
  </si>
  <si>
    <t xml:space="preserve">DIA </t>
  </si>
  <si>
    <t xml:space="preserve">MONEDA </t>
  </si>
  <si>
    <t>Fin de período</t>
  </si>
  <si>
    <t>Yen japonés</t>
  </si>
  <si>
    <t>Euro</t>
  </si>
  <si>
    <t>CODIGO MBP6</t>
  </si>
  <si>
    <t>INGRESOS</t>
  </si>
  <si>
    <t>EGRESOS</t>
  </si>
  <si>
    <t>OTROS DATOS</t>
  </si>
  <si>
    <t>Opciones:P11</t>
  </si>
  <si>
    <t>01000000</t>
  </si>
  <si>
    <t>/////////////////</t>
  </si>
  <si>
    <t>01010000</t>
  </si>
  <si>
    <t>Si</t>
  </si>
  <si>
    <t>01010100</t>
  </si>
  <si>
    <t>No</t>
  </si>
  <si>
    <t>01010200</t>
  </si>
  <si>
    <t>01010300</t>
  </si>
  <si>
    <t>01020000</t>
  </si>
  <si>
    <t>01020100</t>
  </si>
  <si>
    <t>01020200</t>
  </si>
  <si>
    <t>01020300</t>
  </si>
  <si>
    <t>01030000</t>
  </si>
  <si>
    <t>01030100</t>
  </si>
  <si>
    <t>01030200</t>
  </si>
  <si>
    <t>01030300</t>
  </si>
  <si>
    <t>01040000</t>
  </si>
  <si>
    <t>02000000</t>
  </si>
  <si>
    <t>02010000</t>
  </si>
  <si>
    <t>02020000</t>
  </si>
  <si>
    <t>02030000</t>
  </si>
  <si>
    <t>03000000</t>
  </si>
  <si>
    <t>03010000</t>
  </si>
  <si>
    <t>03010100</t>
  </si>
  <si>
    <t>03010200</t>
  </si>
  <si>
    <t>03010300</t>
  </si>
  <si>
    <t>03020000</t>
  </si>
  <si>
    <t>03020100</t>
  </si>
  <si>
    <t>03020200</t>
  </si>
  <si>
    <t>03020300</t>
  </si>
  <si>
    <t>04000000</t>
  </si>
  <si>
    <t>05000000</t>
  </si>
  <si>
    <t>05010000</t>
  </si>
  <si>
    <t>05020000</t>
  </si>
  <si>
    <t>06000000</t>
  </si>
  <si>
    <t>06010000</t>
  </si>
  <si>
    <t>06020000</t>
  </si>
  <si>
    <t>06030000</t>
  </si>
  <si>
    <t>06040000</t>
  </si>
  <si>
    <t>07000000</t>
  </si>
  <si>
    <t>07010000</t>
  </si>
  <si>
    <t>07020000</t>
  </si>
  <si>
    <t>08000000</t>
  </si>
  <si>
    <t>09000000</t>
  </si>
  <si>
    <t>10000000</t>
  </si>
  <si>
    <t>10010000</t>
  </si>
  <si>
    <t>10010100</t>
  </si>
  <si>
    <t>10010200</t>
  </si>
  <si>
    <t>10020000</t>
  </si>
  <si>
    <t>10020100</t>
  </si>
  <si>
    <t>10020200</t>
  </si>
  <si>
    <t>10030000</t>
  </si>
  <si>
    <t>10030100</t>
  </si>
  <si>
    <t>10030200</t>
  </si>
  <si>
    <t>11010000</t>
  </si>
  <si>
    <t>11020000</t>
  </si>
  <si>
    <t>11030000</t>
  </si>
  <si>
    <t>12000000</t>
  </si>
  <si>
    <t>12010000</t>
  </si>
  <si>
    <t>12020000</t>
  </si>
  <si>
    <t>12030000</t>
  </si>
  <si>
    <t>ECID</t>
  </si>
  <si>
    <t>0</t>
  </si>
  <si>
    <t>TABLA DE PAISES</t>
  </si>
  <si>
    <t>CODIGO</t>
  </si>
  <si>
    <t>CODIGO_FMI</t>
  </si>
  <si>
    <t>BLOQUE_1</t>
  </si>
  <si>
    <t>BLOQUE_2</t>
  </si>
  <si>
    <t>CODIGO_
ANT_PAIS</t>
  </si>
  <si>
    <t>000</t>
  </si>
  <si>
    <t>00</t>
  </si>
  <si>
    <t>002</t>
  </si>
  <si>
    <t>Afganistán</t>
  </si>
  <si>
    <t>AFG</t>
  </si>
  <si>
    <t>ASIA</t>
  </si>
  <si>
    <t>Asia Central y Meridional</t>
  </si>
  <si>
    <t>AF</t>
  </si>
  <si>
    <t>003</t>
  </si>
  <si>
    <t>Albania</t>
  </si>
  <si>
    <t>ALB</t>
  </si>
  <si>
    <t>EUROPA</t>
  </si>
  <si>
    <t>Otros Países Europeos</t>
  </si>
  <si>
    <t>AL</t>
  </si>
  <si>
    <t>001</t>
  </si>
  <si>
    <t>Alemania</t>
  </si>
  <si>
    <t>DEU</t>
  </si>
  <si>
    <t>Europa</t>
  </si>
  <si>
    <t xml:space="preserve">DE </t>
  </si>
  <si>
    <t>004</t>
  </si>
  <si>
    <t>Andorra</t>
  </si>
  <si>
    <t>AND</t>
  </si>
  <si>
    <t>AD</t>
  </si>
  <si>
    <t>005</t>
  </si>
  <si>
    <t>Angola</t>
  </si>
  <si>
    <t>AGO</t>
  </si>
  <si>
    <t>AFRICA</t>
  </si>
  <si>
    <t>Africa Subsahariana</t>
  </si>
  <si>
    <t>AO</t>
  </si>
  <si>
    <t>006</t>
  </si>
  <si>
    <t>Anguila</t>
  </si>
  <si>
    <t>AIA</t>
  </si>
  <si>
    <t>AMERICAS</t>
  </si>
  <si>
    <t>Países del Atlántico Norte y el Caribe</t>
  </si>
  <si>
    <t>AI</t>
  </si>
  <si>
    <t>007</t>
  </si>
  <si>
    <t>Antigua y Barbuda</t>
  </si>
  <si>
    <t>ATG</t>
  </si>
  <si>
    <t>AG</t>
  </si>
  <si>
    <t>008</t>
  </si>
  <si>
    <t>Antillas Neerlandesas</t>
  </si>
  <si>
    <t>ANT</t>
  </si>
  <si>
    <t>AN</t>
  </si>
  <si>
    <t>009</t>
  </si>
  <si>
    <t>Arabia Saudita</t>
  </si>
  <si>
    <t>SAU</t>
  </si>
  <si>
    <t>Países del Golfo Pérsico</t>
  </si>
  <si>
    <t>SA</t>
  </si>
  <si>
    <t>010</t>
  </si>
  <si>
    <t>Argelia</t>
  </si>
  <si>
    <t>DZA</t>
  </si>
  <si>
    <t>Africa del Norte</t>
  </si>
  <si>
    <t>DZ</t>
  </si>
  <si>
    <t>011</t>
  </si>
  <si>
    <t>Argentina</t>
  </si>
  <si>
    <t>ARG</t>
  </si>
  <si>
    <t>América del Sur</t>
  </si>
  <si>
    <t>AR</t>
  </si>
  <si>
    <t>012</t>
  </si>
  <si>
    <t>Armenia</t>
  </si>
  <si>
    <t>ARM</t>
  </si>
  <si>
    <t>Otros países de Oriente Medio y Cercano Oriente</t>
  </si>
  <si>
    <t>AM</t>
  </si>
  <si>
    <t>013</t>
  </si>
  <si>
    <t>Aruba</t>
  </si>
  <si>
    <t>ABW</t>
  </si>
  <si>
    <t>AW</t>
  </si>
  <si>
    <t>014</t>
  </si>
  <si>
    <t>Australia</t>
  </si>
  <si>
    <t>AUS</t>
  </si>
  <si>
    <t>Oceanía y la Región Polar</t>
  </si>
  <si>
    <t>AU</t>
  </si>
  <si>
    <t>015</t>
  </si>
  <si>
    <t>Austria</t>
  </si>
  <si>
    <t>AUT</t>
  </si>
  <si>
    <t>AT</t>
  </si>
  <si>
    <t>016</t>
  </si>
  <si>
    <t>Azerbaiján, República de</t>
  </si>
  <si>
    <t>AZE</t>
  </si>
  <si>
    <t>AZ</t>
  </si>
  <si>
    <t>017</t>
  </si>
  <si>
    <t>Bahamas, Las</t>
  </si>
  <si>
    <t>BHS</t>
  </si>
  <si>
    <t>BS</t>
  </si>
  <si>
    <t>018</t>
  </si>
  <si>
    <t>Bahrayn</t>
  </si>
  <si>
    <t>BHR</t>
  </si>
  <si>
    <t>BH</t>
  </si>
  <si>
    <t>019</t>
  </si>
  <si>
    <t>Bangladesh</t>
  </si>
  <si>
    <t>BGD</t>
  </si>
  <si>
    <t>BD</t>
  </si>
  <si>
    <t>020</t>
  </si>
  <si>
    <t>Barbados</t>
  </si>
  <si>
    <t>BRB</t>
  </si>
  <si>
    <t>BB</t>
  </si>
  <si>
    <t>022</t>
  </si>
  <si>
    <t>Bélgica</t>
  </si>
  <si>
    <t>BEL</t>
  </si>
  <si>
    <t xml:space="preserve">BE </t>
  </si>
  <si>
    <t>023</t>
  </si>
  <si>
    <t>Belice</t>
  </si>
  <si>
    <t>BLZ</t>
  </si>
  <si>
    <t>América del Norte</t>
  </si>
  <si>
    <t>BZ</t>
  </si>
  <si>
    <t>024</t>
  </si>
  <si>
    <t>Benín</t>
  </si>
  <si>
    <t>BEN</t>
  </si>
  <si>
    <t>BJ</t>
  </si>
  <si>
    <t>025</t>
  </si>
  <si>
    <t>Bermuda</t>
  </si>
  <si>
    <t>BMU</t>
  </si>
  <si>
    <t>BM</t>
  </si>
  <si>
    <t>026</t>
  </si>
  <si>
    <t>Bhután</t>
  </si>
  <si>
    <t>BT</t>
  </si>
  <si>
    <t>021</t>
  </si>
  <si>
    <t>Bielorrusia</t>
  </si>
  <si>
    <t>BLR</t>
  </si>
  <si>
    <t>BY</t>
  </si>
  <si>
    <t>027</t>
  </si>
  <si>
    <t>Bolivia</t>
  </si>
  <si>
    <t>BOL</t>
  </si>
  <si>
    <t>BO</t>
  </si>
  <si>
    <t>028</t>
  </si>
  <si>
    <t>Bosnia - Herzegovina</t>
  </si>
  <si>
    <t>BIH</t>
  </si>
  <si>
    <t>BA</t>
  </si>
  <si>
    <t>029</t>
  </si>
  <si>
    <t>Botswana</t>
  </si>
  <si>
    <t>BWA</t>
  </si>
  <si>
    <t>BW</t>
  </si>
  <si>
    <t>030</t>
  </si>
  <si>
    <t>Brasil</t>
  </si>
  <si>
    <t>BRA</t>
  </si>
  <si>
    <t>BR</t>
  </si>
  <si>
    <t>031</t>
  </si>
  <si>
    <t>Brunei Darussalam</t>
  </si>
  <si>
    <t>BRN</t>
  </si>
  <si>
    <t xml:space="preserve">BN </t>
  </si>
  <si>
    <t>032</t>
  </si>
  <si>
    <t>Bulgaria</t>
  </si>
  <si>
    <t>BGR</t>
  </si>
  <si>
    <t>BG</t>
  </si>
  <si>
    <t>033</t>
  </si>
  <si>
    <t>Burkina Faso</t>
  </si>
  <si>
    <t>BFA</t>
  </si>
  <si>
    <t>BF</t>
  </si>
  <si>
    <t>034</t>
  </si>
  <si>
    <t>Burundi</t>
  </si>
  <si>
    <t>BDI</t>
  </si>
  <si>
    <t>BI</t>
  </si>
  <si>
    <t>035</t>
  </si>
  <si>
    <t>Cabo Verde</t>
  </si>
  <si>
    <t>CPV</t>
  </si>
  <si>
    <t xml:space="preserve">CV </t>
  </si>
  <si>
    <t>036</t>
  </si>
  <si>
    <t>Camboya</t>
  </si>
  <si>
    <t>KHM</t>
  </si>
  <si>
    <t>KH</t>
  </si>
  <si>
    <t>037</t>
  </si>
  <si>
    <t>Camerún</t>
  </si>
  <si>
    <t>CMR</t>
  </si>
  <si>
    <t>CM</t>
  </si>
  <si>
    <t>038</t>
  </si>
  <si>
    <t>Canadá</t>
  </si>
  <si>
    <t>CAN</t>
  </si>
  <si>
    <t>CA</t>
  </si>
  <si>
    <t>235</t>
  </si>
  <si>
    <t>Chad</t>
  </si>
  <si>
    <t>TCD</t>
  </si>
  <si>
    <t>039</t>
  </si>
  <si>
    <t>Chile</t>
  </si>
  <si>
    <t>CHL</t>
  </si>
  <si>
    <t>CL</t>
  </si>
  <si>
    <t>041</t>
  </si>
  <si>
    <t>China, Hong Kong RAE de</t>
  </si>
  <si>
    <t>HKG</t>
  </si>
  <si>
    <t>Asia Oriental</t>
  </si>
  <si>
    <t xml:space="preserve">HK </t>
  </si>
  <si>
    <t>040</t>
  </si>
  <si>
    <t>China, Macao, RAE</t>
  </si>
  <si>
    <t>MAC</t>
  </si>
  <si>
    <t>MO</t>
  </si>
  <si>
    <t>042</t>
  </si>
  <si>
    <t>China, República Popular de</t>
  </si>
  <si>
    <t>CHN</t>
  </si>
  <si>
    <t xml:space="preserve">CN </t>
  </si>
  <si>
    <t>043</t>
  </si>
  <si>
    <t>Chipre</t>
  </si>
  <si>
    <t>CY</t>
  </si>
  <si>
    <t>063</t>
  </si>
  <si>
    <t>Ciudad del Vaticano</t>
  </si>
  <si>
    <t>VAT</t>
  </si>
  <si>
    <t>VA</t>
  </si>
  <si>
    <t>044</t>
  </si>
  <si>
    <t>Colombia</t>
  </si>
  <si>
    <t>COL</t>
  </si>
  <si>
    <t>CO</t>
  </si>
  <si>
    <t>045</t>
  </si>
  <si>
    <t>Comores</t>
  </si>
  <si>
    <t>COM</t>
  </si>
  <si>
    <t>KM</t>
  </si>
  <si>
    <t>046</t>
  </si>
  <si>
    <t>Congo (Brazzaville)</t>
  </si>
  <si>
    <t>COG</t>
  </si>
  <si>
    <t>CG</t>
  </si>
  <si>
    <t>047</t>
  </si>
  <si>
    <t>Congo, República Democrática del (Kinshasa)</t>
  </si>
  <si>
    <t>CD</t>
  </si>
  <si>
    <t>048A</t>
  </si>
  <si>
    <t>Corea, República de (Corea del Sur)</t>
  </si>
  <si>
    <t>KOR</t>
  </si>
  <si>
    <t>KR</t>
  </si>
  <si>
    <t>048</t>
  </si>
  <si>
    <t>Corea, República Popular Democrática de (Corea del Norte)</t>
  </si>
  <si>
    <t>PRK</t>
  </si>
  <si>
    <t>KP</t>
  </si>
  <si>
    <t>236</t>
  </si>
  <si>
    <t>Costa de Marfil</t>
  </si>
  <si>
    <t>CIV</t>
  </si>
  <si>
    <t>049</t>
  </si>
  <si>
    <t>Costa Rica</t>
  </si>
  <si>
    <t>CRI</t>
  </si>
  <si>
    <t>CR</t>
  </si>
  <si>
    <t>050</t>
  </si>
  <si>
    <t>Croacia</t>
  </si>
  <si>
    <t>HRV</t>
  </si>
  <si>
    <t>HR</t>
  </si>
  <si>
    <t>051</t>
  </si>
  <si>
    <t>Cuba</t>
  </si>
  <si>
    <t>CUB</t>
  </si>
  <si>
    <t>CU</t>
  </si>
  <si>
    <t>052</t>
  </si>
  <si>
    <t>Dinamarca</t>
  </si>
  <si>
    <t>DNK</t>
  </si>
  <si>
    <t>DK</t>
  </si>
  <si>
    <t>053</t>
  </si>
  <si>
    <t>Djibouti</t>
  </si>
  <si>
    <t>DJI</t>
  </si>
  <si>
    <t>DJ</t>
  </si>
  <si>
    <t>054</t>
  </si>
  <si>
    <t>Dominica</t>
  </si>
  <si>
    <t>DMA</t>
  </si>
  <si>
    <t>DM</t>
  </si>
  <si>
    <t>055</t>
  </si>
  <si>
    <t>Ecuador</t>
  </si>
  <si>
    <t>ECU</t>
  </si>
  <si>
    <t>EC</t>
  </si>
  <si>
    <t>056</t>
  </si>
  <si>
    <t>Egipto</t>
  </si>
  <si>
    <t>EGY</t>
  </si>
  <si>
    <t>EG</t>
  </si>
  <si>
    <t>057</t>
  </si>
  <si>
    <t>El Salvador</t>
  </si>
  <si>
    <t>SLV</t>
  </si>
  <si>
    <t>SV</t>
  </si>
  <si>
    <t>058</t>
  </si>
  <si>
    <t>Emiratos Árabes Unidos</t>
  </si>
  <si>
    <t>ARE</t>
  </si>
  <si>
    <t>AE</t>
  </si>
  <si>
    <t>059</t>
  </si>
  <si>
    <t>Eritrea</t>
  </si>
  <si>
    <t>ERI</t>
  </si>
  <si>
    <t>ER</t>
  </si>
  <si>
    <t>060</t>
  </si>
  <si>
    <t>Eslovaquia</t>
  </si>
  <si>
    <t>SVK</t>
  </si>
  <si>
    <t>SK</t>
  </si>
  <si>
    <t>061</t>
  </si>
  <si>
    <t>Eslovenia</t>
  </si>
  <si>
    <t>SVN</t>
  </si>
  <si>
    <t>SL</t>
  </si>
  <si>
    <t>062</t>
  </si>
  <si>
    <t>España</t>
  </si>
  <si>
    <t>ESP</t>
  </si>
  <si>
    <t>ES</t>
  </si>
  <si>
    <t>064</t>
  </si>
  <si>
    <t>Estados Unidos</t>
  </si>
  <si>
    <t>USA</t>
  </si>
  <si>
    <t>US</t>
  </si>
  <si>
    <t>065</t>
  </si>
  <si>
    <t>Estonia</t>
  </si>
  <si>
    <t>EST</t>
  </si>
  <si>
    <t>EE</t>
  </si>
  <si>
    <t>066</t>
  </si>
  <si>
    <t>Etiopía</t>
  </si>
  <si>
    <t>ETH</t>
  </si>
  <si>
    <t>ET</t>
  </si>
  <si>
    <t>067</t>
  </si>
  <si>
    <t>Fiji</t>
  </si>
  <si>
    <t>FJI</t>
  </si>
  <si>
    <t>FJ</t>
  </si>
  <si>
    <t>068</t>
  </si>
  <si>
    <t>Filipinas</t>
  </si>
  <si>
    <t>PHL</t>
  </si>
  <si>
    <t>PH</t>
  </si>
  <si>
    <t>069</t>
  </si>
  <si>
    <t>Finlandia</t>
  </si>
  <si>
    <t>FIN</t>
  </si>
  <si>
    <t>FI</t>
  </si>
  <si>
    <t>070</t>
  </si>
  <si>
    <t>Francia</t>
  </si>
  <si>
    <t>FRA</t>
  </si>
  <si>
    <t>FR</t>
  </si>
  <si>
    <t>071</t>
  </si>
  <si>
    <t>Gabón</t>
  </si>
  <si>
    <t>GAB</t>
  </si>
  <si>
    <t>GA</t>
  </si>
  <si>
    <t>072</t>
  </si>
  <si>
    <t>Gambia</t>
  </si>
  <si>
    <t>GMB</t>
  </si>
  <si>
    <t>GM</t>
  </si>
  <si>
    <t>073</t>
  </si>
  <si>
    <t>Georgia</t>
  </si>
  <si>
    <t>GEO</t>
  </si>
  <si>
    <t>GE</t>
  </si>
  <si>
    <t>074</t>
  </si>
  <si>
    <t>Ghana</t>
  </si>
  <si>
    <t>GHA</t>
  </si>
  <si>
    <t xml:space="preserve">GH </t>
  </si>
  <si>
    <t>075</t>
  </si>
  <si>
    <t>Gibraltar</t>
  </si>
  <si>
    <t>GIB</t>
  </si>
  <si>
    <t xml:space="preserve">GI </t>
  </si>
  <si>
    <t>076</t>
  </si>
  <si>
    <t>Granada</t>
  </si>
  <si>
    <t>GRD</t>
  </si>
  <si>
    <t>GD</t>
  </si>
  <si>
    <t>077</t>
  </si>
  <si>
    <t>Grecia</t>
  </si>
  <si>
    <t>GRC</t>
  </si>
  <si>
    <t>GR</t>
  </si>
  <si>
    <t>078</t>
  </si>
  <si>
    <t>Groenlandia</t>
  </si>
  <si>
    <t>GRL</t>
  </si>
  <si>
    <t xml:space="preserve">GL </t>
  </si>
  <si>
    <t>240</t>
  </si>
  <si>
    <t>Guadalupe</t>
  </si>
  <si>
    <t>GLP</t>
  </si>
  <si>
    <t>079</t>
  </si>
  <si>
    <t>Guam</t>
  </si>
  <si>
    <t>GUM</t>
  </si>
  <si>
    <t>GU</t>
  </si>
  <si>
    <t>080</t>
  </si>
  <si>
    <t>Guatemala</t>
  </si>
  <si>
    <t>GTM</t>
  </si>
  <si>
    <t>GT</t>
  </si>
  <si>
    <t>081</t>
  </si>
  <si>
    <t>Guernesey</t>
  </si>
  <si>
    <t>GGY</t>
  </si>
  <si>
    <t>GG</t>
  </si>
  <si>
    <t>082</t>
  </si>
  <si>
    <t>Guinea</t>
  </si>
  <si>
    <t>GIN</t>
  </si>
  <si>
    <t>GN</t>
  </si>
  <si>
    <t>083</t>
  </si>
  <si>
    <t>Guinea Ecuatorial</t>
  </si>
  <si>
    <t>GNQ</t>
  </si>
  <si>
    <t>GQ</t>
  </si>
  <si>
    <t>084</t>
  </si>
  <si>
    <t>Guinea-Bissau</t>
  </si>
  <si>
    <t>GNB</t>
  </si>
  <si>
    <t>GW</t>
  </si>
  <si>
    <t>085</t>
  </si>
  <si>
    <t>Guyana</t>
  </si>
  <si>
    <t>GUY</t>
  </si>
  <si>
    <t>GY</t>
  </si>
  <si>
    <t>086</t>
  </si>
  <si>
    <t>Guyana Francesa</t>
  </si>
  <si>
    <t>GUF</t>
  </si>
  <si>
    <t>GF</t>
  </si>
  <si>
    <t>087</t>
  </si>
  <si>
    <t>Haití</t>
  </si>
  <si>
    <t>HTI</t>
  </si>
  <si>
    <t>HT</t>
  </si>
  <si>
    <t>088</t>
  </si>
  <si>
    <t>Honduras</t>
  </si>
  <si>
    <t>HND</t>
  </si>
  <si>
    <t>HN</t>
  </si>
  <si>
    <t>089</t>
  </si>
  <si>
    <t>Hungría</t>
  </si>
  <si>
    <t>HUN</t>
  </si>
  <si>
    <t>HU</t>
  </si>
  <si>
    <t>090</t>
  </si>
  <si>
    <t>India</t>
  </si>
  <si>
    <t>IND</t>
  </si>
  <si>
    <t>IN</t>
  </si>
  <si>
    <t>091</t>
  </si>
  <si>
    <t>Indonesia</t>
  </si>
  <si>
    <t>IDN</t>
  </si>
  <si>
    <t>ID</t>
  </si>
  <si>
    <t>092</t>
  </si>
  <si>
    <t>Irán, República Islámica del</t>
  </si>
  <si>
    <t>IRN</t>
  </si>
  <si>
    <t xml:space="preserve">IR </t>
  </si>
  <si>
    <t>093</t>
  </si>
  <si>
    <t>Iraq</t>
  </si>
  <si>
    <t>IRQ</t>
  </si>
  <si>
    <t>IQ</t>
  </si>
  <si>
    <t>094</t>
  </si>
  <si>
    <t>Irlanda</t>
  </si>
  <si>
    <t>IRL</t>
  </si>
  <si>
    <t>IE</t>
  </si>
  <si>
    <t>096</t>
  </si>
  <si>
    <t>Isla de Man</t>
  </si>
  <si>
    <t>IMN</t>
  </si>
  <si>
    <t>IM</t>
  </si>
  <si>
    <t>097</t>
  </si>
  <si>
    <t>Islandia</t>
  </si>
  <si>
    <t>ISL</t>
  </si>
  <si>
    <t>IS</t>
  </si>
  <si>
    <t>095</t>
  </si>
  <si>
    <t>Islas Bouvet</t>
  </si>
  <si>
    <t>VQ*</t>
  </si>
  <si>
    <t>BV</t>
  </si>
  <si>
    <t>098</t>
  </si>
  <si>
    <t>Islas Caimán</t>
  </si>
  <si>
    <t>CYM</t>
  </si>
  <si>
    <t>KY</t>
  </si>
  <si>
    <t>Islas Cocos (Keeling)</t>
  </si>
  <si>
    <t>CQ*</t>
  </si>
  <si>
    <t>CC</t>
  </si>
  <si>
    <t>101</t>
  </si>
  <si>
    <t>Islas Cook</t>
  </si>
  <si>
    <t>COK</t>
  </si>
  <si>
    <t>CK</t>
  </si>
  <si>
    <t>099</t>
  </si>
  <si>
    <t>Islas de Navidad (Christmas Island)</t>
  </si>
  <si>
    <t>XQ*</t>
  </si>
  <si>
    <t>CX</t>
  </si>
  <si>
    <t>102</t>
  </si>
  <si>
    <t>Islas Falkland (Malvinas)</t>
  </si>
  <si>
    <t>FLK</t>
  </si>
  <si>
    <t>FK</t>
  </si>
  <si>
    <t>Islas Feroe</t>
  </si>
  <si>
    <t>FRO</t>
  </si>
  <si>
    <t>FO</t>
  </si>
  <si>
    <t>104</t>
  </si>
  <si>
    <t>Islas Georgia del Sur y Sandwich del Sur</t>
  </si>
  <si>
    <t>SQ*</t>
  </si>
  <si>
    <t>105</t>
  </si>
  <si>
    <t>Islas Heard e McDonald</t>
  </si>
  <si>
    <t>MQ*</t>
  </si>
  <si>
    <t>HM</t>
  </si>
  <si>
    <t>106</t>
  </si>
  <si>
    <t>Islas Mariana del Norte</t>
  </si>
  <si>
    <t>MNP</t>
  </si>
  <si>
    <t>MP</t>
  </si>
  <si>
    <t>107</t>
  </si>
  <si>
    <t>Islas Marshall</t>
  </si>
  <si>
    <t>MHL</t>
  </si>
  <si>
    <t>MH</t>
  </si>
  <si>
    <t>108</t>
  </si>
  <si>
    <t>Islas Menores Ultramarinas de Estados Unidos</t>
  </si>
  <si>
    <t>UQ*</t>
  </si>
  <si>
    <t xml:space="preserve">UM </t>
  </si>
  <si>
    <t>109</t>
  </si>
  <si>
    <t>Islas Norfolk</t>
  </si>
  <si>
    <t>NFK</t>
  </si>
  <si>
    <t>NF</t>
  </si>
  <si>
    <t>170</t>
  </si>
  <si>
    <t>Islas Pitcairn</t>
  </si>
  <si>
    <t>PCN</t>
  </si>
  <si>
    <t xml:space="preserve">PN </t>
  </si>
  <si>
    <t>242</t>
  </si>
  <si>
    <t>Islas Salomón</t>
  </si>
  <si>
    <t>SLB</t>
  </si>
  <si>
    <t>112</t>
  </si>
  <si>
    <t>Islas Turcas y Caicos</t>
  </si>
  <si>
    <t>TCA</t>
  </si>
  <si>
    <t>TC</t>
  </si>
  <si>
    <t>110</t>
  </si>
  <si>
    <t>Islas Vírgenes de Estados Unidos</t>
  </si>
  <si>
    <t>VIR</t>
  </si>
  <si>
    <t>VI</t>
  </si>
  <si>
    <t>111</t>
  </si>
  <si>
    <t>Islas Vírgenes Inglesas</t>
  </si>
  <si>
    <t>VGB</t>
  </si>
  <si>
    <t xml:space="preserve">VG </t>
  </si>
  <si>
    <t>113</t>
  </si>
  <si>
    <t>Israel</t>
  </si>
  <si>
    <t>ISR</t>
  </si>
  <si>
    <t>IL</t>
  </si>
  <si>
    <t>114</t>
  </si>
  <si>
    <t>Italia</t>
  </si>
  <si>
    <t>ITA</t>
  </si>
  <si>
    <t>IT</t>
  </si>
  <si>
    <t>115</t>
  </si>
  <si>
    <t>Jamahiriya Árabe Libia</t>
  </si>
  <si>
    <t>LBY</t>
  </si>
  <si>
    <t>LY</t>
  </si>
  <si>
    <t>116</t>
  </si>
  <si>
    <t>Jamaica</t>
  </si>
  <si>
    <t>JAM</t>
  </si>
  <si>
    <t>JM</t>
  </si>
  <si>
    <t>117</t>
  </si>
  <si>
    <t>Japón</t>
  </si>
  <si>
    <t>JPN</t>
  </si>
  <si>
    <t>JP</t>
  </si>
  <si>
    <t>118</t>
  </si>
  <si>
    <t>Jersey</t>
  </si>
  <si>
    <t>JEY</t>
  </si>
  <si>
    <t>JE</t>
  </si>
  <si>
    <t>119</t>
  </si>
  <si>
    <t>Jordania</t>
  </si>
  <si>
    <t>JOR</t>
  </si>
  <si>
    <t>JO</t>
  </si>
  <si>
    <t>120</t>
  </si>
  <si>
    <t>Kazajstán</t>
  </si>
  <si>
    <t>KAZ</t>
  </si>
  <si>
    <t>KZ</t>
  </si>
  <si>
    <t>121</t>
  </si>
  <si>
    <t>Kenya</t>
  </si>
  <si>
    <t>KEN</t>
  </si>
  <si>
    <t>KE</t>
  </si>
  <si>
    <t>122</t>
  </si>
  <si>
    <t>Kirguizistán</t>
  </si>
  <si>
    <t>KGZ</t>
  </si>
  <si>
    <t>KG</t>
  </si>
  <si>
    <t>123</t>
  </si>
  <si>
    <t>Kiribati</t>
  </si>
  <si>
    <t>KIR</t>
  </si>
  <si>
    <t>KI</t>
  </si>
  <si>
    <t>234</t>
  </si>
  <si>
    <t>Kosovo</t>
  </si>
  <si>
    <t>UVK</t>
  </si>
  <si>
    <t>124</t>
  </si>
  <si>
    <t>Kuwait</t>
  </si>
  <si>
    <t>KWT</t>
  </si>
  <si>
    <t>KW</t>
  </si>
  <si>
    <t>125</t>
  </si>
  <si>
    <t>Lesotho</t>
  </si>
  <si>
    <t>LSO</t>
  </si>
  <si>
    <t>LS</t>
  </si>
  <si>
    <t>126</t>
  </si>
  <si>
    <t>Letonia</t>
  </si>
  <si>
    <t>LVA</t>
  </si>
  <si>
    <t>LV</t>
  </si>
  <si>
    <t>127</t>
  </si>
  <si>
    <t>Líbano</t>
  </si>
  <si>
    <t>LBN</t>
  </si>
  <si>
    <t>LB</t>
  </si>
  <si>
    <t>128</t>
  </si>
  <si>
    <t>Liberia</t>
  </si>
  <si>
    <t>LBR</t>
  </si>
  <si>
    <t>LR</t>
  </si>
  <si>
    <t>129</t>
  </si>
  <si>
    <t>Liechtenstein</t>
  </si>
  <si>
    <t>LIE</t>
  </si>
  <si>
    <t>LI</t>
  </si>
  <si>
    <t>130</t>
  </si>
  <si>
    <t>Lituania</t>
  </si>
  <si>
    <t>LTU</t>
  </si>
  <si>
    <t>LT</t>
  </si>
  <si>
    <t>131</t>
  </si>
  <si>
    <t>Luxemburgo</t>
  </si>
  <si>
    <t>LUX</t>
  </si>
  <si>
    <t>LU</t>
  </si>
  <si>
    <t>132</t>
  </si>
  <si>
    <t>Macedonia, ExRepública Yugoslava de</t>
  </si>
  <si>
    <t>MK</t>
  </si>
  <si>
    <t>133</t>
  </si>
  <si>
    <t>Madagascar</t>
  </si>
  <si>
    <t>MDG</t>
  </si>
  <si>
    <t>MG</t>
  </si>
  <si>
    <t>134</t>
  </si>
  <si>
    <t>Malasia</t>
  </si>
  <si>
    <t>MYS</t>
  </si>
  <si>
    <t>MY</t>
  </si>
  <si>
    <t>135</t>
  </si>
  <si>
    <t>Malawi</t>
  </si>
  <si>
    <t>MWI</t>
  </si>
  <si>
    <t>MW</t>
  </si>
  <si>
    <t>136</t>
  </si>
  <si>
    <t>Maldivas</t>
  </si>
  <si>
    <t>MDV</t>
  </si>
  <si>
    <t>MV</t>
  </si>
  <si>
    <t>137</t>
  </si>
  <si>
    <t>Malí</t>
  </si>
  <si>
    <t>MLI</t>
  </si>
  <si>
    <t xml:space="preserve">ML </t>
  </si>
  <si>
    <t>138</t>
  </si>
  <si>
    <t>Malta</t>
  </si>
  <si>
    <t>MLT</t>
  </si>
  <si>
    <t>MT</t>
  </si>
  <si>
    <t>139</t>
  </si>
  <si>
    <t>Marruecos</t>
  </si>
  <si>
    <t>MAR</t>
  </si>
  <si>
    <t>MA</t>
  </si>
  <si>
    <t>140</t>
  </si>
  <si>
    <t>Martinica</t>
  </si>
  <si>
    <t>MTQ</t>
  </si>
  <si>
    <t>MR</t>
  </si>
  <si>
    <t>141</t>
  </si>
  <si>
    <t>Mauricio</t>
  </si>
  <si>
    <t>MUS</t>
  </si>
  <si>
    <t>MU</t>
  </si>
  <si>
    <t>142</t>
  </si>
  <si>
    <t>Mauritania</t>
  </si>
  <si>
    <t>MRT</t>
  </si>
  <si>
    <t>237</t>
  </si>
  <si>
    <t>Mayotte</t>
  </si>
  <si>
    <t>MYT</t>
  </si>
  <si>
    <t>143</t>
  </si>
  <si>
    <t>México</t>
  </si>
  <si>
    <t>MEX</t>
  </si>
  <si>
    <t>MX</t>
  </si>
  <si>
    <t>144</t>
  </si>
  <si>
    <t>Micronesia, Estados Federados de</t>
  </si>
  <si>
    <t>FSM</t>
  </si>
  <si>
    <t xml:space="preserve">FM </t>
  </si>
  <si>
    <t>145</t>
  </si>
  <si>
    <t>Moldavia, República de</t>
  </si>
  <si>
    <t>MDA</t>
  </si>
  <si>
    <t>MD</t>
  </si>
  <si>
    <t>146</t>
  </si>
  <si>
    <t>Mónaco</t>
  </si>
  <si>
    <t>MCO</t>
  </si>
  <si>
    <t>MN</t>
  </si>
  <si>
    <t>147</t>
  </si>
  <si>
    <t>Mongolia</t>
  </si>
  <si>
    <t>MNG</t>
  </si>
  <si>
    <t xml:space="preserve">MN </t>
  </si>
  <si>
    <t>148</t>
  </si>
  <si>
    <t>Montenegro</t>
  </si>
  <si>
    <t>MNE</t>
  </si>
  <si>
    <t>149</t>
  </si>
  <si>
    <t>Montserrat</t>
  </si>
  <si>
    <t>MSR</t>
  </si>
  <si>
    <t>MS</t>
  </si>
  <si>
    <t>150</t>
  </si>
  <si>
    <t>Mozambique</t>
  </si>
  <si>
    <t>MOZ</t>
  </si>
  <si>
    <t>MZ</t>
  </si>
  <si>
    <t>151</t>
  </si>
  <si>
    <t>Myanmar (Birmania)</t>
  </si>
  <si>
    <t>MMR</t>
  </si>
  <si>
    <t>152</t>
  </si>
  <si>
    <t>Namibia</t>
  </si>
  <si>
    <t>NAM</t>
  </si>
  <si>
    <t>NA</t>
  </si>
  <si>
    <t>153</t>
  </si>
  <si>
    <t>Nauru</t>
  </si>
  <si>
    <t>NRU</t>
  </si>
  <si>
    <t xml:space="preserve">NR </t>
  </si>
  <si>
    <t>154</t>
  </si>
  <si>
    <t>Nepal</t>
  </si>
  <si>
    <t>NPL</t>
  </si>
  <si>
    <t>NP</t>
  </si>
  <si>
    <t>155</t>
  </si>
  <si>
    <t>Nicaragua</t>
  </si>
  <si>
    <t>NIC</t>
  </si>
  <si>
    <t>NI</t>
  </si>
  <si>
    <t>156</t>
  </si>
  <si>
    <t>Níger</t>
  </si>
  <si>
    <t>NER</t>
  </si>
  <si>
    <t xml:space="preserve">NE </t>
  </si>
  <si>
    <t>157</t>
  </si>
  <si>
    <t>Nigeria</t>
  </si>
  <si>
    <t>NGA</t>
  </si>
  <si>
    <t xml:space="preserve">NG </t>
  </si>
  <si>
    <t>158</t>
  </si>
  <si>
    <t>Niue</t>
  </si>
  <si>
    <t>NIU</t>
  </si>
  <si>
    <t>UN</t>
  </si>
  <si>
    <t>159</t>
  </si>
  <si>
    <t>Noruega</t>
  </si>
  <si>
    <t>NOR</t>
  </si>
  <si>
    <t>160</t>
  </si>
  <si>
    <t>Nueva Caledonia</t>
  </si>
  <si>
    <t>NCL</t>
  </si>
  <si>
    <t>NC</t>
  </si>
  <si>
    <t>161</t>
  </si>
  <si>
    <t>Nueva Zelanda</t>
  </si>
  <si>
    <t>NZL</t>
  </si>
  <si>
    <t>NZ</t>
  </si>
  <si>
    <t>162</t>
  </si>
  <si>
    <t>Omán</t>
  </si>
  <si>
    <t>OMN</t>
  </si>
  <si>
    <t>OM</t>
  </si>
  <si>
    <t>163</t>
  </si>
  <si>
    <t>Países Bajos</t>
  </si>
  <si>
    <t>NLD</t>
  </si>
  <si>
    <t>NL</t>
  </si>
  <si>
    <t>164</t>
  </si>
  <si>
    <t>Pakistán</t>
  </si>
  <si>
    <t>PAK</t>
  </si>
  <si>
    <t>PK</t>
  </si>
  <si>
    <t>165</t>
  </si>
  <si>
    <t>Palau</t>
  </si>
  <si>
    <t>PLW</t>
  </si>
  <si>
    <t>PW</t>
  </si>
  <si>
    <t>166</t>
  </si>
  <si>
    <t>Panamá</t>
  </si>
  <si>
    <t>PAN</t>
  </si>
  <si>
    <t>PA</t>
  </si>
  <si>
    <t>167</t>
  </si>
  <si>
    <t>Papúa y Nueva Guinea</t>
  </si>
  <si>
    <t>PNG</t>
  </si>
  <si>
    <t xml:space="preserve">PG </t>
  </si>
  <si>
    <t>168</t>
  </si>
  <si>
    <t>Paraguay</t>
  </si>
  <si>
    <t>PRY</t>
  </si>
  <si>
    <t>PY</t>
  </si>
  <si>
    <t>169</t>
  </si>
  <si>
    <t>PER</t>
  </si>
  <si>
    <t>PE</t>
  </si>
  <si>
    <t>171</t>
  </si>
  <si>
    <t>Polinesia Francesa</t>
  </si>
  <si>
    <t>PYF</t>
  </si>
  <si>
    <t>PF</t>
  </si>
  <si>
    <t>172</t>
  </si>
  <si>
    <t>Polonia</t>
  </si>
  <si>
    <t>POL</t>
  </si>
  <si>
    <t>PL</t>
  </si>
  <si>
    <t>173</t>
  </si>
  <si>
    <t>Portugal</t>
  </si>
  <si>
    <t>PRT</t>
  </si>
  <si>
    <t>PT</t>
  </si>
  <si>
    <t>174</t>
  </si>
  <si>
    <t>Puerto Rico</t>
  </si>
  <si>
    <t>PRI</t>
  </si>
  <si>
    <t>QA</t>
  </si>
  <si>
    <t>175</t>
  </si>
  <si>
    <t>Qatar</t>
  </si>
  <si>
    <t>QAT</t>
  </si>
  <si>
    <t>176</t>
  </si>
  <si>
    <t>Reino Unido</t>
  </si>
  <si>
    <t>GBR</t>
  </si>
  <si>
    <t>GB</t>
  </si>
  <si>
    <t>178</t>
  </si>
  <si>
    <t>República Centroafricana</t>
  </si>
  <si>
    <t>CAF</t>
  </si>
  <si>
    <t>CF</t>
  </si>
  <si>
    <t>179</t>
  </si>
  <si>
    <t>República Checa</t>
  </si>
  <si>
    <t>CZE</t>
  </si>
  <si>
    <t>CZ</t>
  </si>
  <si>
    <t>180</t>
  </si>
  <si>
    <t>República Democrática Popular Lao</t>
  </si>
  <si>
    <t>LAO</t>
  </si>
  <si>
    <t>LA</t>
  </si>
  <si>
    <t>181</t>
  </si>
  <si>
    <t>República Dominicana</t>
  </si>
  <si>
    <t>DOM</t>
  </si>
  <si>
    <t>DO</t>
  </si>
  <si>
    <t>238</t>
  </si>
  <si>
    <t>Reunión</t>
  </si>
  <si>
    <t>REU</t>
  </si>
  <si>
    <t>182</t>
  </si>
  <si>
    <t>Ribera Occidental y Franja de Gaza</t>
  </si>
  <si>
    <t>PSE</t>
  </si>
  <si>
    <t>WG</t>
  </si>
  <si>
    <t>185</t>
  </si>
  <si>
    <t>Ruanda</t>
  </si>
  <si>
    <t>RWA</t>
  </si>
  <si>
    <t>RW</t>
  </si>
  <si>
    <t>183</t>
  </si>
  <si>
    <t>Rumanía</t>
  </si>
  <si>
    <t>ROU</t>
  </si>
  <si>
    <t>RO</t>
  </si>
  <si>
    <t>184</t>
  </si>
  <si>
    <t>Rusia</t>
  </si>
  <si>
    <t>RUS</t>
  </si>
  <si>
    <t>RU</t>
  </si>
  <si>
    <t>186</t>
  </si>
  <si>
    <t>Sahara Occidental</t>
  </si>
  <si>
    <t>ESH</t>
  </si>
  <si>
    <t>187</t>
  </si>
  <si>
    <t>Saint Kitts y Nevis</t>
  </si>
  <si>
    <t>KNA</t>
  </si>
  <si>
    <t xml:space="preserve">KN </t>
  </si>
  <si>
    <t>188</t>
  </si>
  <si>
    <t>Samoa</t>
  </si>
  <si>
    <t>WSM</t>
  </si>
  <si>
    <t>WS</t>
  </si>
  <si>
    <t>189</t>
  </si>
  <si>
    <t>Samoa Americana</t>
  </si>
  <si>
    <t>ASM</t>
  </si>
  <si>
    <t>AS</t>
  </si>
  <si>
    <t>190</t>
  </si>
  <si>
    <t>San Marino</t>
  </si>
  <si>
    <t>SMR</t>
  </si>
  <si>
    <t>SM</t>
  </si>
  <si>
    <t>241</t>
  </si>
  <si>
    <t>San Pedro y Miquelón</t>
  </si>
  <si>
    <t>SPM</t>
  </si>
  <si>
    <t>191</t>
  </si>
  <si>
    <t>San Vicente y las Granadinas</t>
  </si>
  <si>
    <t>VCT</t>
  </si>
  <si>
    <t>VC</t>
  </si>
  <si>
    <t>192</t>
  </si>
  <si>
    <t>Santa Helena</t>
  </si>
  <si>
    <t>SHN</t>
  </si>
  <si>
    <t>SH</t>
  </si>
  <si>
    <t>193</t>
  </si>
  <si>
    <t>Santa Lucía</t>
  </si>
  <si>
    <t>LCA</t>
  </si>
  <si>
    <t>LC</t>
  </si>
  <si>
    <t>194</t>
  </si>
  <si>
    <t>Santo Tomé y Príncipe</t>
  </si>
  <si>
    <t>STP</t>
  </si>
  <si>
    <t>ST</t>
  </si>
  <si>
    <t>195</t>
  </si>
  <si>
    <t>Senegal</t>
  </si>
  <si>
    <t>SEN</t>
  </si>
  <si>
    <t xml:space="preserve">SN </t>
  </si>
  <si>
    <t>196</t>
  </si>
  <si>
    <t>Serbia</t>
  </si>
  <si>
    <t>SRB</t>
  </si>
  <si>
    <t>SR</t>
  </si>
  <si>
    <t>197</t>
  </si>
  <si>
    <t>Seychelles</t>
  </si>
  <si>
    <t>SYC</t>
  </si>
  <si>
    <t>SC</t>
  </si>
  <si>
    <t>198</t>
  </si>
  <si>
    <t>Sierra Leona</t>
  </si>
  <si>
    <t>SLE</t>
  </si>
  <si>
    <t>199</t>
  </si>
  <si>
    <t>Singapur</t>
  </si>
  <si>
    <t>SGP</t>
  </si>
  <si>
    <t xml:space="preserve">SG </t>
  </si>
  <si>
    <t>177</t>
  </si>
  <si>
    <t>Siria</t>
  </si>
  <si>
    <t>SYR</t>
  </si>
  <si>
    <t>SY</t>
  </si>
  <si>
    <t>Somalia</t>
  </si>
  <si>
    <t>SO</t>
  </si>
  <si>
    <t>201</t>
  </si>
  <si>
    <t>Sri Lanka</t>
  </si>
  <si>
    <t>LKA</t>
  </si>
  <si>
    <t>LK</t>
  </si>
  <si>
    <t>202</t>
  </si>
  <si>
    <t>Sudáfrica, República de</t>
  </si>
  <si>
    <t>ZAF</t>
  </si>
  <si>
    <t>ZA</t>
  </si>
  <si>
    <t>203</t>
  </si>
  <si>
    <t>Sudán</t>
  </si>
  <si>
    <t>SDN</t>
  </si>
  <si>
    <t xml:space="preserve">SD </t>
  </si>
  <si>
    <t>204</t>
  </si>
  <si>
    <t>Suecia</t>
  </si>
  <si>
    <t>SWE</t>
  </si>
  <si>
    <t>SE</t>
  </si>
  <si>
    <t>205</t>
  </si>
  <si>
    <t>Suiza</t>
  </si>
  <si>
    <t>CHE</t>
  </si>
  <si>
    <t>CH</t>
  </si>
  <si>
    <t>206</t>
  </si>
  <si>
    <t>Surinam</t>
  </si>
  <si>
    <t>SUR</t>
  </si>
  <si>
    <t>207</t>
  </si>
  <si>
    <t>Swazilandia</t>
  </si>
  <si>
    <t>SWZ</t>
  </si>
  <si>
    <t>SZ</t>
  </si>
  <si>
    <t>208</t>
  </si>
  <si>
    <t>Tailandia</t>
  </si>
  <si>
    <t>THA</t>
  </si>
  <si>
    <t xml:space="preserve">TH </t>
  </si>
  <si>
    <t>209</t>
  </si>
  <si>
    <t>Taiwan, Provincia China d</t>
  </si>
  <si>
    <t xml:space="preserve"> TW</t>
  </si>
  <si>
    <t xml:space="preserve">TW </t>
  </si>
  <si>
    <t>239</t>
  </si>
  <si>
    <t>Tanzania</t>
  </si>
  <si>
    <t>TZA</t>
  </si>
  <si>
    <t>210</t>
  </si>
  <si>
    <t>Tayikistán</t>
  </si>
  <si>
    <t>TJK</t>
  </si>
  <si>
    <t xml:space="preserve">TJ </t>
  </si>
  <si>
    <t>211</t>
  </si>
  <si>
    <t>Territorio Británico del Océano Índico</t>
  </si>
  <si>
    <t>OQ*</t>
  </si>
  <si>
    <t xml:space="preserve">IO </t>
  </si>
  <si>
    <t>212</t>
  </si>
  <si>
    <t>Territorios Franceses Meridionales</t>
  </si>
  <si>
    <t>FQ*</t>
  </si>
  <si>
    <t xml:space="preserve">TF </t>
  </si>
  <si>
    <t>213</t>
  </si>
  <si>
    <t>Timor-Leste</t>
  </si>
  <si>
    <t>TLS</t>
  </si>
  <si>
    <t>TL</t>
  </si>
  <si>
    <t>214</t>
  </si>
  <si>
    <t>Togo</t>
  </si>
  <si>
    <t>TGO</t>
  </si>
  <si>
    <t>TG</t>
  </si>
  <si>
    <t>215</t>
  </si>
  <si>
    <t>Tokelau</t>
  </si>
  <si>
    <t>TKL</t>
  </si>
  <si>
    <t>TK</t>
  </si>
  <si>
    <t>216</t>
  </si>
  <si>
    <t>Tonga</t>
  </si>
  <si>
    <t>TON</t>
  </si>
  <si>
    <t xml:space="preserve">TO </t>
  </si>
  <si>
    <t>217</t>
  </si>
  <si>
    <t>Trinidad y Tobago</t>
  </si>
  <si>
    <t>TTO</t>
  </si>
  <si>
    <t>TT</t>
  </si>
  <si>
    <t>218</t>
  </si>
  <si>
    <t>Túnez</t>
  </si>
  <si>
    <t>TUN</t>
  </si>
  <si>
    <t>TN</t>
  </si>
  <si>
    <t>219</t>
  </si>
  <si>
    <t>Turkmenistán</t>
  </si>
  <si>
    <t>TKM</t>
  </si>
  <si>
    <t>TM</t>
  </si>
  <si>
    <t>220</t>
  </si>
  <si>
    <t>Turquía</t>
  </si>
  <si>
    <t>TUR</t>
  </si>
  <si>
    <t>TR</t>
  </si>
  <si>
    <t>221</t>
  </si>
  <si>
    <t>Tuvalu</t>
  </si>
  <si>
    <t>TUV</t>
  </si>
  <si>
    <t xml:space="preserve">TV </t>
  </si>
  <si>
    <t>222</t>
  </si>
  <si>
    <t>Ucrania</t>
  </si>
  <si>
    <t>UKR</t>
  </si>
  <si>
    <t>UA</t>
  </si>
  <si>
    <t>223</t>
  </si>
  <si>
    <t>Uganda</t>
  </si>
  <si>
    <t>UGA</t>
  </si>
  <si>
    <t>IG</t>
  </si>
  <si>
    <t>224</t>
  </si>
  <si>
    <t>Uruguay</t>
  </si>
  <si>
    <t>URY</t>
  </si>
  <si>
    <t>UY</t>
  </si>
  <si>
    <t>225</t>
  </si>
  <si>
    <t>Uzbekistán</t>
  </si>
  <si>
    <t>UZB</t>
  </si>
  <si>
    <t>UZ</t>
  </si>
  <si>
    <t>226</t>
  </si>
  <si>
    <t>Vanuatu</t>
  </si>
  <si>
    <t>VUT</t>
  </si>
  <si>
    <t xml:space="preserve">VU </t>
  </si>
  <si>
    <t>228</t>
  </si>
  <si>
    <t>Venezuela, República Bolivariana de</t>
  </si>
  <si>
    <t>VEN</t>
  </si>
  <si>
    <t>VE</t>
  </si>
  <si>
    <t>229</t>
  </si>
  <si>
    <t>Vietnam</t>
  </si>
  <si>
    <t>VNM</t>
  </si>
  <si>
    <t>VN</t>
  </si>
  <si>
    <t>Wallis y Futuna</t>
  </si>
  <si>
    <t>WLF</t>
  </si>
  <si>
    <t xml:space="preserve">WF </t>
  </si>
  <si>
    <t>231</t>
  </si>
  <si>
    <t>Yemen</t>
  </si>
  <si>
    <t>YEM</t>
  </si>
  <si>
    <t xml:space="preserve">YE </t>
  </si>
  <si>
    <t>232</t>
  </si>
  <si>
    <t>Zambia</t>
  </si>
  <si>
    <t>ZMB</t>
  </si>
  <si>
    <t>ZM</t>
  </si>
  <si>
    <t>233</t>
  </si>
  <si>
    <t>Zimbabwe</t>
  </si>
  <si>
    <t>ZWE</t>
  </si>
  <si>
    <t>ZW</t>
  </si>
  <si>
    <t>zzz</t>
  </si>
  <si>
    <t>ESTUDIO DE LA COBERTURA EN EL REPORTE DE DERIVADOS FINANCIEROS</t>
  </si>
  <si>
    <t>Sector del Declarante</t>
  </si>
  <si>
    <t>Propias</t>
  </si>
  <si>
    <t>Intermediadas</t>
  </si>
  <si>
    <t>1. Bancario</t>
  </si>
  <si>
    <t>2. Resto</t>
  </si>
  <si>
    <t>2.1. Finobanc</t>
  </si>
  <si>
    <t>2.2. No financiero</t>
  </si>
  <si>
    <t>X</t>
  </si>
  <si>
    <t>2. Financiero no bancario</t>
  </si>
  <si>
    <t>x</t>
  </si>
  <si>
    <t>3. No Financiero</t>
  </si>
  <si>
    <t>DESCOMPOSICION DEL RUC EN SUS DIGITOS</t>
  </si>
  <si>
    <t>FACTORES DE MULTIPLICACION</t>
  </si>
  <si>
    <t>DIGITOS x FACTORES</t>
  </si>
  <si>
    <t>a</t>
  </si>
  <si>
    <t>b</t>
  </si>
  <si>
    <t>c</t>
  </si>
  <si>
    <t>d</t>
  </si>
  <si>
    <t>e</t>
  </si>
  <si>
    <t>f</t>
  </si>
  <si>
    <t>g</t>
  </si>
  <si>
    <t>h</t>
  </si>
  <si>
    <t>i</t>
  </si>
  <si>
    <t>j</t>
  </si>
  <si>
    <t>SUMA</t>
  </si>
  <si>
    <t>RESIDUO</t>
  </si>
  <si>
    <t>PRUEBA</t>
  </si>
  <si>
    <t>19..02.01.</t>
  </si>
  <si>
    <t>1. Pasivo corriente</t>
  </si>
  <si>
    <t>1.2. Cuentas por pagar comerciales y otras cuentas por pagar</t>
  </si>
  <si>
    <t>1.1.0.1. De los cuales: Créditos</t>
  </si>
  <si>
    <t>1.1.0.2. De los cuales: Bonos</t>
  </si>
  <si>
    <t>1.2.0.1. De las cuales: Cuentas por pagar comerciales</t>
  </si>
  <si>
    <t>19..02.01.01.</t>
  </si>
  <si>
    <t>19..02.01.01.02.</t>
  </si>
  <si>
    <t>19..02.01.02.</t>
  </si>
  <si>
    <t>19..02.01.03.</t>
  </si>
  <si>
    <t>19..02.02.01.</t>
  </si>
  <si>
    <t>19..02.01.01.01.</t>
  </si>
  <si>
    <t>19..02.01.02.01.</t>
  </si>
  <si>
    <t>19..02.01.02.02.</t>
  </si>
  <si>
    <t>19..02.02.02.</t>
  </si>
  <si>
    <t>19..02.02.03.</t>
  </si>
  <si>
    <t>19..02.02.01.01.</t>
  </si>
  <si>
    <t>19..02.02.01.02.</t>
  </si>
  <si>
    <t>19..02.02.02.01.</t>
  </si>
  <si>
    <t>19..02.02.02.02.</t>
  </si>
  <si>
    <t>2. Pasivo no corriente</t>
  </si>
  <si>
    <t>19..03.01.</t>
  </si>
  <si>
    <t>19..03.02.</t>
  </si>
  <si>
    <t>Panorama B</t>
  </si>
  <si>
    <r>
      <t xml:space="preserve">Transportes                                                                                                                                                                                                            </t>
    </r>
    <r>
      <rPr>
        <sz val="12"/>
        <color indexed="12"/>
        <rFont val="Arial"/>
        <family val="2"/>
      </rPr>
      <t>(Debe ser llenado solo por empresas que efectúan servicios de transporte y servicios de apoyo y auxiliares para el transporte)</t>
    </r>
  </si>
  <si>
    <r>
      <t>Otros modalidades de transportes (</t>
    </r>
    <r>
      <rPr>
        <sz val="12"/>
        <color indexed="48"/>
        <rFont val="Arial"/>
        <family val="2"/>
      </rPr>
      <t>carretera, fluvial, ferroviario, tubería y/o transmisión de energía eléctrica</t>
    </r>
    <r>
      <rPr>
        <sz val="12"/>
        <rFont val="Arial"/>
        <family val="2"/>
      </rPr>
      <t>)</t>
    </r>
  </si>
  <si>
    <r>
      <rPr>
        <b/>
        <sz val="12"/>
        <rFont val="Arial"/>
        <family val="2"/>
      </rPr>
      <t xml:space="preserve">Servicios de telecomunicaciones                                                                                                                                        </t>
    </r>
    <r>
      <rPr>
        <b/>
        <sz val="12"/>
        <color indexed="12"/>
        <rFont val="Arial"/>
        <family val="2"/>
      </rPr>
      <t xml:space="preserve">- </t>
    </r>
    <r>
      <rPr>
        <sz val="12"/>
        <color indexed="12"/>
        <rFont val="Arial"/>
        <family val="2"/>
      </rPr>
      <t>Incluye la emisión o transmisión de sonidos, imágenes, datos u otra información.</t>
    </r>
  </si>
  <si>
    <r>
      <t xml:space="preserve">Servicios Financieros </t>
    </r>
    <r>
      <rPr>
        <sz val="12"/>
        <color indexed="12"/>
        <rFont val="Arial"/>
        <family val="2"/>
      </rPr>
      <t>(comisiones de intermediación financiera -excluir intereses-)</t>
    </r>
  </si>
  <si>
    <r>
      <t xml:space="preserve">Cargos por el uso de la propiedad intelectual </t>
    </r>
    <r>
      <rPr>
        <sz val="12"/>
        <rFont val="Arial"/>
        <family val="2"/>
      </rPr>
      <t xml:space="preserve"> (Regalías y Derechos de Licencia</t>
    </r>
    <r>
      <rPr>
        <b/>
        <sz val="12"/>
        <rFont val="Arial"/>
        <family val="2"/>
      </rPr>
      <t>)</t>
    </r>
  </si>
  <si>
    <r>
      <t xml:space="preserve">Servicios de Manufactura sobre insumos físicos que son propiedad de otros </t>
    </r>
    <r>
      <rPr>
        <sz val="12"/>
        <rFont val="Arial"/>
        <family val="2"/>
      </rPr>
      <t>(empresa transformadora no es dueña de los bienes, recibe un pago por el servicio de transformación)</t>
    </r>
  </si>
  <si>
    <r>
      <t xml:space="preserve">Servicios de Seguros de las empresas, corredores y agentes de Perú con no residentes 
</t>
    </r>
    <r>
      <rPr>
        <sz val="12"/>
        <color indexed="12"/>
        <rFont val="Arial"/>
        <family val="2"/>
      </rPr>
      <t>(No debe ser completado por empresas de seguros de Perú)</t>
    </r>
  </si>
  <si>
    <r>
      <t>Si la respuesta a la pregunta</t>
    </r>
    <r>
      <rPr>
        <i/>
        <sz val="12"/>
        <rFont val="Arial"/>
        <family val="2"/>
      </rPr>
      <t xml:space="preserve"> </t>
    </r>
    <r>
      <rPr>
        <sz val="12"/>
        <rFont val="Arial"/>
        <family val="2"/>
      </rPr>
      <t xml:space="preserve">11  (11.1, 11.2 y 11.3 es afirmativa Si, por favor pase a la </t>
    </r>
    <r>
      <rPr>
        <b/>
        <u/>
        <sz val="12"/>
        <rFont val="Arial"/>
        <family val="2"/>
      </rPr>
      <t>pregunta 12</t>
    </r>
  </si>
  <si>
    <r>
      <t xml:space="preserve">RUC 
</t>
    </r>
    <r>
      <rPr>
        <b/>
        <sz val="12"/>
        <rFont val="Arial"/>
        <family val="2"/>
      </rPr>
      <t>(para unidades residentes)</t>
    </r>
  </si>
  <si>
    <t>Tabla III.3</t>
  </si>
  <si>
    <t>4T2023</t>
  </si>
  <si>
    <t xml:space="preserve">TIPO CAMBIO S/, </t>
  </si>
  <si>
    <t>Dólar de N,A,</t>
  </si>
  <si>
    <t>1T2024</t>
  </si>
  <si>
    <t>1.3. Resto</t>
  </si>
  <si>
    <t>1.1. Otros pasivos financieros</t>
  </si>
  <si>
    <t>2.1. Otros pasivos financieros</t>
  </si>
  <si>
    <t>2.2. Cuentas por pagar comerciales y otras cuentas por pagar</t>
  </si>
  <si>
    <t>2.1.0.1. De los cuales: Créditos</t>
  </si>
  <si>
    <t>2.2.0.1. De las cuales: Cuentas por pagar comerciales</t>
  </si>
  <si>
    <t>1.2.0.2. De las cuales: Cuentas por pagar a entidades relacionadas</t>
  </si>
  <si>
    <t>2.2.0.2. De las cuales: Cuentas por pagar a entidades relacionadas</t>
  </si>
  <si>
    <t>TCambioSalida</t>
  </si>
  <si>
    <r>
      <rPr>
        <b/>
        <sz val="8"/>
        <rFont val="Arial"/>
        <family val="2"/>
      </rPr>
      <t>2023-10-16</t>
    </r>
    <r>
      <rPr>
        <sz val="8"/>
        <rFont val="Arial"/>
        <family val="2"/>
      </rPr>
      <t xml:space="preserve">
Este Panorama B fue actualizado con ocasión del 3T2023 para incorporar tema de dolarización (Alberto H.), pero luego se tuvo que ampliar las partidas de los pasivos, lo cual tendrá vigencia a partir del 4T2023.
</t>
    </r>
    <r>
      <rPr>
        <b/>
        <sz val="8"/>
        <rFont val="Arial"/>
        <family val="2"/>
      </rPr>
      <t>Nota</t>
    </r>
    <r>
      <rPr>
        <sz val="8"/>
        <rFont val="Arial"/>
        <family val="2"/>
      </rPr>
      <t>: Natalio tendrá que verificar la corresponldencia de esta modificación última con la hoja oculta "Panorama B anterior". (Una evaluación preliminar de Miguel encontró que las referencias se mantenian correctas).</t>
    </r>
  </si>
  <si>
    <r>
      <rPr>
        <b/>
        <sz val="8"/>
        <rFont val="Arial"/>
        <family val="2"/>
      </rPr>
      <t>2024-06-27</t>
    </r>
    <r>
      <rPr>
        <sz val="8"/>
        <rFont val="Arial"/>
        <family val="2"/>
      </rPr>
      <t xml:space="preserve">
- Se corrigió la secuencia numérica del descriptor (texto del nombre de la partida, p.ej. en pasivos, fila 37, decía "3.", pero se corrigió con "1.3."); fila 45 decía "3." y se corrigó con "2.3.".
- Se corrigió la palabra "entidades relacionados" por "entidades relacionadas" (filas 36 y 44)</t>
    </r>
  </si>
  <si>
    <r>
      <rPr>
        <b/>
        <sz val="8"/>
        <rFont val="Arial"/>
        <family val="2"/>
      </rPr>
      <t>2024-06-27</t>
    </r>
    <r>
      <rPr>
        <sz val="8"/>
        <rFont val="Arial"/>
        <family val="2"/>
      </rPr>
      <t xml:space="preserve">
Se ha redondeado los tipos de cambio a seis dígitos decimales (aplicados en este archivo al 1T2024 y al 2T2024.</t>
    </r>
  </si>
  <si>
    <t xml:space="preserve">Celda H26 </t>
  </si>
  <si>
    <r>
      <rPr>
        <b/>
        <sz val="8"/>
        <rFont val="Arial"/>
        <family val="2"/>
      </rPr>
      <t>2024-07-30</t>
    </r>
    <r>
      <rPr>
        <sz val="8"/>
        <rFont val="Arial"/>
        <family val="2"/>
      </rPr>
      <t xml:space="preserve">
</t>
    </r>
    <r>
      <rPr>
        <b/>
        <sz val="8"/>
        <rFont val="Arial"/>
        <family val="2"/>
      </rPr>
      <t>Se corrigió el texto:</t>
    </r>
    <r>
      <rPr>
        <sz val="8"/>
        <rFont val="Arial"/>
        <family val="2"/>
      </rPr>
      <t xml:space="preserve">
</t>
    </r>
    <r>
      <rPr>
        <b/>
        <sz val="8"/>
        <rFont val="Arial"/>
        <family val="2"/>
      </rPr>
      <t>Decía</t>
    </r>
    <r>
      <rPr>
        <sz val="8"/>
        <rFont val="Arial"/>
        <family val="2"/>
      </rPr>
      <t xml:space="preserve">: 2.  EMITIDOS POR SUS INVERSIONISTAS DIRECTOS NO RESIDENTES (inversión en sentido contrario)  1/
</t>
    </r>
    <r>
      <rPr>
        <b/>
        <sz val="8"/>
        <rFont val="Arial"/>
        <family val="2"/>
      </rPr>
      <t>Ahora dice:</t>
    </r>
    <r>
      <rPr>
        <sz val="8"/>
        <rFont val="Arial"/>
        <family val="2"/>
      </rPr>
      <t xml:space="preserve"> 2. EMITIDOS POR SUS EMPRESAS DE INVERSIÓN DIRECTA NO RESIDENTES (p.ej. subsidiarias de la empresa declarante)</t>
    </r>
  </si>
  <si>
    <t>Tabla VII.2.A.1.1.</t>
  </si>
  <si>
    <t>Tabla VII.2.A.1.2.</t>
  </si>
  <si>
    <t>Celda H14</t>
  </si>
  <si>
    <r>
      <rPr>
        <b/>
        <sz val="8"/>
        <rFont val="Arial"/>
        <family val="2"/>
      </rPr>
      <t>2024-07-30</t>
    </r>
    <r>
      <rPr>
        <sz val="8"/>
        <rFont val="Arial"/>
        <family val="2"/>
      </rPr>
      <t xml:space="preserve">
</t>
    </r>
    <r>
      <rPr>
        <b/>
        <sz val="8"/>
        <rFont val="Arial"/>
        <family val="2"/>
      </rPr>
      <t>Se corrigió el texto:</t>
    </r>
    <r>
      <rPr>
        <sz val="8"/>
        <rFont val="Arial"/>
        <family val="2"/>
      </rPr>
      <t xml:space="preserve">
</t>
    </r>
    <r>
      <rPr>
        <b/>
        <sz val="8"/>
        <rFont val="Arial"/>
        <family val="2"/>
      </rPr>
      <t>Decía</t>
    </r>
    <r>
      <rPr>
        <sz val="8"/>
        <rFont val="Arial"/>
        <family val="2"/>
      </rPr>
      <t xml:space="preserve">: 1.  EMITIDOS POR SUS EMPRESAS DE INVERSIÓN DIRECTA NO RESIDENTES (p.ej. subsidiarias de la empresa declarante)
</t>
    </r>
    <r>
      <rPr>
        <b/>
        <sz val="8"/>
        <rFont val="Arial"/>
        <family val="2"/>
      </rPr>
      <t>Ahora dice:</t>
    </r>
    <r>
      <rPr>
        <sz val="8"/>
        <rFont val="Arial"/>
        <family val="2"/>
      </rPr>
      <t xml:space="preserve"> 1. EMITIDOS POR SUS INVERSIONISTAS DIRECTOS NO RESIDENTES (inversión en sentido contrario)</t>
    </r>
  </si>
  <si>
    <t>CELDA</t>
  </si>
  <si>
    <t>Tabla VII.1.A.1.4.</t>
  </si>
  <si>
    <t>Celda H50</t>
  </si>
  <si>
    <r>
      <rPr>
        <b/>
        <sz val="8"/>
        <rFont val="Arial"/>
        <family val="2"/>
      </rPr>
      <t>2024-07-30</t>
    </r>
    <r>
      <rPr>
        <sz val="8"/>
        <rFont val="Arial"/>
        <family val="2"/>
      </rPr>
      <t xml:space="preserve">
</t>
    </r>
    <r>
      <rPr>
        <b/>
        <sz val="8"/>
        <rFont val="Arial"/>
        <family val="2"/>
      </rPr>
      <t>Se corrigió el texto:</t>
    </r>
    <r>
      <rPr>
        <sz val="8"/>
        <rFont val="Arial"/>
        <family val="2"/>
      </rPr>
      <t xml:space="preserve">
</t>
    </r>
    <r>
      <rPr>
        <b/>
        <sz val="8"/>
        <rFont val="Arial"/>
        <family val="2"/>
      </rPr>
      <t>Decía</t>
    </r>
    <r>
      <rPr>
        <sz val="8"/>
        <rFont val="Arial"/>
        <family val="2"/>
      </rPr>
      <t xml:space="preserve">:  4.  EN EMPRESAS EMPARENTADAS: SI EL INVERSIONISTA DIRECTO QUE EJERCE EL CONTROL FINAL DE LA ED ES RESIDENTE
</t>
    </r>
    <r>
      <rPr>
        <b/>
        <sz val="8"/>
        <rFont val="Arial"/>
        <family val="2"/>
      </rPr>
      <t>Ahora dice:</t>
    </r>
    <r>
      <rPr>
        <sz val="8"/>
        <rFont val="Arial"/>
        <family val="2"/>
      </rPr>
      <t xml:space="preserve"> 4. EN EMPRESAS EMPARENTADAS: SI EL INVERSIONISTA DIRECTO QUE EJERCE EL CONTROL FINAL DE LA ED ES RESIDENTE O NO SE CONOCE</t>
    </r>
  </si>
  <si>
    <t>Tabla VII.1.A.2.1.</t>
  </si>
  <si>
    <r>
      <rPr>
        <b/>
        <sz val="8"/>
        <rFont val="Arial"/>
        <family val="2"/>
      </rPr>
      <t>2024-07-30
Se corrigió el texto de la nota de pie de página:
Decía</t>
    </r>
    <r>
      <rPr>
        <sz val="8"/>
        <rFont val="Arial"/>
        <family val="2"/>
      </rPr>
      <t xml:space="preserve">: 1/ Equivalente a suma de la participación porcentual de cada inversionista directo multiplicada por el valor del patrimonio de la empresa declarante
</t>
    </r>
    <r>
      <rPr>
        <b/>
        <sz val="8"/>
        <rFont val="Arial"/>
        <family val="2"/>
      </rPr>
      <t>Ahora dice</t>
    </r>
    <r>
      <rPr>
        <sz val="8"/>
        <rFont val="Arial"/>
        <family val="2"/>
      </rPr>
      <t>: 1/ Equivalente al monto del patrimonio de la empresa declarante que es propiedad de diversos inversionistas directos no residentes domicilados en un mismo país. El cálculo de este monto se basa en el porcentaje de participación de cada inversionista directo no residente, multiplicado por el valor del patrimonio de la empresa declarante.</t>
    </r>
  </si>
  <si>
    <t>Celda H122</t>
  </si>
  <si>
    <t>2/ El cálculo de este monto se basa en la suma del porcentaje de participación que cada inversionista directo no residente, domiciliado en el país seleccionado, posee en la empresa declarante.</t>
  </si>
  <si>
    <r>
      <t xml:space="preserve">PORCENTAJE DE LA PROPIEDAD
(con dos decimales)
</t>
    </r>
    <r>
      <rPr>
        <b/>
        <sz val="16"/>
        <color rgb="FF002060"/>
        <rFont val="Calibri"/>
        <family val="2"/>
        <scheme val="minor"/>
      </rPr>
      <t>2/</t>
    </r>
  </si>
  <si>
    <r>
      <rPr>
        <b/>
        <sz val="8"/>
        <rFont val="Arial"/>
        <family val="2"/>
      </rPr>
      <t>2024-07-30</t>
    </r>
    <r>
      <rPr>
        <sz val="8"/>
        <rFont val="Arial"/>
        <family val="2"/>
      </rPr>
      <t xml:space="preserve">
Se reubica la llamada de la nota 2/ en la celda J70.
</t>
    </r>
    <r>
      <rPr>
        <b/>
        <sz val="8"/>
        <rFont val="Arial"/>
        <family val="2"/>
      </rPr>
      <t>Decía</t>
    </r>
    <r>
      <rPr>
        <sz val="8"/>
        <rFont val="Arial"/>
        <family val="2"/>
      </rPr>
      <t xml:space="preserve">: Este valor corresponde a lo declarado en el Formulario I. Capital, Parte B y debe ser equivalente a la suma de los montos de los países a registrar más abajo
</t>
    </r>
    <r>
      <rPr>
        <b/>
        <sz val="8"/>
        <rFont val="Arial"/>
        <family val="2"/>
      </rPr>
      <t>Ahora dice</t>
    </r>
    <r>
      <rPr>
        <sz val="8"/>
        <rFont val="Arial"/>
        <family val="2"/>
      </rPr>
      <t>: 2/ El cálculo de este monto se basa en la suma del porcentaje de participación que cada inversionista directo no residente, domiciliado en el país seleccionado, posee en la empresa declarante.</t>
    </r>
  </si>
  <si>
    <t>Celdas H73, H85, H97, H109</t>
  </si>
  <si>
    <t>1/ Equivalente al monto del patrimonio de la empresa declarante que es propiedad de diversos inversionistas no residentes (inversionistas directos, empresas de inversión directa o empresas emparentadas) domicilados en un mismo país. El cálculo de este monto se basa en el porcentaje de participación de cada inversionista directo no residente, multiplicado por el valor del patrimonio de la empresa declarante.</t>
  </si>
  <si>
    <t>Tabla III.1.</t>
  </si>
  <si>
    <t>Celda I1</t>
  </si>
  <si>
    <r>
      <rPr>
        <b/>
        <sz val="8"/>
        <rFont val="Arial"/>
        <family val="2"/>
      </rPr>
      <t>2024-08-14</t>
    </r>
    <r>
      <rPr>
        <sz val="8"/>
        <rFont val="Arial"/>
        <family val="2"/>
      </rPr>
      <t xml:space="preserve">
</t>
    </r>
    <r>
      <rPr>
        <b/>
        <sz val="8"/>
        <rFont val="Arial"/>
        <family val="2"/>
      </rPr>
      <t>Decía</t>
    </r>
    <r>
      <rPr>
        <sz val="8"/>
        <rFont val="Arial"/>
        <family val="2"/>
      </rPr>
      <t xml:space="preserve">: "v", error que aparece desde el 2023T4. Incide en base EABP. 
</t>
    </r>
    <r>
      <rPr>
        <b/>
        <sz val="8"/>
        <rFont val="Arial"/>
        <family val="2"/>
      </rPr>
      <t>Ahora dice</t>
    </r>
    <r>
      <rPr>
        <sz val="8"/>
        <rFont val="Arial"/>
        <family val="2"/>
      </rPr>
      <t xml:space="preserve">: "02", valor correcto que indica la posición de la columna.
Impacto: Nulo, pues el procesamiento desde antes del 2023T4 ya se viene haciendo desde las celdas con datos primarios, no desde la base EABP. </t>
    </r>
  </si>
  <si>
    <t>2T2024</t>
  </si>
  <si>
    <t>3T2024</t>
  </si>
  <si>
    <t>4T2024</t>
  </si>
  <si>
    <t>1T2025</t>
  </si>
  <si>
    <t>2T2025</t>
  </si>
  <si>
    <t>01/07/2025</t>
  </si>
  <si>
    <t>02/07/2025</t>
  </si>
  <si>
    <t>03/07/2025</t>
  </si>
  <si>
    <t>04/07/2025</t>
  </si>
  <si>
    <t>07/07/2025</t>
  </si>
  <si>
    <t>08/07/2025</t>
  </si>
  <si>
    <t>09/07/2025</t>
  </si>
  <si>
    <t>10/07/2025</t>
  </si>
  <si>
    <t>11/07/2025</t>
  </si>
  <si>
    <t>14/07/2025</t>
  </si>
  <si>
    <t>15/07/2025</t>
  </si>
  <si>
    <t>16/07/2025</t>
  </si>
  <si>
    <t>17/07/2025</t>
  </si>
  <si>
    <t>18/07/2025</t>
  </si>
  <si>
    <t>21/07/2025</t>
  </si>
  <si>
    <t>22/07/2025</t>
  </si>
  <si>
    <t>24/07/2025</t>
  </si>
  <si>
    <t>25/07/2025</t>
  </si>
  <si>
    <t>30/07/2025</t>
  </si>
  <si>
    <t>31/07/2025</t>
  </si>
  <si>
    <t>01/08/2025</t>
  </si>
  <si>
    <t>04/08/2025</t>
  </si>
  <si>
    <t>05/08/2025</t>
  </si>
  <si>
    <t>07/08/2025</t>
  </si>
  <si>
    <t>08/08/2025</t>
  </si>
  <si>
    <t>11/08/2025</t>
  </si>
  <si>
    <t>12/08/2025</t>
  </si>
  <si>
    <t>13/08/2025</t>
  </si>
  <si>
    <t>14/08/2025</t>
  </si>
  <si>
    <t>15/08/2025</t>
  </si>
  <si>
    <t>18/08/2025</t>
  </si>
  <si>
    <t>19/08/2025</t>
  </si>
  <si>
    <t>20/08/2025</t>
  </si>
  <si>
    <t>21/08/2025</t>
  </si>
  <si>
    <t>22/08/2025</t>
  </si>
  <si>
    <t>25/08/2025</t>
  </si>
  <si>
    <t>26/08/2025</t>
  </si>
  <si>
    <t>27/08/2025</t>
  </si>
  <si>
    <t>28/08/2025</t>
  </si>
  <si>
    <t>29/08/2025</t>
  </si>
  <si>
    <t>01/09/2025</t>
  </si>
  <si>
    <t>02/09/2025</t>
  </si>
  <si>
    <t>03/09/2025</t>
  </si>
  <si>
    <t>04/09/2025</t>
  </si>
  <si>
    <t>05/09/2025</t>
  </si>
  <si>
    <t>08/09/2025</t>
  </si>
  <si>
    <t>09/09/2025</t>
  </si>
  <si>
    <t>10/09/2025</t>
  </si>
  <si>
    <t>11/09/2025</t>
  </si>
  <si>
    <t>12/09/2025</t>
  </si>
  <si>
    <t>15/09/2025</t>
  </si>
  <si>
    <t>16/09/2025</t>
  </si>
  <si>
    <t>17/09/2025</t>
  </si>
  <si>
    <t>18/09/2025</t>
  </si>
  <si>
    <t>19/09/2025</t>
  </si>
  <si>
    <t>22/09/2025</t>
  </si>
  <si>
    <t>23/09/2025</t>
  </si>
  <si>
    <t>24/09/2025</t>
  </si>
  <si>
    <t>25/09/2025</t>
  </si>
  <si>
    <t>26/09/2025</t>
  </si>
  <si>
    <t>29/09/2025</t>
  </si>
  <si>
    <t>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</si>
</sst>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 _€_-;\-* #,##0.00\ _€_-;_-* &quot;-&quot;??\ _€_-;_-@_-"/>
    <numFmt numFmtId="165" formatCode="mmmm\-yy"/>
    <numFmt numFmtId="166" formatCode="##\ ###\ ##0&quot;  &quot;"/>
    <numFmt numFmtId="167" formatCode="#,###,##0&quot;    &quot;"/>
    <numFmt numFmtId="168" formatCode="###\ ###\ ###\ ##0&quot;    &quot;"/>
    <numFmt numFmtId="169" formatCode="0.000"/>
    <numFmt numFmtId="170" formatCode="#\ ###\ ###\ ##0"/>
    <numFmt numFmtId="171" formatCode="#\ ###\ ###\ ##0.00"/>
    <numFmt numFmtId="172" formatCode="[&lt;=9999999]###\-####;\(###\)\ ###\-####"/>
    <numFmt numFmtId="173" formatCode="_-* #,##0.0000\ _€_-;\-* #,##0.0000\ _€_-;_-* &quot;-&quot;??\ _€_-;_-@_-"/>
    <numFmt numFmtId="174" formatCode="_-* #,##0.000000\ _€_-;\-* #,##0.000000\ _€_-;_-* &quot;-&quot;??\ _€_-;_-@_-"/>
    <numFmt numFmtId="175" formatCode="#,##0.000000_ ;\-#,##0.000000\ "/>
    <numFmt numFmtId="176" formatCode="0.000000"/>
    <numFmt numFmtId="177" formatCode="0.0000"/>
  </numFmts>
  <fonts count="288">
    <font>
      <sz val="10"/>
      <name val="Arial"/>
    </font>
    <font>
      <sz val="11"/>
      <color theme="1"/>
      <name val="Calibri"/>
      <family val="2"/>
      <scheme val="minor"/>
    </font>
    <font>
      <sz val="12"/>
      <name val="Arial Narrow"/>
      <family val="2"/>
    </font>
    <font>
      <sz val="14"/>
      <name val="Arial Narrow"/>
      <family val="2"/>
    </font>
    <font>
      <b/>
      <sz val="14"/>
      <name val="Arial Narrow"/>
      <family val="2"/>
    </font>
    <font>
      <b/>
      <sz val="20"/>
      <name val="Arial Narrow"/>
      <family val="2"/>
    </font>
    <font>
      <b/>
      <sz val="18"/>
      <name val="Arial Narrow"/>
      <family val="2"/>
    </font>
    <font>
      <b/>
      <sz val="12"/>
      <name val="Arial Narrow"/>
      <family val="2"/>
    </font>
    <font>
      <b/>
      <sz val="16"/>
      <name val="Arial Narrow"/>
      <family val="2"/>
    </font>
    <font>
      <b/>
      <sz val="16"/>
      <color indexed="12"/>
      <name val="Arial Narrow"/>
      <family val="2"/>
    </font>
    <font>
      <b/>
      <sz val="14"/>
      <color indexed="10"/>
      <name val="Arial Narrow"/>
      <family val="2"/>
    </font>
    <font>
      <b/>
      <sz val="12"/>
      <color indexed="12"/>
      <name val="Arial Narrow"/>
      <family val="2"/>
    </font>
    <font>
      <sz val="10"/>
      <name val="Arial"/>
      <family val="2"/>
    </font>
    <font>
      <sz val="14"/>
      <name val="Arial"/>
      <family val="2"/>
    </font>
    <font>
      <sz val="20"/>
      <name val="Arial Narrow"/>
      <family val="2"/>
    </font>
    <font>
      <b/>
      <sz val="10"/>
      <name val="Arial"/>
      <family val="2"/>
    </font>
    <font>
      <b/>
      <sz val="14"/>
      <name val="Arial"/>
      <family val="2"/>
    </font>
    <font>
      <b/>
      <sz val="18"/>
      <color indexed="12"/>
      <name val="Arial"/>
      <family val="2"/>
    </font>
    <font>
      <b/>
      <sz val="8"/>
      <name val="Arial"/>
      <family val="2"/>
    </font>
    <font>
      <b/>
      <sz val="12"/>
      <name val="Arial"/>
      <family val="2"/>
    </font>
    <font>
      <b/>
      <sz val="11"/>
      <name val="Arial"/>
      <family val="2"/>
    </font>
    <font>
      <sz val="8"/>
      <color indexed="81"/>
      <name val="Tahoma"/>
      <family val="2"/>
    </font>
    <font>
      <b/>
      <sz val="10"/>
      <color indexed="12"/>
      <name val="Arial Narrow"/>
      <family val="2"/>
    </font>
    <font>
      <sz val="12"/>
      <color indexed="10"/>
      <name val="Arial Narrow"/>
      <family val="2"/>
    </font>
    <font>
      <b/>
      <sz val="16"/>
      <name val="Arial"/>
      <family val="2"/>
    </font>
    <font>
      <sz val="16"/>
      <color indexed="12"/>
      <name val="Arial Greek"/>
      <family val="2"/>
      <charset val="161"/>
    </font>
    <font>
      <b/>
      <i/>
      <sz val="26"/>
      <color indexed="20"/>
      <name val="Arial Narrow"/>
      <family val="2"/>
    </font>
    <font>
      <b/>
      <sz val="14"/>
      <name val="Arial Greek"/>
      <family val="2"/>
      <charset val="161"/>
    </font>
    <font>
      <sz val="12"/>
      <name val="Arial Greek"/>
      <family val="2"/>
      <charset val="161"/>
    </font>
    <font>
      <sz val="12"/>
      <color indexed="12"/>
      <name val="Arial Greek"/>
      <family val="2"/>
      <charset val="161"/>
    </font>
    <font>
      <b/>
      <sz val="11"/>
      <name val="Arial Greek"/>
      <family val="2"/>
      <charset val="161"/>
    </font>
    <font>
      <sz val="16"/>
      <name val="Arial Narrow"/>
      <family val="2"/>
    </font>
    <font>
      <sz val="12"/>
      <name val="Arial"/>
      <family val="2"/>
    </font>
    <font>
      <sz val="16"/>
      <name val="Courier New"/>
      <family val="3"/>
    </font>
    <font>
      <sz val="16"/>
      <color indexed="81"/>
      <name val="Tahoma"/>
      <family val="2"/>
    </font>
    <font>
      <b/>
      <sz val="10"/>
      <name val="Arial Narrow"/>
      <family val="2"/>
    </font>
    <font>
      <b/>
      <sz val="26"/>
      <name val="Arial Narrow"/>
      <family val="2"/>
    </font>
    <font>
      <b/>
      <sz val="9"/>
      <name val="Arial Narrow"/>
      <family val="2"/>
    </font>
    <font>
      <sz val="11"/>
      <color indexed="8"/>
      <name val="Calibri"/>
      <family val="2"/>
    </font>
    <font>
      <b/>
      <sz val="14"/>
      <name val="Aharoni"/>
      <charset val="177"/>
    </font>
    <font>
      <b/>
      <sz val="14"/>
      <name val="Arial Black"/>
      <family val="2"/>
    </font>
    <font>
      <b/>
      <sz val="22"/>
      <name val="Arial Black"/>
      <family val="2"/>
    </font>
    <font>
      <b/>
      <sz val="20"/>
      <name val="Arial Black"/>
      <family val="2"/>
    </font>
    <font>
      <sz val="11"/>
      <color indexed="81"/>
      <name val="Tahoma"/>
      <family val="2"/>
    </font>
    <font>
      <b/>
      <sz val="11"/>
      <color indexed="9"/>
      <name val="Calibri"/>
      <family val="2"/>
    </font>
    <font>
      <b/>
      <sz val="20"/>
      <color indexed="18"/>
      <name val="Aharoni"/>
      <charset val="177"/>
    </font>
    <font>
      <b/>
      <sz val="11"/>
      <name val="Wingdings"/>
      <charset val="2"/>
    </font>
    <font>
      <sz val="12"/>
      <color indexed="81"/>
      <name val="Tahoma"/>
      <family val="2"/>
    </font>
    <font>
      <b/>
      <sz val="12"/>
      <color indexed="81"/>
      <name val="Tahoma"/>
      <family val="2"/>
    </font>
    <font>
      <b/>
      <sz val="11"/>
      <color indexed="81"/>
      <name val="Tahoma"/>
      <family val="2"/>
    </font>
    <font>
      <b/>
      <u/>
      <sz val="11"/>
      <color indexed="81"/>
      <name val="Tahoma"/>
      <family val="2"/>
    </font>
    <font>
      <b/>
      <sz val="12"/>
      <name val="Traditional Arabic"/>
      <family val="1"/>
    </font>
    <font>
      <b/>
      <sz val="16"/>
      <name val="Traditional Arabic"/>
      <family val="1"/>
    </font>
    <font>
      <sz val="18"/>
      <name val="Traditional Arabic"/>
      <family val="1"/>
    </font>
    <font>
      <b/>
      <u/>
      <sz val="17"/>
      <name val="Traditional Arabic"/>
      <family val="1"/>
    </font>
    <font>
      <b/>
      <u/>
      <sz val="16"/>
      <name val="Traditional Arabic"/>
      <family val="1"/>
    </font>
    <font>
      <b/>
      <u/>
      <sz val="12"/>
      <color indexed="81"/>
      <name val="Tahoma"/>
      <family val="2"/>
    </font>
    <font>
      <b/>
      <sz val="14"/>
      <name val="Traditional Arabic"/>
      <family val="1"/>
    </font>
    <font>
      <b/>
      <sz val="24"/>
      <name val="Angsana New"/>
      <family val="1"/>
    </font>
    <font>
      <b/>
      <sz val="26"/>
      <name val="Angsana New"/>
      <family val="1"/>
    </font>
    <font>
      <sz val="24"/>
      <name val="Angsana New"/>
      <family val="1"/>
    </font>
    <font>
      <sz val="12"/>
      <name val="Courier New"/>
      <family val="3"/>
    </font>
    <font>
      <sz val="14"/>
      <name val="Courier New"/>
      <family val="3"/>
    </font>
    <font>
      <b/>
      <sz val="16"/>
      <name val="Courier New"/>
      <family val="3"/>
    </font>
    <font>
      <sz val="13"/>
      <name val="Courier New"/>
      <family val="3"/>
    </font>
    <font>
      <b/>
      <sz val="20"/>
      <name val="Traditional Arabic"/>
      <family val="1"/>
    </font>
    <font>
      <b/>
      <sz val="12"/>
      <name val="Courier New"/>
      <family val="3"/>
    </font>
    <font>
      <sz val="18"/>
      <color indexed="12"/>
      <name val="Arial Narrow"/>
      <family val="2"/>
    </font>
    <font>
      <sz val="18"/>
      <name val="Arial Narrow"/>
      <family val="2"/>
    </font>
    <font>
      <b/>
      <sz val="14"/>
      <name val="Courier New"/>
      <family val="3"/>
    </font>
    <font>
      <b/>
      <sz val="18"/>
      <name val="Arial Greek"/>
      <family val="2"/>
      <charset val="161"/>
    </font>
    <font>
      <sz val="18"/>
      <color indexed="12"/>
      <name val="Arial Greek"/>
      <family val="2"/>
      <charset val="161"/>
    </font>
    <font>
      <sz val="11"/>
      <name val="Arial"/>
      <family val="2"/>
    </font>
    <font>
      <b/>
      <sz val="18"/>
      <name val="Traditional Arabic"/>
      <family val="1"/>
    </font>
    <font>
      <b/>
      <u/>
      <sz val="18"/>
      <name val="Traditional Arabic"/>
      <family val="1"/>
    </font>
    <font>
      <sz val="16"/>
      <name val="Traditional Arabic"/>
      <family val="1"/>
    </font>
    <font>
      <b/>
      <sz val="20"/>
      <name val="Andalus"/>
      <family val="1"/>
    </font>
    <font>
      <b/>
      <sz val="22"/>
      <name val="Traditional Arabic"/>
      <family val="1"/>
    </font>
    <font>
      <b/>
      <sz val="24"/>
      <name val="Traditional Arabic"/>
      <family val="1"/>
    </font>
    <font>
      <sz val="14"/>
      <name val="Segoe UI"/>
      <family val="2"/>
    </font>
    <font>
      <b/>
      <sz val="28"/>
      <name val="Iskoola Pota"/>
      <family val="2"/>
    </font>
    <font>
      <b/>
      <sz val="26"/>
      <name val="Iskoola Pota"/>
      <family val="2"/>
    </font>
    <font>
      <b/>
      <u/>
      <sz val="14"/>
      <name val="Arial"/>
      <family val="2"/>
    </font>
    <font>
      <sz val="13"/>
      <name val="Segoe UI"/>
      <family val="2"/>
    </font>
    <font>
      <b/>
      <sz val="11"/>
      <name val="Arial Narrow"/>
      <family val="2"/>
    </font>
    <font>
      <sz val="14"/>
      <name val="Calibri"/>
      <family val="2"/>
    </font>
    <font>
      <sz val="16"/>
      <name val="Segoe UI"/>
      <family val="2"/>
    </font>
    <font>
      <b/>
      <sz val="26"/>
      <name val="Traditional Arabic"/>
      <family val="1"/>
    </font>
    <font>
      <b/>
      <sz val="14"/>
      <name val="Iskoola Pota"/>
      <family val="2"/>
    </font>
    <font>
      <sz val="16"/>
      <name val="Arial"/>
      <family val="2"/>
    </font>
    <font>
      <sz val="9"/>
      <color indexed="81"/>
      <name val="Tahoma"/>
      <family val="2"/>
    </font>
    <font>
      <sz val="10"/>
      <color indexed="81"/>
      <name val="Arial"/>
      <family val="2"/>
    </font>
    <font>
      <b/>
      <sz val="36"/>
      <name val="Traditional Arabic"/>
      <family val="1"/>
    </font>
    <font>
      <b/>
      <sz val="20"/>
      <color indexed="9"/>
      <name val="Arial"/>
      <family val="2"/>
    </font>
    <font>
      <b/>
      <i/>
      <sz val="20"/>
      <color indexed="9"/>
      <name val="Arial"/>
      <family val="2"/>
    </font>
    <font>
      <sz val="12"/>
      <name val="Segoe UI"/>
      <family val="2"/>
    </font>
    <font>
      <sz val="11"/>
      <name val="Courier New"/>
      <family val="3"/>
    </font>
    <font>
      <sz val="11"/>
      <name val="Arial Narrow"/>
      <family val="2"/>
    </font>
    <font>
      <sz val="16"/>
      <color indexed="12"/>
      <name val="Arial Narrow"/>
      <family val="2"/>
    </font>
    <font>
      <b/>
      <sz val="14"/>
      <name val="Calibri"/>
      <family val="2"/>
    </font>
    <font>
      <b/>
      <sz val="14"/>
      <name val="Segoe UI"/>
      <family val="2"/>
    </font>
    <font>
      <b/>
      <u/>
      <sz val="16"/>
      <name val="Arial"/>
      <family val="2"/>
    </font>
    <font>
      <b/>
      <sz val="11"/>
      <color indexed="12"/>
      <name val="Arial Narrow"/>
      <family val="2"/>
    </font>
    <font>
      <sz val="13"/>
      <color indexed="81"/>
      <name val="Tahoma"/>
      <family val="2"/>
    </font>
    <font>
      <sz val="14"/>
      <color indexed="81"/>
      <name val="Tahoma"/>
      <family val="2"/>
    </font>
    <font>
      <b/>
      <sz val="11"/>
      <color indexed="9"/>
      <name val="Arial"/>
      <family val="2"/>
    </font>
    <font>
      <b/>
      <i/>
      <sz val="11"/>
      <color indexed="9"/>
      <name val="Arial"/>
      <family val="2"/>
    </font>
    <font>
      <b/>
      <i/>
      <sz val="9"/>
      <color indexed="9"/>
      <name val="Arial"/>
      <family val="2"/>
    </font>
    <font>
      <b/>
      <sz val="8"/>
      <color indexed="9"/>
      <name val="Arial"/>
      <family val="2"/>
    </font>
    <font>
      <sz val="10"/>
      <color indexed="81"/>
      <name val="Tahoma"/>
      <family val="2"/>
    </font>
    <font>
      <b/>
      <u/>
      <sz val="18"/>
      <name val="Arial Black"/>
      <family val="2"/>
    </font>
    <font>
      <sz val="20"/>
      <name val="Traditional Arabic"/>
      <family val="1"/>
    </font>
    <font>
      <b/>
      <i/>
      <sz val="24"/>
      <name val="Traditional Arabic"/>
      <family val="1"/>
    </font>
    <font>
      <sz val="20"/>
      <color indexed="8"/>
      <name val="Arial Narrow"/>
      <family val="2"/>
    </font>
    <font>
      <sz val="10"/>
      <name val="Arial"/>
      <family val="2"/>
    </font>
    <font>
      <b/>
      <sz val="20"/>
      <name val="Angsana New"/>
      <family val="1"/>
    </font>
    <font>
      <sz val="16"/>
      <color indexed="10"/>
      <name val="Arial"/>
      <family val="2"/>
    </font>
    <font>
      <u/>
      <sz val="16"/>
      <color indexed="10"/>
      <name val="Arial"/>
      <family val="2"/>
    </font>
    <font>
      <sz val="11"/>
      <color indexed="10"/>
      <name val="Arial"/>
      <family val="2"/>
    </font>
    <font>
      <b/>
      <u/>
      <sz val="20"/>
      <color indexed="8"/>
      <name val="Arial Narrow"/>
      <family val="2"/>
    </font>
    <font>
      <sz val="11"/>
      <name val="Times New Roman"/>
      <family val="1"/>
    </font>
    <font>
      <sz val="9"/>
      <name val="Arial"/>
      <family val="2"/>
    </font>
    <font>
      <sz val="11"/>
      <color theme="1"/>
      <name val="Calibri"/>
      <family val="2"/>
      <scheme val="minor"/>
    </font>
    <font>
      <sz val="12"/>
      <color rgb="FFFF0000"/>
      <name val="Arial Narrow"/>
      <family val="2"/>
    </font>
    <font>
      <b/>
      <sz val="12"/>
      <color rgb="FFFF0000"/>
      <name val="Arial Narrow"/>
      <family val="2"/>
    </font>
    <font>
      <b/>
      <sz val="12"/>
      <color rgb="FF0070C0"/>
      <name val="Arial Narrow"/>
      <family val="2"/>
    </font>
    <font>
      <b/>
      <sz val="12"/>
      <color rgb="FFC00000"/>
      <name val="Arial Narrow"/>
      <family val="2"/>
    </font>
    <font>
      <sz val="12"/>
      <color rgb="FF0070C0"/>
      <name val="Arial Narrow"/>
      <family val="2"/>
    </font>
    <font>
      <b/>
      <sz val="12"/>
      <color theme="0"/>
      <name val="Arial Narrow"/>
      <family val="2"/>
    </font>
    <font>
      <b/>
      <sz val="16"/>
      <name val="Calibri"/>
      <family val="2"/>
      <scheme val="minor"/>
    </font>
    <font>
      <b/>
      <sz val="12"/>
      <color theme="1"/>
      <name val="Arial Narrow"/>
      <family val="2"/>
    </font>
    <font>
      <b/>
      <sz val="14"/>
      <name val="Calibri"/>
      <family val="2"/>
      <scheme val="minor"/>
    </font>
    <font>
      <b/>
      <sz val="14"/>
      <color theme="1"/>
      <name val="Arial Narrow"/>
      <family val="2"/>
    </font>
    <font>
      <b/>
      <sz val="14"/>
      <color rgb="FF0000FF"/>
      <name val="Iskoola Pota"/>
      <family val="2"/>
    </font>
    <font>
      <b/>
      <sz val="16"/>
      <color theme="0"/>
      <name val="Arial"/>
      <family val="2"/>
    </font>
    <font>
      <b/>
      <sz val="18"/>
      <color theme="0"/>
      <name val="Arial"/>
      <family val="2"/>
    </font>
    <font>
      <b/>
      <sz val="14"/>
      <color rgb="FFFF0000"/>
      <name val="Arial Narrow"/>
      <family val="2"/>
    </font>
    <font>
      <sz val="16"/>
      <color rgb="FFFF0000"/>
      <name val="Arial Narrow"/>
      <family val="2"/>
    </font>
    <font>
      <b/>
      <sz val="12"/>
      <color theme="5" tint="-0.249977111117893"/>
      <name val="Arial Narrow"/>
      <family val="2"/>
    </font>
    <font>
      <sz val="12"/>
      <color theme="5" tint="-0.249977111117893"/>
      <name val="Arial Narrow"/>
      <family val="2"/>
    </font>
    <font>
      <b/>
      <sz val="12"/>
      <color theme="3" tint="-0.249977111117893"/>
      <name val="Arial Narrow"/>
      <family val="2"/>
    </font>
    <font>
      <sz val="12"/>
      <color theme="3" tint="-0.249977111117893"/>
      <name val="Arial Narrow"/>
      <family val="2"/>
    </font>
    <font>
      <sz val="12"/>
      <color rgb="FFC00000"/>
      <name val="Arial Narrow"/>
      <family val="2"/>
    </font>
    <font>
      <b/>
      <sz val="16"/>
      <color theme="1"/>
      <name val="Arial Narrow"/>
      <family val="2"/>
    </font>
    <font>
      <b/>
      <sz val="16"/>
      <color rgb="FF0070C0"/>
      <name val="Arial Narrow"/>
      <family val="2"/>
    </font>
    <font>
      <sz val="16"/>
      <color theme="4" tint="-0.499984740745262"/>
      <name val="Arial Narrow"/>
      <family val="2"/>
    </font>
    <font>
      <b/>
      <sz val="12"/>
      <color theme="8" tint="-0.249977111117893"/>
      <name val="Arial Narrow"/>
      <family val="2"/>
    </font>
    <font>
      <sz val="10"/>
      <color rgb="FF0070C0"/>
      <name val="Arial"/>
      <family val="2"/>
    </font>
    <font>
      <sz val="16"/>
      <color rgb="FFC00000"/>
      <name val="Arial Narrow"/>
      <family val="2"/>
    </font>
    <font>
      <b/>
      <sz val="12"/>
      <color theme="6" tint="-0.249977111117893"/>
      <name val="Arial Narrow"/>
      <family val="2"/>
    </font>
    <font>
      <b/>
      <sz val="12"/>
      <color theme="9" tint="-0.249977111117893"/>
      <name val="Arial Narrow"/>
      <family val="2"/>
    </font>
    <font>
      <b/>
      <sz val="16"/>
      <color theme="0"/>
      <name val="Arial Narrow"/>
      <family val="2"/>
    </font>
    <font>
      <sz val="10"/>
      <color rgb="FFFF0000"/>
      <name val="Arial"/>
      <family val="2"/>
    </font>
    <font>
      <b/>
      <sz val="14"/>
      <color theme="0"/>
      <name val="Arial"/>
      <family val="2"/>
    </font>
    <font>
      <b/>
      <sz val="12"/>
      <color theme="1"/>
      <name val="Arial"/>
      <family val="2"/>
    </font>
    <font>
      <b/>
      <sz val="24"/>
      <color theme="0"/>
      <name val="Arial"/>
      <family val="2"/>
    </font>
    <font>
      <sz val="14"/>
      <color theme="0"/>
      <name val="Arial Narrow"/>
      <family val="2"/>
    </font>
    <font>
      <b/>
      <sz val="24"/>
      <color theme="0"/>
      <name val="Arial Greek"/>
      <family val="2"/>
      <charset val="161"/>
    </font>
    <font>
      <b/>
      <i/>
      <sz val="26"/>
      <color theme="4" tint="-0.499984740745262"/>
      <name val="Arial Narrow"/>
      <family val="2"/>
    </font>
    <font>
      <sz val="16"/>
      <name val="Calibri"/>
      <family val="2"/>
      <scheme val="minor"/>
    </font>
    <font>
      <b/>
      <sz val="14"/>
      <color rgb="FFC00000"/>
      <name val="Courier New"/>
      <family val="3"/>
    </font>
    <font>
      <sz val="14"/>
      <color rgb="FFC00000"/>
      <name val="Courier New"/>
      <family val="3"/>
    </font>
    <font>
      <b/>
      <sz val="11"/>
      <name val="Calibri"/>
      <family val="2"/>
      <scheme val="minor"/>
    </font>
    <font>
      <sz val="14"/>
      <name val="Calibri"/>
      <family val="2"/>
      <scheme val="minor"/>
    </font>
    <font>
      <sz val="16"/>
      <color rgb="FFC00000"/>
      <name val="Courier New"/>
      <family val="3"/>
    </font>
    <font>
      <b/>
      <sz val="14"/>
      <color rgb="FFFF0000"/>
      <name val="Courier New"/>
      <family val="3"/>
    </font>
    <font>
      <b/>
      <sz val="18"/>
      <name val="Calibri"/>
      <family val="2"/>
      <scheme val="minor"/>
    </font>
    <font>
      <sz val="14"/>
      <color theme="1"/>
      <name val="Courier New"/>
      <family val="3"/>
    </font>
    <font>
      <sz val="14"/>
      <color rgb="FFFF0000"/>
      <name val="Courier New"/>
      <family val="3"/>
    </font>
    <font>
      <sz val="16"/>
      <color rgb="FFFF0000"/>
      <name val="Courier New"/>
      <family val="3"/>
    </font>
    <font>
      <sz val="12"/>
      <color rgb="FFFF0000"/>
      <name val="Courier New"/>
      <family val="3"/>
    </font>
    <font>
      <sz val="18"/>
      <color rgb="FFFF0000"/>
      <name val="Arial Narrow"/>
      <family val="2"/>
    </font>
    <font>
      <b/>
      <sz val="12"/>
      <color theme="1"/>
      <name val="Courier New"/>
      <family val="3"/>
    </font>
    <font>
      <b/>
      <sz val="14"/>
      <color theme="1"/>
      <name val="Traditional Arabic"/>
      <family val="1"/>
    </font>
    <font>
      <sz val="12"/>
      <color theme="1"/>
      <name val="Courier New"/>
      <family val="3"/>
    </font>
    <font>
      <b/>
      <sz val="18"/>
      <color rgb="FFFF0000"/>
      <name val="Arial Narrow"/>
      <family val="2"/>
    </font>
    <font>
      <sz val="11"/>
      <color rgb="FFFF0000"/>
      <name val="Arial Narrow"/>
      <family val="2"/>
    </font>
    <font>
      <b/>
      <sz val="14"/>
      <color theme="0"/>
      <name val="Arial Narrow"/>
      <family val="2"/>
    </font>
    <font>
      <b/>
      <sz val="16"/>
      <color theme="1"/>
      <name val="Courier New"/>
      <family val="3"/>
    </font>
    <font>
      <b/>
      <sz val="20"/>
      <color theme="1"/>
      <name val="Traditional Arabic"/>
      <family val="1"/>
    </font>
    <font>
      <sz val="20"/>
      <color theme="1"/>
      <name val="Arial Narrow"/>
      <family val="2"/>
    </font>
    <font>
      <b/>
      <sz val="12"/>
      <color theme="9" tint="-0.499984740745262"/>
      <name val="Arial Narrow"/>
      <family val="2"/>
    </font>
    <font>
      <b/>
      <sz val="12"/>
      <color theme="7" tint="-0.249977111117893"/>
      <name val="Arial Narrow"/>
      <family val="2"/>
    </font>
    <font>
      <b/>
      <sz val="24"/>
      <color rgb="FFFF0000"/>
      <name val="Arial Narrow"/>
      <family val="2"/>
    </font>
    <font>
      <b/>
      <sz val="12"/>
      <color theme="4" tint="-0.249977111117893"/>
      <name val="Arial Narrow"/>
      <family val="2"/>
    </font>
    <font>
      <sz val="12"/>
      <color theme="4" tint="-0.249977111117893"/>
      <name val="Arial Narrow"/>
      <family val="2"/>
    </font>
    <font>
      <b/>
      <sz val="20"/>
      <color theme="1"/>
      <name val="Arial Narrow"/>
      <family val="2"/>
    </font>
    <font>
      <sz val="16"/>
      <color rgb="FFFF0000"/>
      <name val="Arial"/>
      <family val="2"/>
    </font>
    <font>
      <sz val="12"/>
      <color theme="9" tint="-0.249977111117893"/>
      <name val="Arial Narrow"/>
      <family val="2"/>
    </font>
    <font>
      <b/>
      <sz val="20"/>
      <name val="Calibri"/>
      <family val="2"/>
      <scheme val="minor"/>
    </font>
    <font>
      <sz val="10"/>
      <color theme="0"/>
      <name val="Arial"/>
      <family val="2"/>
    </font>
    <font>
      <b/>
      <sz val="20"/>
      <color theme="0"/>
      <name val="Arial"/>
      <family val="2"/>
    </font>
    <font>
      <b/>
      <u/>
      <sz val="17"/>
      <name val="Calibri"/>
      <family val="2"/>
      <scheme val="minor"/>
    </font>
    <font>
      <sz val="20"/>
      <name val="Calibri"/>
      <family val="2"/>
      <scheme val="minor"/>
    </font>
    <font>
      <b/>
      <sz val="24"/>
      <color theme="1" tint="0.34998626667073579"/>
      <name val="Arial Narrow"/>
      <family val="2"/>
    </font>
    <font>
      <b/>
      <sz val="16"/>
      <color theme="1" tint="0.14999847407452621"/>
      <name val="Segoe UI"/>
      <family val="2"/>
    </font>
    <font>
      <b/>
      <sz val="24"/>
      <color theme="1"/>
      <name val="Traditional Arabic"/>
      <family val="1"/>
    </font>
    <font>
      <b/>
      <sz val="24"/>
      <color theme="1"/>
      <name val="Calibri"/>
      <family val="2"/>
      <scheme val="minor"/>
    </font>
    <font>
      <sz val="10"/>
      <color theme="5"/>
      <name val="Arial"/>
      <family val="2"/>
    </font>
    <font>
      <sz val="9"/>
      <color theme="5"/>
      <name val="Arial"/>
      <family val="2"/>
    </font>
    <font>
      <b/>
      <sz val="10"/>
      <color rgb="FFFF0000"/>
      <name val="Arial"/>
      <family val="2"/>
    </font>
    <font>
      <b/>
      <sz val="14"/>
      <color rgb="FF0070C0"/>
      <name val="Arial"/>
      <family val="2"/>
    </font>
    <font>
      <b/>
      <sz val="16"/>
      <color rgb="FF0070C0"/>
      <name val="Arial"/>
      <family val="2"/>
    </font>
    <font>
      <b/>
      <sz val="10"/>
      <color theme="0"/>
      <name val="Arial"/>
      <family val="2"/>
    </font>
    <font>
      <b/>
      <sz val="11"/>
      <color rgb="FF0070C0"/>
      <name val="Arial"/>
      <family val="2"/>
    </font>
    <font>
      <b/>
      <sz val="11"/>
      <name val="Traditional Arabic"/>
      <family val="1"/>
    </font>
    <font>
      <b/>
      <sz val="22"/>
      <name val="Arial Narrow"/>
      <family val="2"/>
    </font>
    <font>
      <b/>
      <sz val="16"/>
      <color theme="0"/>
      <name val="Arial Black"/>
      <family val="2"/>
    </font>
    <font>
      <b/>
      <sz val="26"/>
      <color theme="0"/>
      <name val="Copperplate Gothic Bold"/>
      <family val="2"/>
    </font>
    <font>
      <sz val="24"/>
      <name val="Copperplate Gothic Bold"/>
      <family val="2"/>
    </font>
    <font>
      <b/>
      <sz val="22"/>
      <color rgb="FFFF0000"/>
      <name val="Arial Narrow"/>
      <family val="2"/>
    </font>
    <font>
      <b/>
      <sz val="24"/>
      <color theme="0"/>
      <name val="Copperplate Gothic Bold"/>
      <family val="2"/>
    </font>
    <font>
      <b/>
      <sz val="28"/>
      <color theme="0"/>
      <name val="Copperplate Gothic Bold"/>
      <family val="2"/>
    </font>
    <font>
      <sz val="10"/>
      <name val="Times New Roman"/>
      <family val="1"/>
    </font>
    <font>
      <b/>
      <sz val="9"/>
      <color indexed="81"/>
      <name val="Tahoma"/>
      <family val="2"/>
    </font>
    <font>
      <b/>
      <sz val="10"/>
      <color rgb="FFFF0000"/>
      <name val="Times New Roman"/>
      <family val="1"/>
    </font>
    <font>
      <b/>
      <sz val="22"/>
      <name val="Calibri"/>
      <family val="2"/>
      <scheme val="minor"/>
    </font>
    <font>
      <b/>
      <sz val="28"/>
      <color indexed="8"/>
      <name val="Traditional Arabic"/>
      <family val="1"/>
    </font>
    <font>
      <sz val="16"/>
      <color rgb="FFFF0000"/>
      <name val="Segoe UI"/>
      <family val="2"/>
    </font>
    <font>
      <b/>
      <sz val="14"/>
      <name val="Cambria"/>
      <family val="1"/>
    </font>
    <font>
      <b/>
      <sz val="11"/>
      <color theme="1"/>
      <name val="Calibri"/>
      <family val="2"/>
      <scheme val="minor"/>
    </font>
    <font>
      <sz val="8"/>
      <name val="Arial"/>
      <family val="2"/>
    </font>
    <font>
      <b/>
      <sz val="14"/>
      <color theme="1"/>
      <name val="Arial"/>
      <family val="2"/>
    </font>
    <font>
      <b/>
      <sz val="18"/>
      <color theme="1"/>
      <name val="Arial"/>
      <family val="2"/>
    </font>
    <font>
      <b/>
      <sz val="28"/>
      <name val="Arial Narrow"/>
      <family val="2"/>
    </font>
    <font>
      <b/>
      <sz val="24"/>
      <name val="Arial Narrow"/>
      <family val="2"/>
    </font>
    <font>
      <sz val="28"/>
      <name val="Arial Narrow"/>
      <family val="2"/>
    </font>
    <font>
      <b/>
      <sz val="20"/>
      <name val="Courier New"/>
      <family val="3"/>
    </font>
    <font>
      <b/>
      <sz val="22"/>
      <color theme="1"/>
      <name val="Arial Narrow"/>
      <family val="2"/>
    </font>
    <font>
      <sz val="22"/>
      <color theme="1"/>
      <name val="Arial Narrow"/>
      <family val="2"/>
    </font>
    <font>
      <sz val="9"/>
      <color rgb="FF0070C0"/>
      <name val="Arial"/>
      <family val="2"/>
    </font>
    <font>
      <sz val="9"/>
      <color theme="1"/>
      <name val="Arial"/>
      <family val="2"/>
    </font>
    <font>
      <sz val="11"/>
      <color rgb="FF0070C0"/>
      <name val="Arial"/>
      <family val="2"/>
    </font>
    <font>
      <sz val="22"/>
      <name val="Arial"/>
      <family val="2"/>
    </font>
    <font>
      <sz val="10"/>
      <color theme="9" tint="-0.499984740745262"/>
      <name val="Arial"/>
      <family val="2"/>
    </font>
    <font>
      <sz val="9"/>
      <color theme="9" tint="-0.499984740745262"/>
      <name val="Arial"/>
      <family val="2"/>
    </font>
    <font>
      <sz val="11"/>
      <color theme="9" tint="-0.499984740745262"/>
      <name val="Arial"/>
      <family val="2"/>
    </font>
    <font>
      <b/>
      <sz val="26"/>
      <name val="Amasis MT Pro Black"/>
      <family val="1"/>
    </font>
    <font>
      <b/>
      <sz val="22"/>
      <name val="Arial"/>
      <family val="2"/>
    </font>
    <font>
      <b/>
      <sz val="28"/>
      <color indexed="9"/>
      <name val="Arial"/>
      <family val="2"/>
    </font>
    <font>
      <b/>
      <sz val="28"/>
      <color theme="0"/>
      <name val="Arial"/>
      <family val="2"/>
    </font>
    <font>
      <sz val="16"/>
      <color indexed="12"/>
      <name val="Arial"/>
      <family val="2"/>
    </font>
    <font>
      <b/>
      <sz val="14"/>
      <color indexed="63"/>
      <name val="Arial"/>
      <family val="2"/>
    </font>
    <font>
      <b/>
      <sz val="14"/>
      <color indexed="12"/>
      <name val="Arial"/>
      <family val="2"/>
    </font>
    <font>
      <sz val="14"/>
      <color indexed="12"/>
      <name val="Arial"/>
      <family val="2"/>
    </font>
    <font>
      <sz val="11"/>
      <color indexed="12"/>
      <name val="Arial"/>
      <family val="2"/>
    </font>
    <font>
      <b/>
      <sz val="11"/>
      <color indexed="12"/>
      <name val="Arial"/>
      <family val="2"/>
    </font>
    <font>
      <b/>
      <sz val="10"/>
      <color rgb="FF0070C0"/>
      <name val="Arial"/>
      <family val="2"/>
    </font>
    <font>
      <sz val="20"/>
      <name val="Arial"/>
      <family val="2"/>
    </font>
    <font>
      <b/>
      <sz val="20"/>
      <name val="Arial"/>
      <family val="2"/>
    </font>
    <font>
      <u/>
      <sz val="10"/>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name val="Arial"/>
      <family val="2"/>
    </font>
    <font>
      <b/>
      <sz val="22"/>
      <color theme="1"/>
      <name val="Arial"/>
      <family val="2"/>
    </font>
    <font>
      <b/>
      <sz val="34"/>
      <name val="Traditional Arabic"/>
      <family val="1"/>
    </font>
    <font>
      <b/>
      <sz val="9"/>
      <name val="Arial"/>
      <family val="2"/>
    </font>
    <font>
      <sz val="12"/>
      <color theme="0"/>
      <name val="Arial"/>
      <family val="2"/>
    </font>
    <font>
      <sz val="12"/>
      <color indexed="12"/>
      <name val="Arial"/>
      <family val="2"/>
    </font>
    <font>
      <sz val="12"/>
      <color indexed="48"/>
      <name val="Arial"/>
      <family val="2"/>
    </font>
    <font>
      <sz val="12"/>
      <color rgb="FF0000FF"/>
      <name val="Arial"/>
      <family val="2"/>
    </font>
    <font>
      <b/>
      <sz val="12"/>
      <color indexed="12"/>
      <name val="Arial"/>
      <family val="2"/>
    </font>
    <font>
      <sz val="12"/>
      <color theme="1"/>
      <name val="Arial"/>
      <family val="2"/>
    </font>
    <font>
      <i/>
      <sz val="12"/>
      <name val="Arial"/>
      <family val="2"/>
    </font>
    <font>
      <b/>
      <u/>
      <sz val="12"/>
      <name val="Arial"/>
      <family val="2"/>
    </font>
    <font>
      <b/>
      <sz val="12"/>
      <color rgb="FFC00000"/>
      <name val="Arial"/>
      <family val="2"/>
    </font>
    <font>
      <sz val="12"/>
      <color rgb="FFC00000"/>
      <name val="Arial"/>
      <family val="2"/>
    </font>
    <font>
      <sz val="12"/>
      <color rgb="FF0033CC"/>
      <name val="Arial"/>
      <family val="2"/>
    </font>
    <font>
      <b/>
      <sz val="16"/>
      <color rgb="FF0033CC"/>
      <name val="Arial"/>
      <family val="2"/>
    </font>
    <font>
      <b/>
      <sz val="14"/>
      <color rgb="FF0033CC"/>
      <name val="Arial"/>
      <family val="2"/>
    </font>
    <font>
      <sz val="14"/>
      <color rgb="FF0033CC"/>
      <name val="Arial"/>
      <family val="2"/>
    </font>
    <font>
      <b/>
      <sz val="22"/>
      <color rgb="FFFF0000"/>
      <name val="Arial"/>
      <family val="2"/>
    </font>
    <font>
      <sz val="14"/>
      <color rgb="FF002060"/>
      <name val="Segoe UI"/>
      <family val="2"/>
    </font>
    <font>
      <b/>
      <sz val="16"/>
      <color rgb="FF002060"/>
      <name val="Calibri"/>
      <family val="2"/>
      <scheme val="minor"/>
    </font>
    <font>
      <sz val="10"/>
      <name val="Aptos Display"/>
      <family val="2"/>
    </font>
  </fonts>
  <fills count="86">
    <fill>
      <patternFill patternType="none"/>
    </fill>
    <fill>
      <patternFill patternType="gray125"/>
    </fill>
    <fill>
      <patternFill patternType="solid">
        <fgColor indexed="15"/>
        <bgColor indexed="64"/>
      </patternFill>
    </fill>
    <fill>
      <patternFill patternType="solid">
        <fgColor indexed="9"/>
        <bgColor indexed="64"/>
      </patternFill>
    </fill>
    <fill>
      <patternFill patternType="solid">
        <fgColor indexed="43"/>
        <bgColor indexed="64"/>
      </patternFill>
    </fill>
    <fill>
      <patternFill patternType="solid">
        <fgColor indexed="13"/>
        <bgColor indexed="64"/>
      </patternFill>
    </fill>
    <fill>
      <patternFill patternType="solid">
        <fgColor indexed="44"/>
        <bgColor indexed="64"/>
      </patternFill>
    </fill>
    <fill>
      <patternFill patternType="solid">
        <fgColor indexed="41"/>
        <bgColor indexed="64"/>
      </patternFill>
    </fill>
    <fill>
      <patternFill patternType="solid">
        <fgColor indexed="11"/>
        <bgColor indexed="64"/>
      </patternFill>
    </fill>
    <fill>
      <patternFill patternType="solid">
        <fgColor indexed="51"/>
        <bgColor indexed="64"/>
      </patternFill>
    </fill>
    <fill>
      <patternFill patternType="solid">
        <fgColor indexed="65"/>
        <bgColor indexed="64"/>
      </patternFill>
    </fill>
    <fill>
      <patternFill patternType="solid">
        <fgColor indexed="9"/>
        <bgColor indexed="9"/>
      </patternFill>
    </fill>
    <fill>
      <patternFill patternType="solid">
        <fgColor indexed="52"/>
        <bgColor indexed="9"/>
      </patternFill>
    </fill>
    <fill>
      <patternFill patternType="solid">
        <fgColor indexed="31"/>
        <bgColor indexed="64"/>
      </patternFill>
    </fill>
    <fill>
      <patternFill patternType="solid">
        <fgColor indexed="23"/>
        <bgColor indexed="64"/>
      </patternFill>
    </fill>
    <fill>
      <patternFill patternType="solid">
        <fgColor indexed="47"/>
        <bgColor indexed="64"/>
      </patternFill>
    </fill>
    <fill>
      <patternFill patternType="solid">
        <fgColor indexed="51"/>
        <bgColor indexed="9"/>
      </patternFill>
    </fill>
    <fill>
      <patternFill patternType="solid">
        <fgColor indexed="46"/>
        <bgColor indexed="9"/>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1"/>
        <bgColor indexed="64"/>
      </patternFill>
    </fill>
    <fill>
      <patternFill patternType="solid">
        <fgColor rgb="FFFFFF99"/>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C000"/>
        <bgColor indexed="64"/>
      </patternFill>
    </fill>
    <fill>
      <patternFill patternType="lightGray">
        <bgColor theme="2" tint="-9.9978637043366805E-2"/>
      </patternFill>
    </fill>
    <fill>
      <patternFill patternType="gray125">
        <bgColor theme="2" tint="-9.9978637043366805E-2"/>
      </patternFill>
    </fill>
    <fill>
      <patternFill patternType="solid">
        <fgColor rgb="FF002060"/>
        <bgColor indexed="64"/>
      </patternFill>
    </fill>
    <fill>
      <patternFill patternType="solid">
        <fgColor rgb="FFFF000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E9FEA4"/>
        <bgColor indexed="64"/>
      </patternFill>
    </fill>
    <fill>
      <patternFill patternType="solid">
        <fgColor rgb="FFFFCC66"/>
        <bgColor indexed="64"/>
      </patternFill>
    </fill>
    <fill>
      <patternFill patternType="solid">
        <fgColor theme="2" tint="-9.9978637043366805E-2"/>
        <bgColor theme="0"/>
      </patternFill>
    </fill>
    <fill>
      <patternFill patternType="solid">
        <fgColor theme="2" tint="-0.749992370372631"/>
        <bgColor indexed="64"/>
      </patternFill>
    </fill>
    <fill>
      <patternFill patternType="solid">
        <fgColor theme="6" tint="0.79998168889431442"/>
        <bgColor indexed="64"/>
      </patternFill>
    </fill>
    <fill>
      <patternFill patternType="gray125">
        <fgColor theme="0" tint="-0.499984740745262"/>
        <bgColor theme="0"/>
      </patternFill>
    </fill>
    <fill>
      <patternFill patternType="solid">
        <fgColor theme="2"/>
        <bgColor indexed="64"/>
      </patternFill>
    </fill>
    <fill>
      <patternFill patternType="solid">
        <fgColor theme="6"/>
        <bgColor indexed="64"/>
      </patternFill>
    </fill>
    <fill>
      <patternFill patternType="solid">
        <fgColor rgb="FFFFFFCC"/>
        <bgColor indexed="64"/>
      </patternFill>
    </fill>
    <fill>
      <patternFill patternType="solid">
        <fgColor theme="1"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double">
        <color indexed="64"/>
      </top>
      <bottom style="thin">
        <color indexed="64"/>
      </bottom>
      <diagonal/>
    </border>
    <border>
      <left style="double">
        <color indexed="64"/>
      </left>
      <right/>
      <top/>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double">
        <color indexed="64"/>
      </bottom>
      <diagonal/>
    </border>
    <border>
      <left style="double">
        <color indexed="64"/>
      </left>
      <right style="double">
        <color indexed="64"/>
      </right>
      <top style="double">
        <color indexed="64"/>
      </top>
      <bottom/>
      <diagonal/>
    </border>
    <border>
      <left style="hair">
        <color indexed="64"/>
      </left>
      <right/>
      <top/>
      <bottom style="hair">
        <color indexed="64"/>
      </bottom>
      <diagonal/>
    </border>
    <border>
      <left style="hair">
        <color indexed="64"/>
      </left>
      <right style="double">
        <color indexed="64"/>
      </right>
      <top/>
      <bottom style="hair">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double">
        <color indexed="64"/>
      </left>
      <right/>
      <top style="double">
        <color indexed="64"/>
      </top>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style="double">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top/>
      <bottom style="double">
        <color indexed="64"/>
      </bottom>
      <diagonal/>
    </border>
    <border>
      <left style="hair">
        <color indexed="64"/>
      </left>
      <right style="double">
        <color indexed="64"/>
      </right>
      <top style="double">
        <color indexed="64"/>
      </top>
      <bottom style="double">
        <color indexed="64"/>
      </bottom>
      <diagonal/>
    </border>
    <border>
      <left/>
      <right/>
      <top style="double">
        <color indexed="64"/>
      </top>
      <bottom style="double">
        <color indexed="64"/>
      </bottom>
      <diagonal/>
    </border>
    <border>
      <left style="hair">
        <color indexed="64"/>
      </left>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bottom style="hair">
        <color indexed="64"/>
      </bottom>
      <diagonal/>
    </border>
    <border>
      <left style="double">
        <color indexed="64"/>
      </left>
      <right style="hair">
        <color indexed="64"/>
      </right>
      <top/>
      <bottom/>
      <diagonal/>
    </border>
    <border>
      <left style="double">
        <color indexed="64"/>
      </left>
      <right style="hair">
        <color indexed="64"/>
      </right>
      <top style="thin">
        <color indexed="64"/>
      </top>
      <bottom style="thin">
        <color indexed="64"/>
      </bottom>
      <diagonal/>
    </border>
    <border>
      <left style="double">
        <color indexed="64"/>
      </left>
      <right style="hair">
        <color indexed="64"/>
      </right>
      <top/>
      <bottom style="hair">
        <color indexed="64"/>
      </bottom>
      <diagonal/>
    </border>
    <border>
      <left style="double">
        <color indexed="64"/>
      </left>
      <right style="hair">
        <color indexed="64"/>
      </right>
      <top style="double">
        <color indexed="64"/>
      </top>
      <bottom style="double">
        <color indexed="64"/>
      </bottom>
      <diagonal/>
    </border>
    <border>
      <left style="double">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style="double">
        <color indexed="64"/>
      </left>
      <right style="hair">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style="hair">
        <color indexed="64"/>
      </right>
      <top style="thin">
        <color indexed="64"/>
      </top>
      <bottom style="double">
        <color indexed="64"/>
      </bottom>
      <diagonal/>
    </border>
    <border>
      <left/>
      <right style="medium">
        <color indexed="64"/>
      </right>
      <top/>
      <bottom style="thin">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double">
        <color indexed="64"/>
      </left>
      <right style="thin">
        <color indexed="64"/>
      </right>
      <top/>
      <bottom style="double">
        <color indexed="64"/>
      </bottom>
      <diagonal/>
    </border>
    <border>
      <left/>
      <right style="thin">
        <color indexed="64"/>
      </right>
      <top/>
      <bottom style="double">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double">
        <color indexed="64"/>
      </top>
      <bottom style="double">
        <color indexed="64"/>
      </bottom>
      <diagonal/>
    </border>
    <border>
      <left style="medium">
        <color indexed="64"/>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hair">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thin">
        <color indexed="64"/>
      </top>
      <bottom/>
      <diagonal/>
    </border>
    <border>
      <left style="double">
        <color indexed="64"/>
      </left>
      <right style="double">
        <color indexed="64"/>
      </right>
      <top/>
      <bottom style="hair">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style="thin">
        <color indexed="64"/>
      </left>
      <right style="double">
        <color indexed="64"/>
      </right>
      <top/>
      <bottom/>
      <diagonal/>
    </border>
    <border>
      <left style="double">
        <color indexed="64"/>
      </left>
      <right style="hair">
        <color indexed="64"/>
      </right>
      <top/>
      <bottom style="double">
        <color indexed="64"/>
      </bottom>
      <diagonal/>
    </border>
    <border>
      <left style="hair">
        <color indexed="64"/>
      </left>
      <right/>
      <top/>
      <bottom/>
      <diagonal/>
    </border>
    <border>
      <left style="double">
        <color indexed="64"/>
      </left>
      <right style="double">
        <color indexed="64"/>
      </right>
      <top style="thin">
        <color indexed="64"/>
      </top>
      <bottom style="hair">
        <color indexed="64"/>
      </bottom>
      <diagonal/>
    </border>
    <border>
      <left style="thin">
        <color indexed="64"/>
      </left>
      <right style="thin">
        <color indexed="64"/>
      </right>
      <top/>
      <bottom style="hair">
        <color indexed="64"/>
      </bottom>
      <diagonal/>
    </border>
    <border>
      <left style="double">
        <color indexed="64"/>
      </left>
      <right style="double">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style="hair">
        <color indexed="64"/>
      </right>
      <top/>
      <bottom style="double">
        <color indexed="64"/>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double">
        <color indexed="64"/>
      </left>
      <right/>
      <top/>
      <bottom style="hair">
        <color indexed="64"/>
      </bottom>
      <diagonal/>
    </border>
    <border>
      <left style="thin">
        <color indexed="64"/>
      </left>
      <right style="hair">
        <color indexed="64"/>
      </right>
      <top style="thin">
        <color indexed="64"/>
      </top>
      <bottom style="double">
        <color indexed="64"/>
      </bottom>
      <diagonal/>
    </border>
    <border>
      <left style="double">
        <color indexed="64"/>
      </left>
      <right style="thin">
        <color indexed="64"/>
      </right>
      <top style="thin">
        <color indexed="64"/>
      </top>
      <bottom style="medium">
        <color indexed="22"/>
      </bottom>
      <diagonal/>
    </border>
    <border>
      <left style="double">
        <color indexed="64"/>
      </left>
      <right style="thin">
        <color indexed="64"/>
      </right>
      <top/>
      <bottom style="medium">
        <color indexed="22"/>
      </bottom>
      <diagonal/>
    </border>
    <border>
      <left style="double">
        <color indexed="64"/>
      </left>
      <right style="thin">
        <color indexed="64"/>
      </right>
      <top style="medium">
        <color indexed="22"/>
      </top>
      <bottom style="medium">
        <color indexed="22"/>
      </bottom>
      <diagonal/>
    </border>
    <border>
      <left/>
      <right style="double">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thin">
        <color indexed="64"/>
      </top>
      <bottom style="medium">
        <color indexed="64"/>
      </bottom>
      <diagonal/>
    </border>
    <border>
      <left style="double">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bottom style="medium">
        <color indexed="64"/>
      </bottom>
      <diagonal/>
    </border>
    <border>
      <left style="double">
        <color indexed="64"/>
      </left>
      <right style="medium">
        <color indexed="22"/>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22"/>
      </bottom>
      <diagonal/>
    </border>
    <border>
      <left/>
      <right style="thin">
        <color indexed="64"/>
      </right>
      <top style="medium">
        <color indexed="22"/>
      </top>
      <bottom style="medium">
        <color indexed="22"/>
      </bottom>
      <diagonal/>
    </border>
    <border>
      <left style="double">
        <color indexed="64"/>
      </left>
      <right style="thin">
        <color indexed="64"/>
      </right>
      <top style="medium">
        <color indexed="22"/>
      </top>
      <bottom style="medium">
        <color indexed="64"/>
      </bottom>
      <diagonal/>
    </border>
    <border>
      <left/>
      <right style="thin">
        <color indexed="64"/>
      </right>
      <top style="medium">
        <color indexed="22"/>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double">
        <color indexed="64"/>
      </top>
      <bottom style="thin">
        <color indexed="64"/>
      </bottom>
      <diagonal/>
    </border>
    <border>
      <left style="thin">
        <color indexed="64"/>
      </left>
      <right style="double">
        <color indexed="64"/>
      </right>
      <top/>
      <bottom style="double">
        <color indexed="64"/>
      </bottom>
      <diagonal/>
    </border>
    <border>
      <left style="medium">
        <color indexed="64"/>
      </left>
      <right style="double">
        <color indexed="64"/>
      </right>
      <top/>
      <bottom/>
      <diagonal/>
    </border>
    <border>
      <left style="medium">
        <color indexed="64"/>
      </left>
      <right style="double">
        <color indexed="64"/>
      </right>
      <top style="thin">
        <color indexed="64"/>
      </top>
      <bottom style="double">
        <color indexed="64"/>
      </bottom>
      <diagonal/>
    </border>
    <border>
      <left style="hair">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double">
        <color indexed="64"/>
      </right>
      <top style="thin">
        <color indexed="64"/>
      </top>
      <bottom/>
      <diagonal/>
    </border>
    <border>
      <left style="double">
        <color indexed="64"/>
      </left>
      <right style="thin">
        <color indexed="64"/>
      </right>
      <top style="thin">
        <color indexed="64"/>
      </top>
      <bottom/>
      <diagonal/>
    </border>
    <border>
      <left style="medium">
        <color indexed="64"/>
      </left>
      <right style="double">
        <color indexed="64"/>
      </right>
      <top style="thin">
        <color indexed="64"/>
      </top>
      <bottom/>
      <diagonal/>
    </border>
    <border>
      <left style="medium">
        <color indexed="64"/>
      </left>
      <right style="thin">
        <color indexed="64"/>
      </right>
      <top style="medium">
        <color indexed="64"/>
      </top>
      <bottom style="hair">
        <color indexed="64"/>
      </bottom>
      <diagonal/>
    </border>
    <border>
      <left style="hair">
        <color indexed="64"/>
      </left>
      <right style="double">
        <color indexed="64"/>
      </right>
      <top style="thin">
        <color indexed="64"/>
      </top>
      <bottom style="double">
        <color indexed="64"/>
      </bottom>
      <diagonal/>
    </border>
    <border>
      <left style="double">
        <color indexed="64"/>
      </left>
      <right style="hair">
        <color indexed="64"/>
      </right>
      <top style="double">
        <color indexed="64"/>
      </top>
      <bottom style="hair">
        <color indexed="64"/>
      </bottom>
      <diagonal/>
    </border>
    <border>
      <left/>
      <right style="double">
        <color indexed="64"/>
      </right>
      <top style="double">
        <color indexed="64"/>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double">
        <color indexed="64"/>
      </left>
      <right style="hair">
        <color indexed="64"/>
      </right>
      <top style="thin">
        <color indexed="64"/>
      </top>
      <bottom style="medium">
        <color indexed="64"/>
      </bottom>
      <diagonal/>
    </border>
    <border>
      <left style="hair">
        <color indexed="64"/>
      </left>
      <right style="double">
        <color indexed="64"/>
      </right>
      <top style="thin">
        <color indexed="64"/>
      </top>
      <bottom style="medium">
        <color indexed="64"/>
      </bottom>
      <diagonal/>
    </border>
    <border>
      <left style="double">
        <color indexed="64"/>
      </left>
      <right style="hair">
        <color indexed="64"/>
      </right>
      <top style="thin">
        <color indexed="64"/>
      </top>
      <bottom style="hair">
        <color indexed="64"/>
      </bottom>
      <diagonal/>
    </border>
    <border>
      <left/>
      <right/>
      <top style="thin">
        <color indexed="64"/>
      </top>
      <bottom style="hair">
        <color indexed="64"/>
      </bottom>
      <diagonal/>
    </border>
    <border>
      <left style="double">
        <color indexed="64"/>
      </left>
      <right style="hair">
        <color indexed="64"/>
      </right>
      <top/>
      <bottom style="hair">
        <color indexed="23"/>
      </bottom>
      <diagonal/>
    </border>
    <border>
      <left/>
      <right/>
      <top/>
      <bottom style="hair">
        <color indexed="23"/>
      </bottom>
      <diagonal/>
    </border>
    <border>
      <left style="thin">
        <color indexed="64"/>
      </left>
      <right/>
      <top style="thin">
        <color indexed="64"/>
      </top>
      <bottom style="double">
        <color indexed="64"/>
      </bottom>
      <diagonal/>
    </border>
    <border>
      <left style="thin">
        <color indexed="64"/>
      </left>
      <right/>
      <top style="double">
        <color indexed="64"/>
      </top>
      <bottom style="double">
        <color indexed="64"/>
      </bottom>
      <diagonal/>
    </border>
    <border>
      <left style="double">
        <color indexed="64"/>
      </left>
      <right style="double">
        <color indexed="64"/>
      </right>
      <top style="double">
        <color indexed="64"/>
      </top>
      <bottom style="medium">
        <color indexed="64"/>
      </bottom>
      <diagonal/>
    </border>
    <border>
      <left style="double">
        <color indexed="64"/>
      </left>
      <right style="hair">
        <color indexed="64"/>
      </right>
      <top style="medium">
        <color indexed="64"/>
      </top>
      <bottom style="medium">
        <color indexed="64"/>
      </bottom>
      <diagonal/>
    </border>
    <border>
      <left style="hair">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double">
        <color indexed="64"/>
      </right>
      <top/>
      <bottom style="thin">
        <color indexed="64"/>
      </bottom>
      <diagonal/>
    </border>
    <border>
      <left style="hair">
        <color indexed="64"/>
      </left>
      <right style="double">
        <color indexed="64"/>
      </right>
      <top/>
      <bottom/>
      <diagonal/>
    </border>
    <border>
      <left style="hair">
        <color indexed="64"/>
      </left>
      <right style="double">
        <color indexed="64"/>
      </right>
      <top/>
      <bottom style="double">
        <color indexed="64"/>
      </bottom>
      <diagonal/>
    </border>
    <border>
      <left style="double">
        <color indexed="64"/>
      </left>
      <right/>
      <top/>
      <bottom style="thin">
        <color indexed="64"/>
      </bottom>
      <diagonal/>
    </border>
    <border>
      <left style="double">
        <color indexed="64"/>
      </left>
      <right style="double">
        <color indexed="64"/>
      </right>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double">
        <color indexed="64"/>
      </top>
      <bottom/>
      <diagonal/>
    </border>
    <border>
      <left style="hair">
        <color indexed="64"/>
      </left>
      <right style="hair">
        <color indexed="64"/>
      </right>
      <top/>
      <bottom/>
      <diagonal/>
    </border>
    <border>
      <left style="hair">
        <color indexed="64"/>
      </left>
      <right style="hair">
        <color indexed="64"/>
      </right>
      <top/>
      <bottom style="double">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bottom style="hair">
        <color indexed="23"/>
      </bottom>
      <diagonal/>
    </border>
    <border>
      <left style="double">
        <color indexed="64"/>
      </left>
      <right style="thin">
        <color indexed="64"/>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double">
        <color indexed="64"/>
      </top>
      <bottom/>
      <diagonal/>
    </border>
    <border>
      <left style="double">
        <color indexed="64"/>
      </left>
      <right style="double">
        <color indexed="64"/>
      </right>
      <top style="medium">
        <color indexed="64"/>
      </top>
      <bottom style="thin">
        <color indexed="64"/>
      </bottom>
      <diagonal/>
    </border>
    <border>
      <left style="dotted">
        <color indexed="64"/>
      </left>
      <right style="dotted">
        <color indexed="64"/>
      </right>
      <top style="double">
        <color indexed="64"/>
      </top>
      <bottom/>
      <diagonal/>
    </border>
    <border>
      <left style="dotted">
        <color indexed="64"/>
      </left>
      <right style="dotted">
        <color indexed="64"/>
      </right>
      <top/>
      <bottom/>
      <diagonal/>
    </border>
    <border>
      <left style="dotted">
        <color indexed="64"/>
      </left>
      <right style="dotted">
        <color indexed="64"/>
      </right>
      <top/>
      <bottom style="double">
        <color indexed="64"/>
      </bottom>
      <diagonal/>
    </border>
    <border>
      <left style="dotted">
        <color indexed="64"/>
      </left>
      <right style="dotted">
        <color indexed="64"/>
      </right>
      <top style="double">
        <color indexed="64"/>
      </top>
      <bottom style="double">
        <color indexed="64"/>
      </bottom>
      <diagonal/>
    </border>
    <border>
      <left style="dotted">
        <color indexed="64"/>
      </left>
      <right style="dotted">
        <color indexed="64"/>
      </right>
      <top/>
      <bottom style="thin">
        <color indexed="64"/>
      </bottom>
      <diagonal/>
    </border>
    <border>
      <left style="double">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22"/>
      </top>
      <bottom style="medium">
        <color indexed="22"/>
      </bottom>
      <diagonal/>
    </border>
    <border>
      <left/>
      <right/>
      <top style="medium">
        <color indexed="22"/>
      </top>
      <bottom style="medium">
        <color indexed="64"/>
      </bottom>
      <diagonal/>
    </border>
    <border>
      <left/>
      <right/>
      <top/>
      <bottom style="medium">
        <color indexed="22"/>
      </bottom>
      <diagonal/>
    </border>
    <border>
      <left style="medium">
        <color indexed="64"/>
      </left>
      <right/>
      <top style="medium">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style="double">
        <color indexed="64"/>
      </bottom>
      <diagonal/>
    </border>
    <border>
      <left style="thin">
        <color indexed="64"/>
      </left>
      <right/>
      <top style="double">
        <color indexed="64"/>
      </top>
      <bottom style="hair">
        <color indexed="64"/>
      </bottom>
      <diagonal/>
    </border>
    <border>
      <left style="double">
        <color indexed="64"/>
      </left>
      <right/>
      <top style="double">
        <color indexed="64"/>
      </top>
      <bottom style="hair">
        <color indexed="64"/>
      </bottom>
      <diagonal/>
    </border>
    <border>
      <left style="thin">
        <color indexed="64"/>
      </left>
      <right/>
      <top/>
      <bottom style="double">
        <color indexed="64"/>
      </bottom>
      <diagonal/>
    </border>
    <border>
      <left style="double">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style="thin">
        <color indexed="64"/>
      </right>
      <top/>
      <bottom style="double">
        <color indexed="64"/>
      </bottom>
      <diagonal/>
    </border>
    <border>
      <left style="double">
        <color indexed="64"/>
      </left>
      <right/>
      <top style="double">
        <color indexed="64"/>
      </top>
      <bottom style="medium">
        <color theme="2" tint="-0.749961851863155"/>
      </bottom>
      <diagonal/>
    </border>
    <border>
      <left/>
      <right/>
      <top style="double">
        <color indexed="64"/>
      </top>
      <bottom style="medium">
        <color theme="2" tint="-0.749961851863155"/>
      </bottom>
      <diagonal/>
    </border>
    <border>
      <left/>
      <right style="double">
        <color indexed="64"/>
      </right>
      <top style="double">
        <color indexed="64"/>
      </top>
      <bottom style="medium">
        <color theme="2" tint="-0.749961851863155"/>
      </bottom>
      <diagonal/>
    </border>
    <border>
      <left style="double">
        <color indexed="64"/>
      </left>
      <right style="double">
        <color indexed="64"/>
      </right>
      <top style="medium">
        <color theme="2" tint="-0.749961851863155"/>
      </top>
      <bottom/>
      <diagonal/>
    </border>
    <border>
      <left/>
      <right/>
      <top/>
      <bottom style="hair">
        <color auto="1"/>
      </bottom>
      <diagonal/>
    </border>
    <border>
      <left style="double">
        <color indexed="64"/>
      </left>
      <right style="double">
        <color indexed="64"/>
      </right>
      <top style="medium">
        <color indexed="64"/>
      </top>
      <bottom style="double">
        <color indexed="64"/>
      </bottom>
      <diagonal/>
    </border>
    <border>
      <left style="dotted">
        <color indexed="64"/>
      </left>
      <right style="double">
        <color indexed="64"/>
      </right>
      <top/>
      <bottom/>
      <diagonal/>
    </border>
    <border>
      <left style="thin">
        <color indexed="64"/>
      </left>
      <right style="double">
        <color indexed="64"/>
      </right>
      <top style="thin">
        <color indexed="64"/>
      </top>
      <bottom style="medium">
        <color indexed="64"/>
      </bottom>
      <diagonal/>
    </border>
    <border>
      <left/>
      <right/>
      <top/>
      <bottom style="mediumDashDot">
        <color auto="1"/>
      </bottom>
      <diagonal/>
    </border>
    <border>
      <left style="thin">
        <color rgb="FF000000"/>
      </left>
      <right style="thin">
        <color rgb="FF000000"/>
      </right>
      <top style="thin">
        <color rgb="FF000000"/>
      </top>
      <bottom style="thin">
        <color rgb="FF000000"/>
      </bottom>
      <diagonal/>
    </border>
    <border>
      <left style="thin">
        <color indexed="64"/>
      </left>
      <right/>
      <top/>
      <bottom style="hair">
        <color indexed="64"/>
      </bottom>
      <diagonal/>
    </border>
    <border>
      <left style="double">
        <color indexed="64"/>
      </left>
      <right/>
      <top style="thin">
        <color indexed="64"/>
      </top>
      <bottom style="hair">
        <color indexed="64"/>
      </bottom>
      <diagonal/>
    </border>
    <border>
      <left/>
      <right/>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top style="hair">
        <color indexed="22"/>
      </top>
      <bottom style="hair">
        <color indexed="22"/>
      </bottom>
      <diagonal/>
    </border>
    <border>
      <left/>
      <right/>
      <top style="hair">
        <color indexed="22"/>
      </top>
      <bottom style="hair">
        <color indexed="22"/>
      </bottom>
      <diagonal/>
    </border>
    <border>
      <left style="hair">
        <color indexed="64"/>
      </left>
      <right/>
      <top style="hair">
        <color indexed="22"/>
      </top>
      <bottom style="hair">
        <color indexed="22"/>
      </bottom>
      <diagonal/>
    </border>
    <border>
      <left/>
      <right style="double">
        <color indexed="64"/>
      </right>
      <top style="hair">
        <color indexed="22"/>
      </top>
      <bottom style="hair">
        <color indexed="22"/>
      </bottom>
      <diagonal/>
    </border>
    <border>
      <left style="double">
        <color indexed="64"/>
      </left>
      <right/>
      <top style="hair">
        <color indexed="22"/>
      </top>
      <bottom style="double">
        <color indexed="64"/>
      </bottom>
      <diagonal/>
    </border>
    <border>
      <left/>
      <right/>
      <top style="hair">
        <color indexed="22"/>
      </top>
      <bottom style="double">
        <color indexed="64"/>
      </bottom>
      <diagonal/>
    </border>
    <border>
      <left style="hair">
        <color indexed="64"/>
      </left>
      <right/>
      <top style="hair">
        <color indexed="22"/>
      </top>
      <bottom style="double">
        <color indexed="64"/>
      </bottom>
      <diagonal/>
    </border>
    <border>
      <left/>
      <right style="double">
        <color indexed="64"/>
      </right>
      <top style="hair">
        <color indexed="22"/>
      </top>
      <bottom style="double">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medium">
        <color indexed="64"/>
      </right>
      <top style="hair">
        <color indexed="64"/>
      </top>
      <bottom style="medium">
        <color indexed="64"/>
      </bottom>
      <diagonal/>
    </border>
    <border>
      <left style="thin">
        <color indexed="64"/>
      </left>
      <right style="double">
        <color indexed="64"/>
      </right>
      <top style="hair">
        <color indexed="64"/>
      </top>
      <bottom style="hair">
        <color indexed="64"/>
      </bottom>
      <diagonal/>
    </border>
    <border>
      <left/>
      <right style="double">
        <color indexed="64"/>
      </right>
      <top style="hair">
        <color indexed="64"/>
      </top>
      <bottom/>
      <diagonal/>
    </border>
    <border>
      <left style="thin">
        <color indexed="64"/>
      </left>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diagonal/>
    </border>
    <border>
      <left style="medium">
        <color indexed="64"/>
      </left>
      <right style="thin">
        <color indexed="64"/>
      </right>
      <top style="hair">
        <color indexed="64"/>
      </top>
      <bottom/>
      <diagonal/>
    </border>
    <border>
      <left/>
      <right style="medium">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right/>
      <top style="hair">
        <color indexed="64"/>
      </top>
      <bottom style="thin">
        <color indexed="64"/>
      </bottom>
      <diagonal/>
    </border>
    <border>
      <left style="double">
        <color indexed="64"/>
      </left>
      <right style="hair">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top style="hair">
        <color indexed="64"/>
      </top>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23"/>
      </top>
      <bottom/>
      <diagonal/>
    </border>
    <border>
      <left/>
      <right/>
      <top style="hair">
        <color indexed="23"/>
      </top>
      <bottom/>
      <diagonal/>
    </border>
    <border>
      <left style="double">
        <color indexed="64"/>
      </left>
      <right style="double">
        <color indexed="64"/>
      </right>
      <top style="hair">
        <color indexed="23"/>
      </top>
      <bottom/>
      <diagonal/>
    </border>
    <border>
      <left style="double">
        <color indexed="64"/>
      </left>
      <right style="hair">
        <color indexed="64"/>
      </right>
      <top style="hair">
        <color indexed="23"/>
      </top>
      <bottom style="double">
        <color indexed="64"/>
      </bottom>
      <diagonal/>
    </border>
    <border>
      <left/>
      <right/>
      <top style="hair">
        <color indexed="23"/>
      </top>
      <bottom style="double">
        <color indexed="64"/>
      </bottom>
      <diagonal/>
    </border>
    <border>
      <left style="double">
        <color indexed="64"/>
      </left>
      <right style="double">
        <color indexed="64"/>
      </right>
      <top style="hair">
        <color indexed="23"/>
      </top>
      <bottom style="double">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style="thin">
        <color indexed="64"/>
      </left>
      <right/>
      <top style="hair">
        <color indexed="64"/>
      </top>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right/>
      <top style="hair">
        <color auto="1"/>
      </top>
      <bottom style="mediumDashDot">
        <color auto="1"/>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s>
  <cellStyleXfs count="50">
    <xf numFmtId="0" fontId="0" fillId="0" borderId="0"/>
    <xf numFmtId="0" fontId="25" fillId="0" borderId="0" applyNumberFormat="0" applyFill="0" applyBorder="0" applyAlignment="0" applyProtection="0">
      <alignment vertical="top"/>
      <protection locked="0"/>
    </xf>
    <xf numFmtId="164" fontId="114" fillId="0" borderId="0" applyFont="0" applyFill="0" applyBorder="0" applyAlignment="0" applyProtection="0"/>
    <xf numFmtId="0" fontId="122" fillId="0" borderId="0"/>
    <xf numFmtId="0" fontId="12" fillId="0" borderId="0"/>
    <xf numFmtId="0" fontId="12" fillId="0" borderId="0"/>
    <xf numFmtId="0" fontId="12" fillId="0" borderId="0"/>
    <xf numFmtId="9" fontId="38" fillId="0" borderId="0" applyFont="0" applyFill="0" applyBorder="0" applyAlignment="0" applyProtection="0"/>
    <xf numFmtId="0" fontId="251" fillId="0" borderId="0" applyNumberFormat="0" applyFill="0" applyBorder="0" applyAlignment="0" applyProtection="0"/>
    <xf numFmtId="0" fontId="252" fillId="0" borderId="237" applyNumberFormat="0" applyFill="0" applyAlignment="0" applyProtection="0"/>
    <xf numFmtId="0" fontId="253" fillId="0" borderId="238" applyNumberFormat="0" applyFill="0" applyAlignment="0" applyProtection="0"/>
    <xf numFmtId="0" fontId="254" fillId="0" borderId="239" applyNumberFormat="0" applyFill="0" applyAlignment="0" applyProtection="0"/>
    <xf numFmtId="0" fontId="254" fillId="0" borderId="0" applyNumberFormat="0" applyFill="0" applyBorder="0" applyAlignment="0" applyProtection="0"/>
    <xf numFmtId="0" fontId="255" fillId="55" borderId="0" applyNumberFormat="0" applyBorder="0" applyAlignment="0" applyProtection="0"/>
    <xf numFmtId="0" fontId="256" fillId="56" borderId="0" applyNumberFormat="0" applyBorder="0" applyAlignment="0" applyProtection="0"/>
    <xf numFmtId="0" fontId="257" fillId="57" borderId="0" applyNumberFormat="0" applyBorder="0" applyAlignment="0" applyProtection="0"/>
    <xf numFmtId="0" fontId="258" fillId="58" borderId="240" applyNumberFormat="0" applyAlignment="0" applyProtection="0"/>
    <xf numFmtId="0" fontId="259" fillId="59" borderId="241" applyNumberFormat="0" applyAlignment="0" applyProtection="0"/>
    <xf numFmtId="0" fontId="260" fillId="59" borderId="240" applyNumberFormat="0" applyAlignment="0" applyProtection="0"/>
    <xf numFmtId="0" fontId="261" fillId="0" borderId="242" applyNumberFormat="0" applyFill="0" applyAlignment="0" applyProtection="0"/>
    <xf numFmtId="0" fontId="262" fillId="60" borderId="243" applyNumberFormat="0" applyAlignment="0" applyProtection="0"/>
    <xf numFmtId="0" fontId="263" fillId="0" borderId="0" applyNumberFormat="0" applyFill="0" applyBorder="0" applyAlignment="0" applyProtection="0"/>
    <xf numFmtId="0" fontId="264" fillId="0" borderId="0" applyNumberFormat="0" applyFill="0" applyBorder="0" applyAlignment="0" applyProtection="0"/>
    <xf numFmtId="0" fontId="220" fillId="0" borderId="245" applyNumberFormat="0" applyFill="0" applyAlignment="0" applyProtection="0"/>
    <xf numFmtId="0" fontId="265"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265" fillId="66"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265" fillId="70"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265" fillId="74" borderId="0" applyNumberFormat="0" applyBorder="0" applyAlignment="0" applyProtection="0"/>
    <xf numFmtId="0" fontId="1" fillId="75"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265" fillId="78" borderId="0" applyNumberFormat="0" applyBorder="0" applyAlignment="0" applyProtection="0"/>
    <xf numFmtId="0" fontId="1" fillId="79"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265" fillId="82" borderId="0" applyNumberFormat="0" applyBorder="0" applyAlignment="0" applyProtection="0"/>
    <xf numFmtId="0" fontId="1" fillId="83"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0" fontId="1" fillId="0" borderId="0"/>
    <xf numFmtId="0" fontId="1" fillId="61" borderId="244" applyNumberFormat="0" applyFont="0" applyAlignment="0" applyProtection="0"/>
  </cellStyleXfs>
  <cellXfs count="2552">
    <xf numFmtId="0" fontId="0" fillId="0" borderId="0" xfId="0"/>
    <xf numFmtId="0" fontId="2" fillId="0" borderId="0" xfId="0" applyFont="1"/>
    <xf numFmtId="0" fontId="8" fillId="0" borderId="0" xfId="0" applyFont="1"/>
    <xf numFmtId="0" fontId="2" fillId="0" borderId="0" xfId="0" applyFont="1" applyAlignment="1">
      <alignment horizontal="center"/>
    </xf>
    <xf numFmtId="0" fontId="11" fillId="0" borderId="0" xfId="0" applyFont="1" applyAlignment="1">
      <alignment horizontal="center"/>
    </xf>
    <xf numFmtId="0" fontId="2" fillId="0" borderId="0" xfId="0" quotePrefix="1" applyFont="1" applyAlignment="1">
      <alignment horizontal="center"/>
    </xf>
    <xf numFmtId="0" fontId="2" fillId="2" borderId="0" xfId="0" applyFont="1" applyFill="1" applyAlignment="1">
      <alignment horizontal="center"/>
    </xf>
    <xf numFmtId="0" fontId="2" fillId="2" borderId="0" xfId="0" applyFont="1" applyFill="1"/>
    <xf numFmtId="0" fontId="7" fillId="0" borderId="0" xfId="0" applyFont="1"/>
    <xf numFmtId="0" fontId="2" fillId="3" borderId="0" xfId="0" applyFont="1" applyFill="1"/>
    <xf numFmtId="0" fontId="25" fillId="3" borderId="0" xfId="1" applyFill="1" applyAlignment="1" applyProtection="1"/>
    <xf numFmtId="0" fontId="2" fillId="0" borderId="0" xfId="0" quotePrefix="1" applyFont="1"/>
    <xf numFmtId="0" fontId="0" fillId="0" borderId="0" xfId="0" applyAlignment="1">
      <alignment horizontal="center"/>
    </xf>
    <xf numFmtId="0" fontId="19" fillId="4" borderId="1" xfId="0" applyFont="1" applyFill="1" applyBorder="1" applyAlignment="1">
      <alignment horizontal="centerContinuous"/>
    </xf>
    <xf numFmtId="0" fontId="19" fillId="4" borderId="2" xfId="0" applyFont="1" applyFill="1" applyBorder="1" applyAlignment="1">
      <alignment horizontal="centerContinuous"/>
    </xf>
    <xf numFmtId="0" fontId="19" fillId="4" borderId="3" xfId="0" applyFont="1" applyFill="1" applyBorder="1" applyAlignment="1">
      <alignment horizontal="centerContinuous"/>
    </xf>
    <xf numFmtId="0" fontId="0" fillId="5" borderId="0" xfId="0" applyFill="1"/>
    <xf numFmtId="0" fontId="20" fillId="6" borderId="1" xfId="0" applyFont="1" applyFill="1" applyBorder="1" applyAlignment="1">
      <alignment horizontal="centerContinuous"/>
    </xf>
    <xf numFmtId="0" fontId="0" fillId="6" borderId="2" xfId="0" applyFill="1" applyBorder="1" applyAlignment="1">
      <alignment horizontal="centerContinuous"/>
    </xf>
    <xf numFmtId="0" fontId="0" fillId="6" borderId="3" xfId="0" applyFill="1" applyBorder="1" applyAlignment="1">
      <alignment horizontal="centerContinuous"/>
    </xf>
    <xf numFmtId="0" fontId="19" fillId="7" borderId="1" xfId="0" applyFont="1" applyFill="1" applyBorder="1" applyAlignment="1">
      <alignment horizontal="centerContinuous"/>
    </xf>
    <xf numFmtId="0" fontId="19" fillId="7" borderId="2" xfId="0" applyFont="1" applyFill="1" applyBorder="1" applyAlignment="1">
      <alignment horizontal="centerContinuous"/>
    </xf>
    <xf numFmtId="0" fontId="19" fillId="7" borderId="3" xfId="0" applyFont="1" applyFill="1" applyBorder="1" applyAlignment="1">
      <alignment horizontal="centerContinuous"/>
    </xf>
    <xf numFmtId="0" fontId="15" fillId="8" borderId="4"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6" xfId="0" applyFont="1" applyFill="1" applyBorder="1" applyAlignment="1">
      <alignment horizontal="center" vertical="center"/>
    </xf>
    <xf numFmtId="0" fontId="15" fillId="5" borderId="4" xfId="0" applyFont="1" applyFill="1" applyBorder="1" applyAlignment="1">
      <alignment horizontal="center" vertical="center"/>
    </xf>
    <xf numFmtId="0" fontId="15" fillId="6" borderId="5" xfId="0" applyFont="1" applyFill="1" applyBorder="1" applyAlignment="1">
      <alignment horizontal="right" vertical="center"/>
    </xf>
    <xf numFmtId="0" fontId="15" fillId="6" borderId="4" xfId="0" applyFont="1" applyFill="1" applyBorder="1" applyAlignment="1">
      <alignment horizontal="right" vertical="center"/>
    </xf>
    <xf numFmtId="0" fontId="15" fillId="6" borderId="6" xfId="0" applyFont="1" applyFill="1" applyBorder="1" applyAlignment="1">
      <alignment horizontal="right" vertical="center"/>
    </xf>
    <xf numFmtId="0" fontId="0" fillId="5" borderId="0" xfId="0" applyFill="1" applyAlignment="1">
      <alignment vertical="center"/>
    </xf>
    <xf numFmtId="0" fontId="15" fillId="7" borderId="5"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6" xfId="0" applyFont="1" applyFill="1" applyBorder="1" applyAlignment="1">
      <alignment horizontal="center" vertical="center"/>
    </xf>
    <xf numFmtId="0" fontId="15" fillId="9" borderId="5" xfId="0" applyFont="1" applyFill="1" applyBorder="1" applyAlignment="1">
      <alignment horizontal="center" vertical="center"/>
    </xf>
    <xf numFmtId="0" fontId="15" fillId="9" borderId="4" xfId="0" applyFont="1" applyFill="1" applyBorder="1" applyAlignment="1">
      <alignment horizontal="center" vertical="center"/>
    </xf>
    <xf numFmtId="0" fontId="15" fillId="9" borderId="6" xfId="0" applyFont="1" applyFill="1" applyBorder="1" applyAlignment="1">
      <alignment horizontal="center" vertical="center"/>
    </xf>
    <xf numFmtId="0" fontId="0" fillId="10" borderId="0" xfId="0" applyFill="1"/>
    <xf numFmtId="0" fontId="0" fillId="10" borderId="0" xfId="0" applyFill="1" applyAlignment="1">
      <alignment horizontal="center"/>
    </xf>
    <xf numFmtId="0" fontId="7" fillId="0" borderId="0" xfId="0" applyFont="1" applyAlignment="1">
      <alignment horizontal="center"/>
    </xf>
    <xf numFmtId="0" fontId="23" fillId="0" borderId="0" xfId="0" applyFont="1" applyAlignment="1">
      <alignment horizontal="center"/>
    </xf>
    <xf numFmtId="0" fontId="23" fillId="0" borderId="0" xfId="0" applyFont="1"/>
    <xf numFmtId="0" fontId="22" fillId="0" borderId="0" xfId="0" applyFont="1" applyAlignment="1">
      <alignment horizontal="center"/>
    </xf>
    <xf numFmtId="3" fontId="2" fillId="3" borderId="0" xfId="0" applyNumberFormat="1" applyFont="1" applyFill="1"/>
    <xf numFmtId="3" fontId="2" fillId="0" borderId="0" xfId="0" applyNumberFormat="1" applyFont="1"/>
    <xf numFmtId="3" fontId="2" fillId="3" borderId="0" xfId="0" applyNumberFormat="1" applyFont="1" applyFill="1" applyAlignment="1">
      <alignment vertical="center"/>
    </xf>
    <xf numFmtId="3" fontId="2" fillId="0" borderId="0" xfId="0" applyNumberFormat="1" applyFont="1" applyAlignment="1">
      <alignment vertical="center"/>
    </xf>
    <xf numFmtId="0" fontId="8" fillId="0" borderId="0" xfId="0" applyFont="1" applyAlignment="1">
      <alignment horizontal="left"/>
    </xf>
    <xf numFmtId="0" fontId="7" fillId="0" borderId="7" xfId="0" applyFont="1" applyBorder="1" applyAlignment="1">
      <alignment horizontal="center" vertical="center"/>
    </xf>
    <xf numFmtId="0" fontId="31" fillId="0" borderId="0" xfId="0" applyFont="1" applyAlignment="1">
      <alignment horizontal="center"/>
    </xf>
    <xf numFmtId="0" fontId="0" fillId="0" borderId="0" xfId="0" applyAlignment="1">
      <alignment vertical="center"/>
    </xf>
    <xf numFmtId="0" fontId="0" fillId="10" borderId="0" xfId="0" applyFill="1" applyAlignment="1">
      <alignment vertical="center"/>
    </xf>
    <xf numFmtId="0" fontId="7" fillId="0" borderId="8" xfId="0" applyFont="1" applyBorder="1" applyAlignment="1">
      <alignment horizontal="center" vertical="center"/>
    </xf>
    <xf numFmtId="0" fontId="35" fillId="0" borderId="9" xfId="0" applyFont="1" applyBorder="1" applyAlignment="1">
      <alignment horizontal="center" vertical="center" wrapText="1"/>
    </xf>
    <xf numFmtId="169" fontId="20" fillId="0" borderId="0" xfId="0" applyNumberFormat="1" applyFont="1"/>
    <xf numFmtId="0" fontId="37" fillId="0" borderId="1" xfId="0" applyFont="1" applyBorder="1" applyAlignment="1">
      <alignment horizontal="center" vertical="center" wrapText="1"/>
    </xf>
    <xf numFmtId="0" fontId="7" fillId="0" borderId="9" xfId="0" applyFont="1" applyBorder="1" applyAlignment="1">
      <alignment horizontal="center" vertical="center"/>
    </xf>
    <xf numFmtId="0" fontId="2" fillId="0" borderId="10" xfId="0" applyFont="1" applyBorder="1" applyAlignment="1">
      <alignment horizontal="center"/>
    </xf>
    <xf numFmtId="0" fontId="2" fillId="0" borderId="7" xfId="0" applyFont="1" applyBorder="1" applyAlignment="1">
      <alignment horizontal="center"/>
    </xf>
    <xf numFmtId="169" fontId="2" fillId="0" borderId="0" xfId="0" applyNumberFormat="1" applyFont="1" applyAlignment="1">
      <alignment horizontal="center"/>
    </xf>
    <xf numFmtId="169" fontId="2" fillId="0" borderId="11" xfId="0" applyNumberFormat="1" applyFont="1" applyBorder="1" applyAlignment="1">
      <alignment horizontal="center"/>
    </xf>
    <xf numFmtId="169" fontId="2" fillId="0" borderId="8" xfId="0" applyNumberFormat="1" applyFont="1" applyBorder="1" applyAlignment="1">
      <alignment horizontal="center"/>
    </xf>
    <xf numFmtId="169" fontId="2" fillId="0" borderId="9" xfId="0" applyNumberFormat="1" applyFont="1" applyBorder="1" applyAlignment="1">
      <alignment horizontal="center"/>
    </xf>
    <xf numFmtId="0" fontId="2" fillId="4" borderId="12" xfId="0" applyFont="1" applyFill="1" applyBorder="1" applyAlignment="1">
      <alignment horizontal="left" vertical="center" indent="1"/>
    </xf>
    <xf numFmtId="0" fontId="29" fillId="4" borderId="13" xfId="1" applyFont="1" applyFill="1" applyBorder="1" applyAlignment="1" applyProtection="1">
      <alignment horizontal="left" vertical="center" indent="1"/>
    </xf>
    <xf numFmtId="0" fontId="7" fillId="0" borderId="0" xfId="0" applyFont="1" applyAlignment="1">
      <alignment horizontal="left" indent="1"/>
    </xf>
    <xf numFmtId="0" fontId="0" fillId="11" borderId="0" xfId="0" applyFill="1"/>
    <xf numFmtId="0" fontId="0" fillId="11" borderId="0" xfId="0" applyFill="1" applyAlignment="1">
      <alignment vertical="center"/>
    </xf>
    <xf numFmtId="0" fontId="12" fillId="11" borderId="0" xfId="0" applyFont="1" applyFill="1" applyAlignment="1">
      <alignment horizontal="left" vertical="center" indent="1"/>
    </xf>
    <xf numFmtId="0" fontId="12" fillId="11" borderId="0" xfId="0" applyFont="1" applyFill="1" applyAlignment="1">
      <alignment vertical="center"/>
    </xf>
    <xf numFmtId="0" fontId="12" fillId="11" borderId="0" xfId="0" applyFont="1" applyFill="1" applyAlignment="1">
      <alignment horizontal="left" vertical="center" wrapText="1" indent="3"/>
    </xf>
    <xf numFmtId="0" fontId="0" fillId="12" borderId="1" xfId="0" applyFill="1" applyBorder="1"/>
    <xf numFmtId="0" fontId="0" fillId="12" borderId="2" xfId="0" applyFill="1" applyBorder="1"/>
    <xf numFmtId="0" fontId="0" fillId="12" borderId="3" xfId="0" applyFill="1" applyBorder="1"/>
    <xf numFmtId="0" fontId="0" fillId="12" borderId="10" xfId="0" applyFill="1" applyBorder="1"/>
    <xf numFmtId="0" fontId="0" fillId="12" borderId="0" xfId="0" applyFill="1"/>
    <xf numFmtId="0" fontId="0" fillId="12" borderId="11" xfId="0" applyFill="1" applyBorder="1"/>
    <xf numFmtId="0" fontId="0" fillId="12" borderId="7" xfId="0" applyFill="1" applyBorder="1"/>
    <xf numFmtId="0" fontId="0" fillId="12" borderId="8" xfId="0" applyFill="1" applyBorder="1"/>
    <xf numFmtId="0" fontId="0" fillId="12" borderId="9" xfId="0" applyFill="1" applyBorder="1"/>
    <xf numFmtId="0" fontId="44" fillId="0" borderId="0" xfId="0" applyFont="1" applyAlignment="1">
      <alignment horizontal="center"/>
    </xf>
    <xf numFmtId="0" fontId="0" fillId="11" borderId="0" xfId="0" applyFill="1" applyAlignment="1" applyProtection="1">
      <alignment horizontal="center" vertical="center"/>
      <protection locked="0"/>
    </xf>
    <xf numFmtId="0" fontId="20" fillId="0" borderId="0" xfId="0" applyFont="1"/>
    <xf numFmtId="0" fontId="12" fillId="0" borderId="0" xfId="0" applyFont="1" applyAlignment="1">
      <alignment horizontal="left" indent="1"/>
    </xf>
    <xf numFmtId="0" fontId="46" fillId="0" borderId="0" xfId="0" applyFont="1" applyAlignment="1">
      <alignment horizontal="center" vertical="center"/>
    </xf>
    <xf numFmtId="0" fontId="0" fillId="0" borderId="0" xfId="0" applyAlignment="1">
      <alignment horizontal="left" vertical="center" indent="1"/>
    </xf>
    <xf numFmtId="0" fontId="0" fillId="0" borderId="8" xfId="0" applyBorder="1" applyAlignment="1">
      <alignment horizontal="left" vertical="center" indent="1"/>
    </xf>
    <xf numFmtId="0" fontId="46" fillId="0" borderId="8" xfId="0" applyFont="1" applyBorder="1" applyAlignment="1">
      <alignment horizontal="center" vertical="center"/>
    </xf>
    <xf numFmtId="0" fontId="2" fillId="0" borderId="8" xfId="0" applyFont="1" applyBorder="1" applyAlignment="1">
      <alignment horizontal="center"/>
    </xf>
    <xf numFmtId="3" fontId="2" fillId="3" borderId="0" xfId="0" applyNumberFormat="1" applyFont="1" applyFill="1" applyAlignment="1">
      <alignment horizontal="center" vertical="center"/>
    </xf>
    <xf numFmtId="3" fontId="53" fillId="3" borderId="0" xfId="0" applyNumberFormat="1" applyFont="1" applyFill="1"/>
    <xf numFmtId="3" fontId="2" fillId="3" borderId="0" xfId="0" applyNumberFormat="1" applyFont="1" applyFill="1" applyAlignment="1">
      <alignment horizontal="center"/>
    </xf>
    <xf numFmtId="3" fontId="2" fillId="0" borderId="0" xfId="0" applyNumberFormat="1" applyFont="1" applyAlignment="1">
      <alignment horizontal="center"/>
    </xf>
    <xf numFmtId="3" fontId="8" fillId="13" borderId="14" xfId="0" applyNumberFormat="1" applyFont="1" applyFill="1" applyBorder="1" applyAlignment="1">
      <alignment horizontal="center" vertical="center"/>
    </xf>
    <xf numFmtId="3" fontId="8" fillId="13" borderId="15" xfId="0" applyNumberFormat="1" applyFont="1" applyFill="1" applyBorder="1" applyAlignment="1">
      <alignment horizontal="center" vertical="center"/>
    </xf>
    <xf numFmtId="0" fontId="0" fillId="18" borderId="0" xfId="0" applyFill="1"/>
    <xf numFmtId="3" fontId="2" fillId="18" borderId="0" xfId="0" applyNumberFormat="1" applyFont="1" applyFill="1"/>
    <xf numFmtId="3" fontId="2" fillId="18" borderId="0" xfId="0" applyNumberFormat="1" applyFont="1" applyFill="1" applyAlignment="1">
      <alignment horizontal="center"/>
    </xf>
    <xf numFmtId="3" fontId="7" fillId="19" borderId="15" xfId="0" applyNumberFormat="1" applyFont="1" applyFill="1" applyBorder="1" applyAlignment="1">
      <alignment horizontal="center" vertical="center"/>
    </xf>
    <xf numFmtId="3" fontId="61" fillId="3" borderId="0" xfId="0" applyNumberFormat="1" applyFont="1" applyFill="1" applyAlignment="1">
      <alignment horizontal="center"/>
    </xf>
    <xf numFmtId="3" fontId="61" fillId="3" borderId="0" xfId="0" applyNumberFormat="1" applyFont="1" applyFill="1" applyAlignment="1">
      <alignment horizontal="center" vertical="center"/>
    </xf>
    <xf numFmtId="3" fontId="33" fillId="3" borderId="0" xfId="0" applyNumberFormat="1" applyFont="1" applyFill="1" applyAlignment="1">
      <alignment horizontal="center" vertical="center"/>
    </xf>
    <xf numFmtId="0" fontId="123" fillId="0" borderId="0" xfId="0" applyFont="1"/>
    <xf numFmtId="0" fontId="124" fillId="0" borderId="0" xfId="0" applyFont="1" applyAlignment="1">
      <alignment horizontal="center"/>
    </xf>
    <xf numFmtId="0" fontId="7" fillId="0" borderId="0" xfId="0" applyFont="1" applyAlignment="1">
      <alignment horizontal="right"/>
    </xf>
    <xf numFmtId="0" fontId="2" fillId="0" borderId="0" xfId="0" applyFont="1" applyAlignment="1">
      <alignment horizontal="right"/>
    </xf>
    <xf numFmtId="0" fontId="125" fillId="0" borderId="0" xfId="0" applyFont="1" applyAlignment="1">
      <alignment horizontal="center"/>
    </xf>
    <xf numFmtId="2" fontId="125" fillId="0" borderId="0" xfId="0" applyNumberFormat="1" applyFont="1" applyAlignment="1">
      <alignment horizontal="right"/>
    </xf>
    <xf numFmtId="3" fontId="2" fillId="18" borderId="0" xfId="0" applyNumberFormat="1" applyFont="1" applyFill="1" applyAlignment="1">
      <alignment horizontal="center" vertical="center"/>
    </xf>
    <xf numFmtId="3" fontId="125" fillId="0" borderId="0" xfId="0" applyNumberFormat="1" applyFont="1" applyAlignment="1">
      <alignment horizontal="center"/>
    </xf>
    <xf numFmtId="3" fontId="126" fillId="0" borderId="0" xfId="0" applyNumberFormat="1" applyFont="1" applyAlignment="1">
      <alignment horizontal="center"/>
    </xf>
    <xf numFmtId="0" fontId="127" fillId="0" borderId="0" xfId="0" applyFont="1"/>
    <xf numFmtId="3" fontId="33" fillId="3" borderId="16" xfId="0" applyNumberFormat="1" applyFont="1" applyFill="1" applyBorder="1" applyAlignment="1">
      <alignment horizontal="center" vertical="center"/>
    </xf>
    <xf numFmtId="49" fontId="63" fillId="20" borderId="17" xfId="0" applyNumberFormat="1" applyFont="1" applyFill="1" applyBorder="1" applyAlignment="1">
      <alignment horizontal="center" vertical="center"/>
    </xf>
    <xf numFmtId="49" fontId="63" fillId="21" borderId="17" xfId="0" applyNumberFormat="1" applyFont="1" applyFill="1" applyBorder="1" applyAlignment="1">
      <alignment horizontal="center" vertical="center"/>
    </xf>
    <xf numFmtId="3" fontId="33" fillId="20" borderId="17" xfId="0" applyNumberFormat="1" applyFont="1" applyFill="1" applyBorder="1" applyAlignment="1">
      <alignment horizontal="center" vertical="center"/>
    </xf>
    <xf numFmtId="168" fontId="67" fillId="18" borderId="0" xfId="0" applyNumberFormat="1" applyFont="1" applyFill="1" applyAlignment="1" applyProtection="1">
      <alignment vertical="center" shrinkToFit="1"/>
      <protection locked="0"/>
    </xf>
    <xf numFmtId="0" fontId="125" fillId="18" borderId="0" xfId="0" applyFont="1" applyFill="1"/>
    <xf numFmtId="0" fontId="0" fillId="18" borderId="0" xfId="0" applyFill="1" applyAlignment="1">
      <alignment vertical="center"/>
    </xf>
    <xf numFmtId="0" fontId="128" fillId="22" borderId="0" xfId="0" applyFont="1" applyFill="1" applyAlignment="1">
      <alignment horizontal="center" vertical="center"/>
    </xf>
    <xf numFmtId="49" fontId="61" fillId="18" borderId="18" xfId="0" applyNumberFormat="1" applyFont="1" applyFill="1" applyBorder="1" applyAlignment="1">
      <alignment horizontal="center" vertical="center"/>
    </xf>
    <xf numFmtId="3" fontId="7" fillId="23" borderId="15" xfId="0" applyNumberFormat="1" applyFont="1" applyFill="1" applyBorder="1" applyAlignment="1">
      <alignment horizontal="center" vertical="center"/>
    </xf>
    <xf numFmtId="49" fontId="61" fillId="18" borderId="19" xfId="0" applyNumberFormat="1" applyFont="1" applyFill="1" applyBorder="1" applyAlignment="1">
      <alignment horizontal="center" vertical="center"/>
    </xf>
    <xf numFmtId="3" fontId="2" fillId="23" borderId="14" xfId="0" applyNumberFormat="1" applyFont="1" applyFill="1" applyBorder="1" applyAlignment="1">
      <alignment horizontal="center" vertical="center"/>
    </xf>
    <xf numFmtId="49" fontId="64" fillId="18" borderId="17" xfId="0" applyNumberFormat="1" applyFont="1" applyFill="1" applyBorder="1" applyAlignment="1">
      <alignment horizontal="center" vertical="center"/>
    </xf>
    <xf numFmtId="49" fontId="61" fillId="18" borderId="16" xfId="0" applyNumberFormat="1" applyFont="1" applyFill="1" applyBorder="1" applyAlignment="1">
      <alignment horizontal="center" vertical="center"/>
    </xf>
    <xf numFmtId="49" fontId="61" fillId="18" borderId="20" xfId="0" applyNumberFormat="1" applyFont="1" applyFill="1" applyBorder="1" applyAlignment="1">
      <alignment horizontal="center" vertical="center"/>
    </xf>
    <xf numFmtId="3" fontId="7" fillId="19" borderId="14" xfId="0" applyNumberFormat="1" applyFont="1" applyFill="1" applyBorder="1" applyAlignment="1">
      <alignment horizontal="center" vertical="center"/>
    </xf>
    <xf numFmtId="49" fontId="64" fillId="18" borderId="21" xfId="0" applyNumberFormat="1" applyFont="1" applyFill="1" applyBorder="1" applyAlignment="1">
      <alignment horizontal="center" vertical="center"/>
    </xf>
    <xf numFmtId="0" fontId="128" fillId="22" borderId="0" xfId="0" applyFont="1" applyFill="1" applyAlignment="1">
      <alignment horizontal="center" vertical="center" wrapText="1"/>
    </xf>
    <xf numFmtId="0" fontId="12" fillId="0" borderId="0" xfId="0" applyFont="1"/>
    <xf numFmtId="0" fontId="31" fillId="3" borderId="0" xfId="0" applyFont="1" applyFill="1" applyAlignment="1">
      <alignment horizontal="center" vertical="center"/>
    </xf>
    <xf numFmtId="49" fontId="63" fillId="21" borderId="22" xfId="0" applyNumberFormat="1" applyFont="1" applyFill="1" applyBorder="1" applyAlignment="1">
      <alignment horizontal="center" vertical="center"/>
    </xf>
    <xf numFmtId="3" fontId="33" fillId="18" borderId="0" xfId="0" applyNumberFormat="1" applyFont="1" applyFill="1" applyAlignment="1">
      <alignment horizontal="center" vertical="center"/>
    </xf>
    <xf numFmtId="0" fontId="62" fillId="0" borderId="0" xfId="0" applyFont="1" applyAlignment="1">
      <alignment horizontal="center" vertical="center"/>
    </xf>
    <xf numFmtId="3" fontId="62" fillId="0" borderId="0" xfId="0" applyNumberFormat="1" applyFont="1" applyAlignment="1">
      <alignment horizontal="center" vertical="center"/>
    </xf>
    <xf numFmtId="0" fontId="79" fillId="18" borderId="0" xfId="0" applyFont="1" applyFill="1" applyAlignment="1">
      <alignment vertical="center"/>
    </xf>
    <xf numFmtId="3" fontId="4" fillId="18" borderId="0" xfId="0" applyNumberFormat="1" applyFont="1" applyFill="1" applyAlignment="1">
      <alignment horizontal="left" vertical="center" wrapText="1" indent="3"/>
    </xf>
    <xf numFmtId="168" fontId="68" fillId="18" borderId="0" xfId="0" applyNumberFormat="1" applyFont="1" applyFill="1" applyAlignment="1">
      <alignment vertical="center" shrinkToFit="1"/>
    </xf>
    <xf numFmtId="3" fontId="7" fillId="24" borderId="23" xfId="0" applyNumberFormat="1" applyFont="1" applyFill="1" applyBorder="1" applyAlignment="1">
      <alignment horizontal="left" vertical="center" wrapText="1" indent="1"/>
    </xf>
    <xf numFmtId="3" fontId="7" fillId="24" borderId="4" xfId="0" applyNumberFormat="1" applyFont="1" applyFill="1" applyBorder="1" applyAlignment="1">
      <alignment horizontal="left" vertical="center" wrapText="1" indent="1"/>
    </xf>
    <xf numFmtId="49" fontId="61" fillId="18" borderId="0" xfId="0" applyNumberFormat="1" applyFont="1" applyFill="1" applyAlignment="1">
      <alignment horizontal="center" vertical="center"/>
    </xf>
    <xf numFmtId="168" fontId="68" fillId="18" borderId="0" xfId="0" applyNumberFormat="1" applyFont="1" applyFill="1" applyAlignment="1" applyProtection="1">
      <alignment vertical="center" shrinkToFit="1"/>
      <protection locked="0"/>
    </xf>
    <xf numFmtId="3" fontId="2" fillId="18" borderId="0" xfId="0" applyNumberFormat="1" applyFont="1" applyFill="1" applyAlignment="1">
      <alignment vertical="center"/>
    </xf>
    <xf numFmtId="49" fontId="61" fillId="21" borderId="0" xfId="0" applyNumberFormat="1" applyFont="1" applyFill="1" applyAlignment="1">
      <alignment horizontal="center" vertical="center"/>
    </xf>
    <xf numFmtId="168" fontId="67" fillId="21" borderId="0" xfId="0" applyNumberFormat="1" applyFont="1" applyFill="1" applyAlignment="1" applyProtection="1">
      <alignment vertical="center" shrinkToFit="1"/>
      <protection locked="0"/>
    </xf>
    <xf numFmtId="168" fontId="68" fillId="21" borderId="0" xfId="0" applyNumberFormat="1" applyFont="1" applyFill="1" applyAlignment="1">
      <alignment vertical="center" shrinkToFit="1"/>
    </xf>
    <xf numFmtId="168" fontId="68" fillId="21" borderId="0" xfId="0" applyNumberFormat="1" applyFont="1" applyFill="1" applyAlignment="1" applyProtection="1">
      <alignment vertical="center" shrinkToFit="1"/>
      <protection locked="0"/>
    </xf>
    <xf numFmtId="49" fontId="33" fillId="18" borderId="0" xfId="0" applyNumberFormat="1" applyFont="1" applyFill="1" applyAlignment="1">
      <alignment horizontal="center" vertical="center"/>
    </xf>
    <xf numFmtId="3" fontId="2" fillId="3" borderId="24" xfId="0" applyNumberFormat="1" applyFont="1" applyFill="1" applyBorder="1" applyAlignment="1">
      <alignment vertical="center"/>
    </xf>
    <xf numFmtId="3" fontId="129" fillId="25" borderId="25" xfId="0" applyNumberFormat="1" applyFont="1" applyFill="1" applyBorder="1" applyAlignment="1">
      <alignment horizontal="center" vertical="center" wrapText="1"/>
    </xf>
    <xf numFmtId="0" fontId="51" fillId="24" borderId="26" xfId="0" applyFont="1" applyFill="1" applyBorder="1" applyAlignment="1">
      <alignment horizontal="left" vertical="center" wrapText="1"/>
    </xf>
    <xf numFmtId="0" fontId="51" fillId="24" borderId="27" xfId="0" applyFont="1" applyFill="1" applyBorder="1" applyAlignment="1">
      <alignment horizontal="left" vertical="center" wrapText="1"/>
    </xf>
    <xf numFmtId="0" fontId="51" fillId="24" borderId="28" xfId="0" applyFont="1" applyFill="1" applyBorder="1" applyAlignment="1">
      <alignment horizontal="left" vertical="center" wrapText="1"/>
    </xf>
    <xf numFmtId="3" fontId="4" fillId="21" borderId="0" xfId="0" applyNumberFormat="1" applyFont="1" applyFill="1" applyAlignment="1">
      <alignment horizontal="left" vertical="center" wrapText="1" indent="3"/>
    </xf>
    <xf numFmtId="3" fontId="59" fillId="18" borderId="0" xfId="0" applyNumberFormat="1" applyFont="1" applyFill="1" applyAlignment="1">
      <alignment horizontal="left" indent="1"/>
    </xf>
    <xf numFmtId="168" fontId="16" fillId="24" borderId="29" xfId="0" applyNumberFormat="1" applyFont="1" applyFill="1" applyBorder="1" applyAlignment="1">
      <alignment horizontal="right" vertical="center" shrinkToFit="1"/>
    </xf>
    <xf numFmtId="0" fontId="78" fillId="3" borderId="0" xfId="1" applyFont="1" applyFill="1" applyAlignment="1" applyProtection="1">
      <alignment horizontal="centerContinuous"/>
    </xf>
    <xf numFmtId="3" fontId="129" fillId="25" borderId="30" xfId="0" applyNumberFormat="1" applyFont="1" applyFill="1" applyBorder="1" applyAlignment="1">
      <alignment horizontal="center" vertical="center" wrapText="1"/>
    </xf>
    <xf numFmtId="3" fontId="2" fillId="18" borderId="0" xfId="0" applyNumberFormat="1" applyFont="1" applyFill="1" applyAlignment="1">
      <alignment horizontal="centerContinuous"/>
    </xf>
    <xf numFmtId="3" fontId="31" fillId="18" borderId="0" xfId="0" applyNumberFormat="1" applyFont="1" applyFill="1" applyAlignment="1">
      <alignment horizontal="centerContinuous"/>
    </xf>
    <xf numFmtId="0" fontId="80" fillId="3" borderId="0" xfId="1" applyFont="1" applyFill="1" applyAlignment="1" applyProtection="1">
      <alignment horizontal="centerContinuous"/>
    </xf>
    <xf numFmtId="0" fontId="61" fillId="18" borderId="0" xfId="0" applyFont="1" applyFill="1" applyAlignment="1">
      <alignment horizontal="center" vertical="center"/>
    </xf>
    <xf numFmtId="49" fontId="2" fillId="18" borderId="0" xfId="0" applyNumberFormat="1" applyFont="1" applyFill="1" applyAlignment="1">
      <alignment horizontal="center" vertical="center"/>
    </xf>
    <xf numFmtId="168" fontId="2" fillId="18" borderId="0" xfId="0" applyNumberFormat="1" applyFont="1" applyFill="1" applyAlignment="1">
      <alignment vertical="center"/>
    </xf>
    <xf numFmtId="3" fontId="130" fillId="18" borderId="0" xfId="0" applyNumberFormat="1" applyFont="1" applyFill="1" applyAlignment="1">
      <alignment horizontal="centerContinuous" vertical="center" wrapText="1"/>
    </xf>
    <xf numFmtId="168" fontId="2" fillId="18" borderId="0" xfId="0" applyNumberFormat="1" applyFont="1" applyFill="1" applyAlignment="1">
      <alignment horizontal="centerContinuous" vertical="center"/>
    </xf>
    <xf numFmtId="3" fontId="68" fillId="18" borderId="0" xfId="0" applyNumberFormat="1" applyFont="1" applyFill="1" applyAlignment="1">
      <alignment horizontal="centerContinuous"/>
    </xf>
    <xf numFmtId="3" fontId="65" fillId="18" borderId="0" xfId="0" applyNumberFormat="1" applyFont="1" applyFill="1" applyAlignment="1">
      <alignment horizontal="centerContinuous"/>
    </xf>
    <xf numFmtId="0" fontId="81" fillId="3" borderId="0" xfId="1" applyFont="1" applyFill="1" applyAlignment="1" applyProtection="1">
      <alignment horizontal="centerContinuous"/>
    </xf>
    <xf numFmtId="3" fontId="52" fillId="26" borderId="0" xfId="0" applyNumberFormat="1" applyFont="1" applyFill="1" applyAlignment="1">
      <alignment horizontal="left" indent="1"/>
    </xf>
    <xf numFmtId="3" fontId="2" fillId="26" borderId="0" xfId="0" applyNumberFormat="1" applyFont="1" applyFill="1"/>
    <xf numFmtId="3" fontId="130" fillId="18" borderId="0" xfId="0" applyNumberFormat="1" applyFont="1" applyFill="1" applyAlignment="1">
      <alignment horizontal="left" vertical="center" wrapText="1" indent="6"/>
    </xf>
    <xf numFmtId="49" fontId="123" fillId="27" borderId="0" xfId="0" applyNumberFormat="1" applyFont="1" applyFill="1" applyAlignment="1">
      <alignment horizontal="center" vertical="center"/>
    </xf>
    <xf numFmtId="3" fontId="124" fillId="27" borderId="0" xfId="0" applyNumberFormat="1" applyFont="1" applyFill="1" applyAlignment="1">
      <alignment horizontal="left" vertical="center" wrapText="1" indent="6"/>
    </xf>
    <xf numFmtId="168" fontId="123" fillId="27" borderId="0" xfId="0" applyNumberFormat="1" applyFont="1" applyFill="1" applyAlignment="1">
      <alignment vertical="center"/>
    </xf>
    <xf numFmtId="0" fontId="73" fillId="3" borderId="0" xfId="1" applyFont="1" applyFill="1" applyAlignment="1" applyProtection="1">
      <alignment horizontal="centerContinuous"/>
    </xf>
    <xf numFmtId="3" fontId="2" fillId="28" borderId="0" xfId="0" applyNumberFormat="1" applyFont="1" applyFill="1" applyAlignment="1">
      <alignment horizontal="center"/>
    </xf>
    <xf numFmtId="3" fontId="52" fillId="28" borderId="0" xfId="0" applyNumberFormat="1" applyFont="1" applyFill="1" applyAlignment="1">
      <alignment horizontal="left" indent="1"/>
    </xf>
    <xf numFmtId="3" fontId="2" fillId="28" borderId="0" xfId="0" applyNumberFormat="1" applyFont="1" applyFill="1"/>
    <xf numFmtId="3" fontId="14" fillId="18" borderId="0" xfId="0" applyNumberFormat="1" applyFont="1" applyFill="1"/>
    <xf numFmtId="3" fontId="14" fillId="18" borderId="0" xfId="0" applyNumberFormat="1" applyFont="1" applyFill="1" applyAlignment="1">
      <alignment horizontal="center"/>
    </xf>
    <xf numFmtId="0" fontId="77" fillId="3" borderId="0" xfId="1" applyFont="1" applyFill="1" applyAlignment="1" applyProtection="1">
      <alignment horizontal="centerContinuous" wrapText="1"/>
    </xf>
    <xf numFmtId="3" fontId="41" fillId="18" borderId="0" xfId="0" applyNumberFormat="1" applyFont="1" applyFill="1"/>
    <xf numFmtId="0" fontId="12" fillId="18" borderId="0" xfId="0" applyFont="1" applyFill="1" applyAlignment="1">
      <alignment horizontal="left"/>
    </xf>
    <xf numFmtId="0" fontId="12" fillId="18" borderId="0" xfId="0" applyFont="1" applyFill="1" applyAlignment="1">
      <alignment horizontal="center"/>
    </xf>
    <xf numFmtId="0" fontId="77" fillId="28" borderId="0" xfId="1" applyFont="1" applyFill="1" applyAlignment="1" applyProtection="1">
      <alignment horizontal="centerContinuous" wrapText="1"/>
    </xf>
    <xf numFmtId="0" fontId="12" fillId="0" borderId="0" xfId="5"/>
    <xf numFmtId="0" fontId="15" fillId="4" borderId="14" xfId="5" applyFont="1" applyFill="1" applyBorder="1" applyAlignment="1">
      <alignment horizontal="center" vertical="center"/>
    </xf>
    <xf numFmtId="0" fontId="20" fillId="4" borderId="15" xfId="5" applyFont="1" applyFill="1" applyBorder="1" applyAlignment="1">
      <alignment horizontal="center" vertical="center"/>
    </xf>
    <xf numFmtId="0" fontId="20" fillId="4" borderId="33" xfId="5" applyFont="1" applyFill="1" applyBorder="1" applyAlignment="1">
      <alignment horizontal="center" vertical="center"/>
    </xf>
    <xf numFmtId="0" fontId="20" fillId="4" borderId="34" xfId="5" applyFont="1" applyFill="1" applyBorder="1" applyAlignment="1">
      <alignment horizontal="center" vertical="center"/>
    </xf>
    <xf numFmtId="0" fontId="20" fillId="4" borderId="35" xfId="5" applyFont="1" applyFill="1" applyBorder="1" applyAlignment="1">
      <alignment horizontal="center" vertical="center" wrapText="1"/>
    </xf>
    <xf numFmtId="0" fontId="12" fillId="0" borderId="36" xfId="5" quotePrefix="1" applyBorder="1" applyAlignment="1">
      <alignment horizontal="center"/>
    </xf>
    <xf numFmtId="0" fontId="12" fillId="0" borderId="11" xfId="5" applyBorder="1" applyAlignment="1">
      <alignment horizontal="left" indent="1"/>
    </xf>
    <xf numFmtId="0" fontId="12" fillId="0" borderId="0" xfId="5" quotePrefix="1" applyAlignment="1">
      <alignment horizontal="left" indent="1"/>
    </xf>
    <xf numFmtId="0" fontId="12" fillId="0" borderId="37" xfId="5" quotePrefix="1" applyBorder="1" applyAlignment="1">
      <alignment horizontal="left" indent="1"/>
    </xf>
    <xf numFmtId="0" fontId="12" fillId="0" borderId="38" xfId="5" quotePrefix="1" applyBorder="1" applyAlignment="1">
      <alignment horizontal="left" indent="1"/>
    </xf>
    <xf numFmtId="0" fontId="12" fillId="0" borderId="0" xfId="5" applyAlignment="1">
      <alignment horizontal="left" indent="1"/>
    </xf>
    <xf numFmtId="0" fontId="12" fillId="0" borderId="38" xfId="5" applyBorder="1" applyAlignment="1">
      <alignment horizontal="left" indent="1"/>
    </xf>
    <xf numFmtId="0" fontId="82" fillId="3" borderId="39" xfId="0" applyFont="1" applyFill="1" applyBorder="1" applyAlignment="1">
      <alignment horizontal="left" vertical="center" indent="1"/>
    </xf>
    <xf numFmtId="0" fontId="79" fillId="18" borderId="24" xfId="0" applyFont="1" applyFill="1" applyBorder="1" applyAlignment="1">
      <alignment horizontal="left" vertical="center" indent="1"/>
    </xf>
    <xf numFmtId="0" fontId="79" fillId="18" borderId="40" xfId="0" applyFont="1" applyFill="1" applyBorder="1" applyAlignment="1">
      <alignment horizontal="left" vertical="center" indent="1"/>
    </xf>
    <xf numFmtId="3" fontId="2" fillId="3" borderId="41" xfId="0" applyNumberFormat="1" applyFont="1" applyFill="1" applyBorder="1"/>
    <xf numFmtId="3" fontId="2" fillId="3" borderId="42" xfId="0" applyNumberFormat="1" applyFont="1" applyFill="1" applyBorder="1"/>
    <xf numFmtId="3" fontId="2" fillId="3" borderId="43" xfId="0" applyNumberFormat="1" applyFont="1" applyFill="1" applyBorder="1"/>
    <xf numFmtId="3" fontId="2" fillId="3" borderId="44" xfId="0" applyNumberFormat="1" applyFont="1" applyFill="1" applyBorder="1"/>
    <xf numFmtId="3" fontId="131" fillId="29" borderId="45" xfId="0" quotePrefix="1" applyNumberFormat="1" applyFont="1" applyFill="1" applyBorder="1" applyAlignment="1">
      <alignment horizontal="center" vertical="center"/>
    </xf>
    <xf numFmtId="3" fontId="131" fillId="29" borderId="46" xfId="0" quotePrefix="1" applyNumberFormat="1" applyFont="1" applyFill="1" applyBorder="1" applyAlignment="1">
      <alignment horizontal="center" vertical="center"/>
    </xf>
    <xf numFmtId="3" fontId="131" fillId="29" borderId="47" xfId="0" quotePrefix="1" applyNumberFormat="1" applyFont="1" applyFill="1" applyBorder="1" applyAlignment="1">
      <alignment horizontal="center" vertical="center"/>
    </xf>
    <xf numFmtId="3" fontId="131" fillId="29" borderId="48" xfId="0" quotePrefix="1" applyNumberFormat="1" applyFont="1" applyFill="1" applyBorder="1" applyAlignment="1">
      <alignment horizontal="center" vertical="center"/>
    </xf>
    <xf numFmtId="3" fontId="129" fillId="29" borderId="23" xfId="0" applyNumberFormat="1" applyFont="1" applyFill="1" applyBorder="1" applyAlignment="1">
      <alignment vertical="center"/>
    </xf>
    <xf numFmtId="3" fontId="129" fillId="29" borderId="23" xfId="0" applyNumberFormat="1" applyFont="1" applyFill="1" applyBorder="1" applyAlignment="1">
      <alignment vertical="center" wrapText="1"/>
    </xf>
    <xf numFmtId="3" fontId="129" fillId="29" borderId="49" xfId="0" applyNumberFormat="1" applyFont="1" applyFill="1" applyBorder="1" applyAlignment="1">
      <alignment vertical="center" wrapText="1"/>
    </xf>
    <xf numFmtId="3" fontId="2" fillId="18" borderId="50" xfId="0" applyNumberFormat="1" applyFont="1" applyFill="1" applyBorder="1"/>
    <xf numFmtId="0" fontId="52" fillId="29" borderId="51" xfId="0" applyFont="1" applyFill="1" applyBorder="1" applyAlignment="1">
      <alignment horizontal="left" vertical="center" shrinkToFit="1"/>
    </xf>
    <xf numFmtId="0" fontId="52" fillId="29" borderId="52" xfId="0" applyFont="1" applyFill="1" applyBorder="1" applyAlignment="1">
      <alignment vertical="center" shrinkToFit="1"/>
    </xf>
    <xf numFmtId="167" fontId="6" fillId="18" borderId="41" xfId="0" applyNumberFormat="1" applyFont="1" applyFill="1" applyBorder="1" applyAlignment="1">
      <alignment vertical="center" shrinkToFit="1"/>
    </xf>
    <xf numFmtId="167" fontId="6" fillId="18" borderId="42" xfId="0" applyNumberFormat="1" applyFont="1" applyFill="1" applyBorder="1" applyAlignment="1">
      <alignment vertical="center" shrinkToFit="1"/>
    </xf>
    <xf numFmtId="3" fontId="4" fillId="29" borderId="53" xfId="0" applyNumberFormat="1" applyFont="1" applyFill="1" applyBorder="1" applyAlignment="1">
      <alignment horizontal="left" vertical="center" wrapText="1" indent="1"/>
    </xf>
    <xf numFmtId="3" fontId="132" fillId="29" borderId="53" xfId="0" applyNumberFormat="1" applyFont="1" applyFill="1" applyBorder="1" applyAlignment="1">
      <alignment horizontal="left" vertical="center" wrapText="1" indent="1"/>
    </xf>
    <xf numFmtId="3" fontId="132" fillId="29" borderId="53" xfId="0" applyNumberFormat="1" applyFont="1" applyFill="1" applyBorder="1" applyAlignment="1">
      <alignment horizontal="left" vertical="center" wrapText="1"/>
    </xf>
    <xf numFmtId="3" fontId="130" fillId="18" borderId="41" xfId="0" applyNumberFormat="1" applyFont="1" applyFill="1" applyBorder="1" applyAlignment="1">
      <alignment horizontal="left" vertical="center" wrapText="1" indent="6"/>
    </xf>
    <xf numFmtId="168" fontId="2" fillId="18" borderId="42" xfId="0" applyNumberFormat="1" applyFont="1" applyFill="1" applyBorder="1" applyAlignment="1">
      <alignment vertical="center"/>
    </xf>
    <xf numFmtId="3" fontId="130" fillId="18" borderId="50" xfId="0" applyNumberFormat="1" applyFont="1" applyFill="1" applyBorder="1" applyAlignment="1">
      <alignment horizontal="left" vertical="center" wrapText="1" indent="6"/>
    </xf>
    <xf numFmtId="168" fontId="2" fillId="18" borderId="44" xfId="0" applyNumberFormat="1" applyFont="1" applyFill="1" applyBorder="1" applyAlignment="1">
      <alignment vertical="center"/>
    </xf>
    <xf numFmtId="0" fontId="83" fillId="18" borderId="40" xfId="0" applyFont="1" applyFill="1" applyBorder="1" applyAlignment="1">
      <alignment horizontal="left" vertical="center" indent="1"/>
    </xf>
    <xf numFmtId="169" fontId="23" fillId="0" borderId="0" xfId="6" applyNumberFormat="1" applyFont="1" applyAlignment="1">
      <alignment horizontal="center"/>
    </xf>
    <xf numFmtId="0" fontId="23" fillId="0" borderId="0" xfId="6" applyFont="1" applyAlignment="1">
      <alignment horizontal="center"/>
    </xf>
    <xf numFmtId="0" fontId="2" fillId="3" borderId="0" xfId="6" applyFont="1" applyFill="1"/>
    <xf numFmtId="0" fontId="2" fillId="3" borderId="0" xfId="6" applyFont="1" applyFill="1" applyAlignment="1">
      <alignment vertical="center"/>
    </xf>
    <xf numFmtId="3" fontId="2" fillId="0" borderId="0" xfId="0" applyNumberFormat="1" applyFont="1" applyAlignment="1">
      <alignment horizontal="center" vertical="center"/>
    </xf>
    <xf numFmtId="0" fontId="4" fillId="29" borderId="53" xfId="0" applyFont="1" applyFill="1" applyBorder="1" applyAlignment="1">
      <alignment horizontal="left" vertical="center" wrapText="1" indent="1"/>
    </xf>
    <xf numFmtId="0" fontId="132" fillId="29" borderId="53" xfId="0" applyFont="1" applyFill="1" applyBorder="1" applyAlignment="1">
      <alignment horizontal="left" vertical="center" wrapText="1" indent="1"/>
    </xf>
    <xf numFmtId="3" fontId="129" fillId="29" borderId="23" xfId="0" applyNumberFormat="1" applyFont="1" applyFill="1" applyBorder="1" applyAlignment="1">
      <alignment horizontal="left" vertical="center" indent="1"/>
    </xf>
    <xf numFmtId="0" fontId="8" fillId="25" borderId="48" xfId="1" applyFont="1" applyFill="1" applyBorder="1" applyAlignment="1" applyProtection="1">
      <alignment horizontal="center" vertical="center"/>
    </xf>
    <xf numFmtId="0" fontId="55" fillId="25" borderId="24" xfId="0" applyFont="1" applyFill="1" applyBorder="1" applyAlignment="1">
      <alignment vertical="center"/>
    </xf>
    <xf numFmtId="0" fontId="79" fillId="18" borderId="0" xfId="0" applyFont="1" applyFill="1" applyAlignment="1">
      <alignment horizontal="left" vertical="center" indent="1"/>
    </xf>
    <xf numFmtId="168" fontId="16" fillId="24" borderId="54" xfId="0" applyNumberFormat="1" applyFont="1" applyFill="1" applyBorder="1" applyAlignment="1">
      <alignment horizontal="right" vertical="center" shrinkToFit="1"/>
    </xf>
    <xf numFmtId="170" fontId="88" fillId="3" borderId="0" xfId="1" applyNumberFormat="1" applyFont="1" applyFill="1" applyBorder="1" applyAlignment="1" applyProtection="1">
      <alignment horizontal="centerContinuous" vertical="center"/>
    </xf>
    <xf numFmtId="170" fontId="133" fillId="3" borderId="0" xfId="1" applyNumberFormat="1" applyFont="1" applyFill="1" applyBorder="1" applyAlignment="1" applyProtection="1">
      <alignment horizontal="centerContinuous" vertical="center"/>
    </xf>
    <xf numFmtId="169" fontId="23" fillId="0" borderId="1" xfId="6" applyNumberFormat="1" applyFont="1" applyBorder="1" applyAlignment="1">
      <alignment horizontal="center"/>
    </xf>
    <xf numFmtId="0" fontId="23" fillId="0" borderId="2" xfId="6" applyFont="1" applyBorder="1" applyAlignment="1">
      <alignment horizontal="center"/>
    </xf>
    <xf numFmtId="169" fontId="23" fillId="0" borderId="3" xfId="6" applyNumberFormat="1" applyFont="1" applyBorder="1" applyAlignment="1">
      <alignment horizontal="center"/>
    </xf>
    <xf numFmtId="169" fontId="23" fillId="0" borderId="7" xfId="6" applyNumberFormat="1" applyFont="1" applyBorder="1" applyAlignment="1">
      <alignment horizontal="center"/>
    </xf>
    <xf numFmtId="0" fontId="23" fillId="0" borderId="8" xfId="6" applyFont="1" applyBorder="1" applyAlignment="1">
      <alignment horizontal="center"/>
    </xf>
    <xf numFmtId="169" fontId="23" fillId="0" borderId="9" xfId="6" applyNumberFormat="1" applyFont="1" applyBorder="1" applyAlignment="1">
      <alignment horizontal="center"/>
    </xf>
    <xf numFmtId="3" fontId="129" fillId="18" borderId="9" xfId="0" applyNumberFormat="1" applyFont="1" applyFill="1" applyBorder="1" applyAlignment="1">
      <alignment horizontal="center" vertical="center" wrapText="1"/>
    </xf>
    <xf numFmtId="3" fontId="129" fillId="18" borderId="13" xfId="0" applyNumberFormat="1" applyFont="1" applyFill="1" applyBorder="1" applyAlignment="1">
      <alignment horizontal="center" vertical="center" wrapText="1"/>
    </xf>
    <xf numFmtId="3" fontId="129" fillId="18" borderId="26" xfId="0" applyNumberFormat="1" applyFont="1" applyFill="1" applyBorder="1" applyAlignment="1">
      <alignment horizontal="center" vertical="center" wrapText="1"/>
    </xf>
    <xf numFmtId="0" fontId="0" fillId="25" borderId="55" xfId="0" applyFill="1" applyBorder="1" applyAlignment="1">
      <alignment vertical="center"/>
    </xf>
    <xf numFmtId="0" fontId="7" fillId="29" borderId="56" xfId="0" applyFont="1" applyFill="1" applyBorder="1" applyAlignment="1">
      <alignment horizontal="left" vertical="center" indent="1"/>
    </xf>
    <xf numFmtId="0" fontId="61" fillId="0" borderId="57" xfId="0" applyFont="1" applyBorder="1" applyAlignment="1">
      <alignment horizontal="left" vertical="center" indent="1"/>
    </xf>
    <xf numFmtId="0" fontId="61" fillId="24" borderId="58" xfId="0" applyFont="1" applyFill="1" applyBorder="1" applyAlignment="1">
      <alignment horizontal="left" vertical="center" indent="1"/>
    </xf>
    <xf numFmtId="3" fontId="62" fillId="0" borderId="0" xfId="0" applyNumberFormat="1" applyFont="1" applyAlignment="1">
      <alignment horizontal="left" vertical="center" indent="1"/>
    </xf>
    <xf numFmtId="0" fontId="61" fillId="29" borderId="59" xfId="0" applyFont="1" applyFill="1" applyBorder="1" applyAlignment="1">
      <alignment horizontal="left" vertical="center" indent="1"/>
    </xf>
    <xf numFmtId="0" fontId="61" fillId="0" borderId="59" xfId="0" applyFont="1" applyBorder="1" applyAlignment="1">
      <alignment horizontal="left" vertical="center" indent="1"/>
    </xf>
    <xf numFmtId="0" fontId="61" fillId="3" borderId="59" xfId="0" applyFont="1" applyFill="1" applyBorder="1" applyAlignment="1">
      <alignment horizontal="left" vertical="center" indent="1"/>
    </xf>
    <xf numFmtId="0" fontId="61" fillId="3" borderId="57" xfId="0" applyFont="1" applyFill="1" applyBorder="1" applyAlignment="1">
      <alignment horizontal="left" vertical="center" indent="1"/>
    </xf>
    <xf numFmtId="0" fontId="61" fillId="29" borderId="60" xfId="0" applyFont="1" applyFill="1" applyBorder="1" applyAlignment="1">
      <alignment horizontal="left" vertical="center" indent="1"/>
    </xf>
    <xf numFmtId="0" fontId="66" fillId="24" borderId="58" xfId="0" applyFont="1" applyFill="1" applyBorder="1" applyAlignment="1">
      <alignment horizontal="left" vertical="center" indent="1"/>
    </xf>
    <xf numFmtId="0" fontId="66" fillId="24" borderId="61" xfId="0" applyFont="1" applyFill="1" applyBorder="1" applyAlignment="1">
      <alignment horizontal="left" vertical="center" indent="1"/>
    </xf>
    <xf numFmtId="0" fontId="66" fillId="29" borderId="60" xfId="0" applyFont="1" applyFill="1" applyBorder="1" applyAlignment="1">
      <alignment horizontal="left" vertical="center" indent="1"/>
    </xf>
    <xf numFmtId="3" fontId="61" fillId="3" borderId="0" xfId="0" applyNumberFormat="1" applyFont="1" applyFill="1" applyAlignment="1">
      <alignment horizontal="left" vertical="center" indent="1"/>
    </xf>
    <xf numFmtId="3" fontId="61" fillId="3" borderId="0" xfId="0" applyNumberFormat="1" applyFont="1" applyFill="1" applyAlignment="1">
      <alignment vertical="center"/>
    </xf>
    <xf numFmtId="3" fontId="61" fillId="0" borderId="0" xfId="0" applyNumberFormat="1" applyFont="1" applyAlignment="1">
      <alignment vertical="center"/>
    </xf>
    <xf numFmtId="49" fontId="61" fillId="21" borderId="62" xfId="0" applyNumberFormat="1" applyFont="1" applyFill="1" applyBorder="1" applyAlignment="1">
      <alignment horizontal="left" vertical="center" indent="1"/>
    </xf>
    <xf numFmtId="0" fontId="66" fillId="24" borderId="63" xfId="0" applyFont="1" applyFill="1" applyBorder="1" applyAlignment="1">
      <alignment horizontal="left" vertical="center" indent="1"/>
    </xf>
    <xf numFmtId="3" fontId="61" fillId="3" borderId="0" xfId="0" applyNumberFormat="1" applyFont="1" applyFill="1"/>
    <xf numFmtId="3" fontId="63" fillId="13" borderId="14" xfId="0" applyNumberFormat="1" applyFont="1" applyFill="1" applyBorder="1" applyAlignment="1">
      <alignment horizontal="center" vertical="center"/>
    </xf>
    <xf numFmtId="3" fontId="63" fillId="13" borderId="15" xfId="0" applyNumberFormat="1" applyFont="1" applyFill="1" applyBorder="1" applyAlignment="1">
      <alignment horizontal="center" vertical="center"/>
    </xf>
    <xf numFmtId="3" fontId="61" fillId="0" borderId="0" xfId="0" applyNumberFormat="1" applyFont="1" applyAlignment="1">
      <alignment horizontal="center" vertical="center"/>
    </xf>
    <xf numFmtId="0" fontId="66" fillId="21" borderId="62" xfId="0" applyFont="1" applyFill="1" applyBorder="1" applyAlignment="1">
      <alignment horizontal="left" vertical="center" indent="1"/>
    </xf>
    <xf numFmtId="0" fontId="61" fillId="20" borderId="64" xfId="0" applyFont="1" applyFill="1" applyBorder="1" applyAlignment="1">
      <alignment horizontal="left" vertical="center" indent="1"/>
    </xf>
    <xf numFmtId="0" fontId="66" fillId="20" borderId="64" xfId="0" applyFont="1" applyFill="1" applyBorder="1" applyAlignment="1">
      <alignment horizontal="left" vertical="center" indent="1"/>
    </xf>
    <xf numFmtId="0" fontId="66" fillId="21" borderId="65" xfId="0" applyFont="1" applyFill="1" applyBorder="1" applyAlignment="1">
      <alignment horizontal="left" vertical="center" indent="1"/>
    </xf>
    <xf numFmtId="0" fontId="61" fillId="29" borderId="19" xfId="0" applyFont="1" applyFill="1" applyBorder="1" applyAlignment="1">
      <alignment horizontal="left" vertical="center" indent="1"/>
    </xf>
    <xf numFmtId="3" fontId="33" fillId="29" borderId="16" xfId="0" applyNumberFormat="1" applyFont="1" applyFill="1" applyBorder="1" applyAlignment="1">
      <alignment horizontal="center" vertical="center"/>
    </xf>
    <xf numFmtId="0" fontId="52" fillId="30" borderId="66" xfId="0" applyFont="1" applyFill="1" applyBorder="1" applyAlignment="1">
      <alignment horizontal="center" vertical="center"/>
    </xf>
    <xf numFmtId="49" fontId="61" fillId="18" borderId="19" xfId="0" applyNumberFormat="1" applyFont="1" applyFill="1" applyBorder="1" applyAlignment="1">
      <alignment horizontal="left" vertical="center" indent="1"/>
    </xf>
    <xf numFmtId="49" fontId="64" fillId="29" borderId="67" xfId="0" applyNumberFormat="1" applyFont="1" applyFill="1" applyBorder="1" applyAlignment="1">
      <alignment horizontal="left" vertical="center" indent="1"/>
    </xf>
    <xf numFmtId="49" fontId="64" fillId="29" borderId="62" xfId="0" applyNumberFormat="1" applyFont="1" applyFill="1" applyBorder="1" applyAlignment="1">
      <alignment horizontal="left" vertical="center" indent="1"/>
    </xf>
    <xf numFmtId="49" fontId="64" fillId="29" borderId="17" xfId="0" applyNumberFormat="1" applyFont="1" applyFill="1" applyBorder="1" applyAlignment="1">
      <alignment horizontal="center" vertical="center"/>
    </xf>
    <xf numFmtId="49" fontId="61" fillId="29" borderId="64" xfId="0" applyNumberFormat="1" applyFont="1" applyFill="1" applyBorder="1" applyAlignment="1">
      <alignment horizontal="center" vertical="center"/>
    </xf>
    <xf numFmtId="49" fontId="64" fillId="29" borderId="21" xfId="0" applyNumberFormat="1" applyFont="1" applyFill="1" applyBorder="1" applyAlignment="1">
      <alignment horizontal="center" vertical="center"/>
    </xf>
    <xf numFmtId="49" fontId="61" fillId="29" borderId="67" xfId="0" applyNumberFormat="1" applyFont="1" applyFill="1" applyBorder="1" applyAlignment="1">
      <alignment horizontal="center" vertical="center"/>
    </xf>
    <xf numFmtId="49" fontId="64" fillId="29" borderId="64" xfId="0" applyNumberFormat="1" applyFont="1" applyFill="1" applyBorder="1" applyAlignment="1">
      <alignment horizontal="left" vertical="center" indent="1"/>
    </xf>
    <xf numFmtId="0" fontId="55" fillId="25" borderId="39" xfId="0" applyFont="1" applyFill="1" applyBorder="1" applyAlignment="1">
      <alignment vertical="center" wrapText="1"/>
    </xf>
    <xf numFmtId="0" fontId="55" fillId="25" borderId="41" xfId="0" applyFont="1" applyFill="1" applyBorder="1" applyAlignment="1">
      <alignment vertical="center"/>
    </xf>
    <xf numFmtId="0" fontId="55" fillId="25" borderId="0" xfId="0" applyFont="1" applyFill="1" applyAlignment="1">
      <alignment vertical="center"/>
    </xf>
    <xf numFmtId="0" fontId="52" fillId="30" borderId="29" xfId="0" applyFont="1" applyFill="1" applyBorder="1" applyAlignment="1">
      <alignment horizontal="center" vertical="center"/>
    </xf>
    <xf numFmtId="0" fontId="61" fillId="18" borderId="59" xfId="0" applyFont="1" applyFill="1" applyBorder="1" applyAlignment="1">
      <alignment horizontal="left" vertical="center" indent="1"/>
    </xf>
    <xf numFmtId="0" fontId="61" fillId="18" borderId="57" xfId="0" applyFont="1" applyFill="1" applyBorder="1" applyAlignment="1">
      <alignment horizontal="left" vertical="center" indent="1"/>
    </xf>
    <xf numFmtId="3" fontId="65" fillId="30" borderId="45" xfId="0" applyNumberFormat="1" applyFont="1" applyFill="1" applyBorder="1" applyAlignment="1">
      <alignment horizontal="center" vertical="center"/>
    </xf>
    <xf numFmtId="0" fontId="7" fillId="19" borderId="14" xfId="0" applyFont="1" applyFill="1" applyBorder="1" applyAlignment="1">
      <alignment horizontal="center" vertical="center"/>
    </xf>
    <xf numFmtId="0" fontId="61" fillId="18" borderId="16" xfId="0" applyFont="1" applyFill="1" applyBorder="1" applyAlignment="1">
      <alignment horizontal="left" vertical="center" indent="1"/>
    </xf>
    <xf numFmtId="0" fontId="61" fillId="18" borderId="20" xfId="0" applyFont="1" applyFill="1" applyBorder="1" applyAlignment="1">
      <alignment horizontal="left" vertical="center" indent="1"/>
    </xf>
    <xf numFmtId="49" fontId="64" fillId="29" borderId="21" xfId="0" applyNumberFormat="1" applyFont="1" applyFill="1" applyBorder="1" applyAlignment="1">
      <alignment horizontal="left" vertical="center" indent="1"/>
    </xf>
    <xf numFmtId="0" fontId="64" fillId="29" borderId="17" xfId="0" applyFont="1" applyFill="1" applyBorder="1" applyAlignment="1">
      <alignment horizontal="left" vertical="center" indent="1"/>
    </xf>
    <xf numFmtId="49" fontId="64" fillId="29" borderId="17" xfId="0" applyNumberFormat="1" applyFont="1" applyFill="1" applyBorder="1" applyAlignment="1">
      <alignment horizontal="left" vertical="center" indent="1"/>
    </xf>
    <xf numFmtId="0" fontId="64" fillId="29" borderId="21" xfId="0" applyFont="1" applyFill="1" applyBorder="1" applyAlignment="1">
      <alignment horizontal="left" vertical="center" indent="1"/>
    </xf>
    <xf numFmtId="168" fontId="98" fillId="18" borderId="68" xfId="0" applyNumberFormat="1" applyFont="1" applyFill="1" applyBorder="1" applyAlignment="1" applyProtection="1">
      <alignment vertical="center" shrinkToFit="1"/>
      <protection locked="0"/>
    </xf>
    <xf numFmtId="168" fontId="98" fillId="18" borderId="69" xfId="0" applyNumberFormat="1" applyFont="1" applyFill="1" applyBorder="1" applyAlignment="1" applyProtection="1">
      <alignment vertical="center" shrinkToFit="1"/>
      <protection locked="0"/>
    </xf>
    <xf numFmtId="168" fontId="98" fillId="18" borderId="56" xfId="0" applyNumberFormat="1" applyFont="1" applyFill="1" applyBorder="1" applyAlignment="1" applyProtection="1">
      <alignment vertical="center" shrinkToFit="1"/>
      <protection locked="0"/>
    </xf>
    <xf numFmtId="168" fontId="98" fillId="18" borderId="70" xfId="0" applyNumberFormat="1" applyFont="1" applyFill="1" applyBorder="1" applyAlignment="1" applyProtection="1">
      <alignment vertical="center" shrinkToFit="1"/>
      <protection locked="0"/>
    </xf>
    <xf numFmtId="168" fontId="98" fillId="18" borderId="71" xfId="0" applyNumberFormat="1" applyFont="1" applyFill="1" applyBorder="1" applyAlignment="1" applyProtection="1">
      <alignment vertical="center" shrinkToFit="1"/>
      <protection locked="0"/>
    </xf>
    <xf numFmtId="168" fontId="98" fillId="18" borderId="50" xfId="0" applyNumberFormat="1" applyFont="1" applyFill="1" applyBorder="1" applyAlignment="1" applyProtection="1">
      <alignment vertical="center" shrinkToFit="1"/>
      <protection locked="0"/>
    </xf>
    <xf numFmtId="168" fontId="98" fillId="18" borderId="44" xfId="0" applyNumberFormat="1" applyFont="1" applyFill="1" applyBorder="1" applyAlignment="1" applyProtection="1">
      <alignment vertical="center" shrinkToFit="1"/>
      <protection locked="0"/>
    </xf>
    <xf numFmtId="0" fontId="134" fillId="31" borderId="0" xfId="0" applyFont="1" applyFill="1" applyAlignment="1">
      <alignment horizontal="left" vertical="center"/>
    </xf>
    <xf numFmtId="0" fontId="134" fillId="31" borderId="0" xfId="0" applyFont="1" applyFill="1" applyAlignment="1">
      <alignment horizontal="center" vertical="center"/>
    </xf>
    <xf numFmtId="0" fontId="135" fillId="31" borderId="0" xfId="0" quotePrefix="1" applyFont="1" applyFill="1" applyAlignment="1">
      <alignment horizontal="center" vertical="center"/>
    </xf>
    <xf numFmtId="168" fontId="98" fillId="18" borderId="68" xfId="0" applyNumberFormat="1" applyFont="1" applyFill="1" applyBorder="1" applyAlignment="1" applyProtection="1">
      <alignment horizontal="right" vertical="center" shrinkToFit="1"/>
      <protection locked="0"/>
    </xf>
    <xf numFmtId="168" fontId="98" fillId="18" borderId="69" xfId="0" applyNumberFormat="1" applyFont="1" applyFill="1" applyBorder="1" applyAlignment="1" applyProtection="1">
      <alignment horizontal="right" vertical="center" shrinkToFit="1"/>
      <protection locked="0"/>
    </xf>
    <xf numFmtId="168" fontId="98" fillId="18" borderId="56" xfId="0" applyNumberFormat="1" applyFont="1" applyFill="1" applyBorder="1" applyAlignment="1" applyProtection="1">
      <alignment horizontal="right" vertical="center" shrinkToFit="1"/>
      <protection locked="0"/>
    </xf>
    <xf numFmtId="168" fontId="98" fillId="18" borderId="72" xfId="0" applyNumberFormat="1" applyFont="1" applyFill="1" applyBorder="1" applyAlignment="1" applyProtection="1">
      <alignment horizontal="right" vertical="center" shrinkToFit="1"/>
      <protection locked="0"/>
    </xf>
    <xf numFmtId="168" fontId="98" fillId="18" borderId="11" xfId="0" applyNumberFormat="1" applyFont="1" applyFill="1" applyBorder="1" applyAlignment="1" applyProtection="1">
      <alignment horizontal="right" vertical="center" shrinkToFit="1"/>
      <protection locked="0"/>
    </xf>
    <xf numFmtId="168" fontId="98" fillId="18" borderId="0" xfId="0" applyNumberFormat="1" applyFont="1" applyFill="1" applyAlignment="1" applyProtection="1">
      <alignment horizontal="right" vertical="center" shrinkToFit="1"/>
      <protection locked="0"/>
    </xf>
    <xf numFmtId="168" fontId="98" fillId="18" borderId="43" xfId="0" applyNumberFormat="1" applyFont="1" applyFill="1" applyBorder="1" applyAlignment="1" applyProtection="1">
      <alignment horizontal="right" vertical="center" shrinkToFit="1"/>
      <protection locked="0"/>
    </xf>
    <xf numFmtId="168" fontId="98" fillId="18" borderId="37" xfId="0" applyNumberFormat="1" applyFont="1" applyFill="1" applyBorder="1" applyAlignment="1" applyProtection="1">
      <alignment vertical="center" shrinkToFit="1"/>
      <protection locked="0"/>
    </xf>
    <xf numFmtId="168" fontId="98" fillId="0" borderId="69" xfId="0" applyNumberFormat="1" applyFont="1" applyBorder="1" applyAlignment="1" applyProtection="1">
      <alignment horizontal="right" vertical="center" shrinkToFit="1"/>
      <protection locked="0"/>
    </xf>
    <xf numFmtId="168" fontId="98" fillId="0" borderId="11" xfId="0" applyNumberFormat="1" applyFont="1" applyBorder="1" applyAlignment="1" applyProtection="1">
      <alignment horizontal="right" vertical="center" shrinkToFit="1"/>
      <protection locked="0"/>
    </xf>
    <xf numFmtId="168" fontId="98" fillId="0" borderId="0" xfId="0" applyNumberFormat="1" applyFont="1" applyAlignment="1" applyProtection="1">
      <alignment horizontal="right" vertical="center" shrinkToFit="1"/>
      <protection locked="0"/>
    </xf>
    <xf numFmtId="168" fontId="98" fillId="18" borderId="24" xfId="0" applyNumberFormat="1" applyFont="1" applyFill="1" applyBorder="1" applyAlignment="1" applyProtection="1">
      <alignment horizontal="right" vertical="center" shrinkToFit="1"/>
      <protection locked="0"/>
    </xf>
    <xf numFmtId="3" fontId="8" fillId="29" borderId="75" xfId="0" applyNumberFormat="1" applyFont="1" applyFill="1" applyBorder="1" applyAlignment="1">
      <alignment horizontal="right" vertical="center" indent="2" shrinkToFit="1"/>
    </xf>
    <xf numFmtId="168" fontId="8" fillId="24" borderId="77" xfId="0" applyNumberFormat="1" applyFont="1" applyFill="1" applyBorder="1" applyAlignment="1">
      <alignment vertical="center" shrinkToFit="1"/>
    </xf>
    <xf numFmtId="168" fontId="8" fillId="24" borderId="9" xfId="0" applyNumberFormat="1" applyFont="1" applyFill="1" applyBorder="1" applyAlignment="1">
      <alignment vertical="center" shrinkToFit="1"/>
    </xf>
    <xf numFmtId="168" fontId="8" fillId="24" borderId="8" xfId="0" applyNumberFormat="1" applyFont="1" applyFill="1" applyBorder="1" applyAlignment="1">
      <alignment vertical="center" shrinkToFit="1"/>
    </xf>
    <xf numFmtId="168" fontId="8" fillId="24" borderId="78" xfId="0" applyNumberFormat="1" applyFont="1" applyFill="1" applyBorder="1" applyAlignment="1">
      <alignment vertical="center" shrinkToFit="1"/>
    </xf>
    <xf numFmtId="168" fontId="8" fillId="24" borderId="26" xfId="0" applyNumberFormat="1" applyFont="1" applyFill="1" applyBorder="1" applyAlignment="1">
      <alignment vertical="center" shrinkToFit="1"/>
    </xf>
    <xf numFmtId="168" fontId="8" fillId="24" borderId="6" xfId="0" applyNumberFormat="1" applyFont="1" applyFill="1" applyBorder="1" applyAlignment="1">
      <alignment vertical="center" shrinkToFit="1"/>
    </xf>
    <xf numFmtId="168" fontId="8" fillId="24" borderId="4" xfId="0" applyNumberFormat="1" applyFont="1" applyFill="1" applyBorder="1" applyAlignment="1">
      <alignment vertical="center" shrinkToFit="1"/>
    </xf>
    <xf numFmtId="168" fontId="8" fillId="24" borderId="81" xfId="0" applyNumberFormat="1" applyFont="1" applyFill="1" applyBorder="1" applyAlignment="1">
      <alignment vertical="center" shrinkToFit="1"/>
    </xf>
    <xf numFmtId="168" fontId="8" fillId="29" borderId="74" xfId="0" applyNumberFormat="1" applyFont="1" applyFill="1" applyBorder="1" applyAlignment="1">
      <alignment vertical="center" shrinkToFit="1"/>
    </xf>
    <xf numFmtId="0" fontId="66" fillId="29" borderId="60" xfId="0" quotePrefix="1" applyFont="1" applyFill="1" applyBorder="1" applyAlignment="1">
      <alignment horizontal="left" vertical="center" indent="1"/>
    </xf>
    <xf numFmtId="168" fontId="8" fillId="24" borderId="82" xfId="0" applyNumberFormat="1" applyFont="1" applyFill="1" applyBorder="1" applyAlignment="1">
      <alignment horizontal="right" vertical="center" shrinkToFit="1"/>
    </xf>
    <xf numFmtId="168" fontId="8" fillId="24" borderId="83" xfId="0" applyNumberFormat="1" applyFont="1" applyFill="1" applyBorder="1" applyAlignment="1">
      <alignment horizontal="right" vertical="center" shrinkToFit="1"/>
    </xf>
    <xf numFmtId="168" fontId="8" fillId="24" borderId="81" xfId="0" applyNumberFormat="1" applyFont="1" applyFill="1" applyBorder="1" applyAlignment="1">
      <alignment horizontal="right" vertical="center" shrinkToFit="1"/>
    </xf>
    <xf numFmtId="168" fontId="8" fillId="24" borderId="84" xfId="0" applyNumberFormat="1" applyFont="1" applyFill="1" applyBorder="1" applyAlignment="1">
      <alignment horizontal="right" vertical="center" shrinkToFit="1"/>
    </xf>
    <xf numFmtId="3" fontId="8" fillId="29" borderId="74" xfId="0" applyNumberFormat="1" applyFont="1" applyFill="1" applyBorder="1" applyAlignment="1">
      <alignment horizontal="right" vertical="center" indent="1" shrinkToFit="1"/>
    </xf>
    <xf numFmtId="3" fontId="8" fillId="29" borderId="52" xfId="0" applyNumberFormat="1" applyFont="1" applyFill="1" applyBorder="1" applyAlignment="1">
      <alignment horizontal="right" vertical="center" indent="1" shrinkToFit="1"/>
    </xf>
    <xf numFmtId="3" fontId="8" fillId="29" borderId="85" xfId="0" applyNumberFormat="1" applyFont="1" applyFill="1" applyBorder="1" applyAlignment="1">
      <alignment horizontal="right" vertical="center" indent="1" shrinkToFit="1"/>
    </xf>
    <xf numFmtId="168" fontId="8" fillId="24" borderId="9" xfId="0" applyNumberFormat="1" applyFont="1" applyFill="1" applyBorder="1" applyAlignment="1">
      <alignment horizontal="right" vertical="center" shrinkToFit="1"/>
    </xf>
    <xf numFmtId="168" fontId="8" fillId="24" borderId="8" xfId="0" applyNumberFormat="1" applyFont="1" applyFill="1" applyBorder="1" applyAlignment="1">
      <alignment horizontal="right" vertical="center" shrinkToFit="1"/>
    </xf>
    <xf numFmtId="168" fontId="8" fillId="24" borderId="86" xfId="0" applyNumberFormat="1" applyFont="1" applyFill="1" applyBorder="1" applyAlignment="1">
      <alignment horizontal="right" vertical="center" shrinkToFit="1"/>
    </xf>
    <xf numFmtId="168" fontId="8" fillId="24" borderId="80" xfId="0" applyNumberFormat="1" applyFont="1" applyFill="1" applyBorder="1" applyAlignment="1">
      <alignment horizontal="right" vertical="center" shrinkToFit="1"/>
    </xf>
    <xf numFmtId="168" fontId="8" fillId="24" borderId="6" xfId="0" applyNumberFormat="1" applyFont="1" applyFill="1" applyBorder="1" applyAlignment="1">
      <alignment horizontal="right" vertical="center" shrinkToFit="1"/>
    </xf>
    <xf numFmtId="168" fontId="8" fillId="24" borderId="4" xfId="0" applyNumberFormat="1" applyFont="1" applyFill="1" applyBorder="1" applyAlignment="1">
      <alignment horizontal="right" vertical="center" shrinkToFit="1"/>
    </xf>
    <xf numFmtId="168" fontId="8" fillId="29" borderId="74" xfId="0" applyNumberFormat="1" applyFont="1" applyFill="1" applyBorder="1" applyAlignment="1">
      <alignment horizontal="right" vertical="center" shrinkToFit="1"/>
    </xf>
    <xf numFmtId="168" fontId="8" fillId="29" borderId="52" xfId="0" applyNumberFormat="1" applyFont="1" applyFill="1" applyBorder="1" applyAlignment="1">
      <alignment horizontal="right" vertical="center" shrinkToFit="1"/>
    </xf>
    <xf numFmtId="168" fontId="8" fillId="29" borderId="85" xfId="0" applyNumberFormat="1" applyFont="1" applyFill="1" applyBorder="1" applyAlignment="1">
      <alignment horizontal="right" vertical="center" shrinkToFit="1"/>
    </xf>
    <xf numFmtId="168" fontId="8" fillId="24" borderId="82" xfId="0" applyNumberFormat="1" applyFont="1" applyFill="1" applyBorder="1" applyAlignment="1">
      <alignment vertical="center" shrinkToFit="1"/>
    </xf>
    <xf numFmtId="168" fontId="8" fillId="24" borderId="87" xfId="0" applyNumberFormat="1" applyFont="1" applyFill="1" applyBorder="1" applyAlignment="1">
      <alignment vertical="center" shrinkToFit="1"/>
    </xf>
    <xf numFmtId="168" fontId="8" fillId="24" borderId="88" xfId="0" applyNumberFormat="1" applyFont="1" applyFill="1" applyBorder="1" applyAlignment="1">
      <alignment vertical="center" shrinkToFit="1"/>
    </xf>
    <xf numFmtId="168" fontId="8" fillId="24" borderId="23" xfId="0" applyNumberFormat="1" applyFont="1" applyFill="1" applyBorder="1" applyAlignment="1">
      <alignment vertical="center" shrinkToFit="1"/>
    </xf>
    <xf numFmtId="168" fontId="8" fillId="24" borderId="89" xfId="0" applyNumberFormat="1" applyFont="1" applyFill="1" applyBorder="1" applyAlignment="1">
      <alignment vertical="center" shrinkToFit="1"/>
    </xf>
    <xf numFmtId="0" fontId="66" fillId="0" borderId="59" xfId="0" applyFont="1" applyBorder="1" applyAlignment="1">
      <alignment horizontal="left" vertical="center" indent="1"/>
    </xf>
    <xf numFmtId="49" fontId="66" fillId="24" borderId="90" xfId="0" applyNumberFormat="1" applyFont="1" applyFill="1" applyBorder="1" applyAlignment="1">
      <alignment horizontal="left" vertical="center" indent="1"/>
    </xf>
    <xf numFmtId="168" fontId="8" fillId="24" borderId="87" xfId="0" applyNumberFormat="1" applyFont="1" applyFill="1" applyBorder="1" applyAlignment="1">
      <alignment horizontal="right" vertical="center" shrinkToFit="1"/>
    </xf>
    <xf numFmtId="168" fontId="8" fillId="24" borderId="88" xfId="0" applyNumberFormat="1" applyFont="1" applyFill="1" applyBorder="1" applyAlignment="1">
      <alignment horizontal="right" vertical="center" shrinkToFit="1"/>
    </xf>
    <xf numFmtId="168" fontId="8" fillId="24" borderId="23" xfId="0" applyNumberFormat="1" applyFont="1" applyFill="1" applyBorder="1" applyAlignment="1">
      <alignment horizontal="right" vertical="center" shrinkToFit="1"/>
    </xf>
    <xf numFmtId="168" fontId="8" fillId="24" borderId="49" xfId="0" applyNumberFormat="1" applyFont="1" applyFill="1" applyBorder="1" applyAlignment="1">
      <alignment horizontal="right" vertical="center" shrinkToFit="1"/>
    </xf>
    <xf numFmtId="168" fontId="8" fillId="24" borderId="27" xfId="0" applyNumberFormat="1" applyFont="1" applyFill="1" applyBorder="1" applyAlignment="1">
      <alignment horizontal="right" vertical="center" shrinkToFit="1"/>
    </xf>
    <xf numFmtId="168" fontId="8" fillId="24" borderId="91" xfId="0" applyNumberFormat="1" applyFont="1" applyFill="1" applyBorder="1" applyAlignment="1">
      <alignment horizontal="right" vertical="center" shrinkToFit="1"/>
    </xf>
    <xf numFmtId="168" fontId="8" fillId="24" borderId="92" xfId="0" applyNumberFormat="1" applyFont="1" applyFill="1" applyBorder="1" applyAlignment="1">
      <alignment vertical="center" shrinkToFit="1"/>
    </xf>
    <xf numFmtId="168" fontId="8" fillId="24" borderId="93" xfId="0" applyNumberFormat="1" applyFont="1" applyFill="1" applyBorder="1" applyAlignment="1">
      <alignment horizontal="right" vertical="center" shrinkToFit="1"/>
    </xf>
    <xf numFmtId="168" fontId="8" fillId="24" borderId="94" xfId="0" applyNumberFormat="1" applyFont="1" applyFill="1" applyBorder="1" applyAlignment="1">
      <alignment vertical="center" shrinkToFit="1"/>
    </xf>
    <xf numFmtId="3" fontId="8" fillId="29" borderId="95" xfId="0" applyNumberFormat="1" applyFont="1" applyFill="1" applyBorder="1" applyAlignment="1">
      <alignment horizontal="right" vertical="center" indent="1" shrinkToFit="1"/>
    </xf>
    <xf numFmtId="168" fontId="8" fillId="29" borderId="52" xfId="0" applyNumberFormat="1" applyFont="1" applyFill="1" applyBorder="1" applyAlignment="1">
      <alignment vertical="center" shrinkToFit="1"/>
    </xf>
    <xf numFmtId="168" fontId="8" fillId="29" borderId="75" xfId="0" applyNumberFormat="1" applyFont="1" applyFill="1" applyBorder="1" applyAlignment="1">
      <alignment vertical="center" shrinkToFit="1"/>
    </xf>
    <xf numFmtId="168" fontId="8" fillId="24" borderId="96" xfId="0" applyNumberFormat="1" applyFont="1" applyFill="1" applyBorder="1" applyAlignment="1">
      <alignment vertical="center" shrinkToFit="1"/>
    </xf>
    <xf numFmtId="168" fontId="31" fillId="18" borderId="97" xfId="0" applyNumberFormat="1" applyFont="1" applyFill="1" applyBorder="1" applyAlignment="1">
      <alignment vertical="center" shrinkToFit="1"/>
    </xf>
    <xf numFmtId="168" fontId="8" fillId="24" borderId="98" xfId="0" applyNumberFormat="1" applyFont="1" applyFill="1" applyBorder="1" applyAlignment="1">
      <alignment vertical="center" shrinkToFit="1"/>
    </xf>
    <xf numFmtId="168" fontId="8" fillId="29" borderId="99" xfId="0" applyNumberFormat="1" applyFont="1" applyFill="1" applyBorder="1" applyAlignment="1">
      <alignment horizontal="right" vertical="center" shrinkToFit="1"/>
    </xf>
    <xf numFmtId="168" fontId="31" fillId="0" borderId="79" xfId="0" applyNumberFormat="1" applyFont="1" applyBorder="1" applyAlignment="1">
      <alignment vertical="center" shrinkToFit="1"/>
    </xf>
    <xf numFmtId="3" fontId="8" fillId="29" borderId="75" xfId="0" applyNumberFormat="1" applyFont="1" applyFill="1" applyBorder="1" applyAlignment="1">
      <alignment horizontal="right" vertical="center" indent="2"/>
    </xf>
    <xf numFmtId="3" fontId="8" fillId="29" borderId="74" xfId="0" applyNumberFormat="1" applyFont="1" applyFill="1" applyBorder="1" applyAlignment="1">
      <alignment horizontal="right" vertical="center" indent="2"/>
    </xf>
    <xf numFmtId="3" fontId="8" fillId="29" borderId="52" xfId="0" applyNumberFormat="1" applyFont="1" applyFill="1" applyBorder="1" applyAlignment="1">
      <alignment horizontal="right" vertical="center" indent="2"/>
    </xf>
    <xf numFmtId="3" fontId="8" fillId="29" borderId="95" xfId="0" applyNumberFormat="1" applyFont="1" applyFill="1" applyBorder="1" applyAlignment="1">
      <alignment horizontal="right" vertical="center" indent="2"/>
    </xf>
    <xf numFmtId="168" fontId="8" fillId="24" borderId="25" xfId="0" applyNumberFormat="1" applyFont="1" applyFill="1" applyBorder="1" applyAlignment="1">
      <alignment horizontal="right" vertical="center" shrinkToFit="1"/>
    </xf>
    <xf numFmtId="168" fontId="31" fillId="29" borderId="97" xfId="0" applyNumberFormat="1" applyFont="1" applyFill="1" applyBorder="1" applyAlignment="1">
      <alignment horizontal="right" vertical="center" shrinkToFit="1"/>
    </xf>
    <xf numFmtId="168" fontId="8" fillId="24" borderId="98" xfId="0" applyNumberFormat="1" applyFont="1" applyFill="1" applyBorder="1" applyAlignment="1">
      <alignment horizontal="right" vertical="center" shrinkToFit="1"/>
    </xf>
    <xf numFmtId="168" fontId="31" fillId="18" borderId="97" xfId="0" applyNumberFormat="1" applyFont="1" applyFill="1" applyBorder="1" applyAlignment="1">
      <alignment horizontal="right" vertical="center" shrinkToFit="1"/>
    </xf>
    <xf numFmtId="168" fontId="31" fillId="18" borderId="100" xfId="0" applyNumberFormat="1" applyFont="1" applyFill="1" applyBorder="1" applyAlignment="1">
      <alignment horizontal="right" vertical="center" shrinkToFit="1"/>
    </xf>
    <xf numFmtId="168" fontId="8" fillId="24" borderId="101" xfId="0" applyNumberFormat="1" applyFont="1" applyFill="1" applyBorder="1" applyAlignment="1">
      <alignment horizontal="right" vertical="center" shrinkToFit="1"/>
    </xf>
    <xf numFmtId="168" fontId="31" fillId="29" borderId="79" xfId="0" applyNumberFormat="1" applyFont="1" applyFill="1" applyBorder="1" applyAlignment="1">
      <alignment vertical="center" shrinkToFit="1"/>
    </xf>
    <xf numFmtId="168" fontId="31" fillId="0" borderId="102" xfId="0" applyNumberFormat="1" applyFont="1" applyBorder="1" applyAlignment="1">
      <alignment vertical="center" shrinkToFit="1"/>
    </xf>
    <xf numFmtId="168" fontId="8" fillId="29" borderId="95" xfId="0" applyNumberFormat="1" applyFont="1" applyFill="1" applyBorder="1" applyAlignment="1">
      <alignment vertical="center" shrinkToFit="1"/>
    </xf>
    <xf numFmtId="3" fontId="8" fillId="29" borderId="99" xfId="0" applyNumberFormat="1" applyFont="1" applyFill="1" applyBorder="1" applyAlignment="1">
      <alignment horizontal="right" vertical="center" indent="2"/>
    </xf>
    <xf numFmtId="168" fontId="8" fillId="24" borderId="25" xfId="0" applyNumberFormat="1" applyFont="1" applyFill="1" applyBorder="1" applyAlignment="1">
      <alignment vertical="center" shrinkToFit="1"/>
    </xf>
    <xf numFmtId="168" fontId="31" fillId="29" borderId="97" xfId="0" applyNumberFormat="1" applyFont="1" applyFill="1" applyBorder="1" applyAlignment="1">
      <alignment vertical="center" shrinkToFit="1"/>
    </xf>
    <xf numFmtId="168" fontId="8" fillId="29" borderId="99" xfId="0" applyNumberFormat="1" applyFont="1" applyFill="1" applyBorder="1" applyAlignment="1">
      <alignment vertical="center" shrinkToFit="1"/>
    </xf>
    <xf numFmtId="2" fontId="31" fillId="18" borderId="56" xfId="0" applyNumberFormat="1" applyFont="1" applyFill="1" applyBorder="1" applyAlignment="1" applyProtection="1">
      <alignment horizontal="right" vertical="center" indent="3"/>
      <protection locked="0"/>
    </xf>
    <xf numFmtId="168" fontId="31" fillId="18" borderId="97" xfId="0" applyNumberFormat="1" applyFont="1" applyFill="1" applyBorder="1" applyAlignment="1" applyProtection="1">
      <alignment vertical="center"/>
      <protection locked="0"/>
    </xf>
    <xf numFmtId="0" fontId="61" fillId="18" borderId="103" xfId="0" applyFont="1" applyFill="1" applyBorder="1" applyAlignment="1">
      <alignment horizontal="left" vertical="center" indent="1"/>
    </xf>
    <xf numFmtId="3" fontId="136" fillId="18" borderId="104" xfId="0" applyNumberFormat="1" applyFont="1" applyFill="1" applyBorder="1" applyAlignment="1">
      <alignment horizontal="left" vertical="center" wrapText="1" indent="1"/>
    </xf>
    <xf numFmtId="168" fontId="8" fillId="29" borderId="99" xfId="0" applyNumberFormat="1" applyFont="1" applyFill="1" applyBorder="1" applyAlignment="1">
      <alignment vertical="center"/>
    </xf>
    <xf numFmtId="168" fontId="137" fillId="18" borderId="100" xfId="0" applyNumberFormat="1" applyFont="1" applyFill="1" applyBorder="1" applyAlignment="1">
      <alignment vertical="center"/>
    </xf>
    <xf numFmtId="2" fontId="8" fillId="29" borderId="99" xfId="0" applyNumberFormat="1" applyFont="1" applyFill="1" applyBorder="1" applyAlignment="1">
      <alignment horizontal="right" vertical="center" indent="3"/>
    </xf>
    <xf numFmtId="0" fontId="125" fillId="0" borderId="0" xfId="0" applyFont="1" applyAlignment="1">
      <alignment horizontal="left" indent="1"/>
    </xf>
    <xf numFmtId="0" fontId="2" fillId="0" borderId="0" xfId="0" applyFont="1" applyAlignment="1">
      <alignment horizontal="left" indent="1"/>
    </xf>
    <xf numFmtId="0" fontId="138" fillId="0" borderId="0" xfId="0" applyFont="1" applyAlignment="1">
      <alignment horizontal="center"/>
    </xf>
    <xf numFmtId="2" fontId="138" fillId="0" borderId="0" xfId="0" applyNumberFormat="1" applyFont="1" applyAlignment="1">
      <alignment horizontal="right"/>
    </xf>
    <xf numFmtId="3" fontId="138" fillId="0" borderId="0" xfId="0" applyNumberFormat="1" applyFont="1" applyAlignment="1">
      <alignment horizontal="center"/>
    </xf>
    <xf numFmtId="0" fontId="138" fillId="0" borderId="0" xfId="0" applyFont="1" applyAlignment="1">
      <alignment horizontal="left" indent="1"/>
    </xf>
    <xf numFmtId="0" fontId="139" fillId="0" borderId="0" xfId="0" applyFont="1"/>
    <xf numFmtId="0" fontId="140" fillId="0" borderId="0" xfId="0" applyFont="1" applyAlignment="1">
      <alignment horizontal="center"/>
    </xf>
    <xf numFmtId="0" fontId="140" fillId="0" borderId="0" xfId="0" applyFont="1" applyAlignment="1">
      <alignment horizontal="left" indent="1"/>
    </xf>
    <xf numFmtId="2" fontId="140" fillId="0" borderId="0" xfId="0" applyNumberFormat="1" applyFont="1" applyAlignment="1">
      <alignment horizontal="right"/>
    </xf>
    <xf numFmtId="3" fontId="140" fillId="0" borderId="0" xfId="0" applyNumberFormat="1" applyFont="1" applyAlignment="1">
      <alignment horizontal="center"/>
    </xf>
    <xf numFmtId="0" fontId="141" fillId="0" borderId="0" xfId="0" applyFont="1"/>
    <xf numFmtId="0" fontId="126" fillId="3" borderId="0" xfId="0" applyFont="1" applyFill="1" applyAlignment="1">
      <alignment horizontal="center" vertical="center"/>
    </xf>
    <xf numFmtId="0" fontId="126" fillId="0" borderId="0" xfId="0" applyFont="1" applyAlignment="1">
      <alignment horizontal="center"/>
    </xf>
    <xf numFmtId="0" fontId="126" fillId="0" borderId="0" xfId="0" applyFont="1" applyAlignment="1">
      <alignment horizontal="left" indent="1"/>
    </xf>
    <xf numFmtId="2" fontId="126" fillId="0" borderId="0" xfId="0" applyNumberFormat="1" applyFont="1" applyAlignment="1">
      <alignment horizontal="right"/>
    </xf>
    <xf numFmtId="0" fontId="142" fillId="0" borderId="0" xfId="0" applyFont="1"/>
    <xf numFmtId="3" fontId="140" fillId="33" borderId="0" xfId="0" applyNumberFormat="1" applyFont="1" applyFill="1" applyAlignment="1">
      <alignment horizontal="center"/>
    </xf>
    <xf numFmtId="3" fontId="126" fillId="33" borderId="0" xfId="0" applyNumberFormat="1" applyFont="1" applyFill="1" applyAlignment="1">
      <alignment horizontal="center"/>
    </xf>
    <xf numFmtId="0" fontId="140" fillId="33" borderId="0" xfId="0" applyFont="1" applyFill="1" applyAlignment="1">
      <alignment horizontal="center"/>
    </xf>
    <xf numFmtId="0" fontId="126" fillId="33" borderId="0" xfId="0" applyFont="1" applyFill="1" applyAlignment="1">
      <alignment horizontal="center"/>
    </xf>
    <xf numFmtId="168" fontId="98" fillId="0" borderId="101" xfId="0" applyNumberFormat="1" applyFont="1" applyBorder="1" applyAlignment="1" applyProtection="1">
      <alignment horizontal="right" vertical="center" shrinkToFit="1"/>
      <protection locked="0"/>
    </xf>
    <xf numFmtId="168" fontId="8" fillId="18" borderId="79" xfId="0" applyNumberFormat="1" applyFont="1" applyFill="1" applyBorder="1" applyAlignment="1">
      <alignment vertical="center" shrinkToFit="1"/>
    </xf>
    <xf numFmtId="168" fontId="143" fillId="29" borderId="68" xfId="0" applyNumberFormat="1" applyFont="1" applyFill="1" applyBorder="1" applyAlignment="1">
      <alignment horizontal="right" vertical="center" shrinkToFit="1"/>
    </xf>
    <xf numFmtId="168" fontId="143" fillId="29" borderId="69" xfId="0" applyNumberFormat="1" applyFont="1" applyFill="1" applyBorder="1" applyAlignment="1">
      <alignment horizontal="right" vertical="center" shrinkToFit="1"/>
    </xf>
    <xf numFmtId="168" fontId="143" fillId="29" borderId="79" xfId="0" applyNumberFormat="1" applyFont="1" applyFill="1" applyBorder="1" applyAlignment="1">
      <alignment horizontal="right" vertical="center" shrinkToFit="1"/>
    </xf>
    <xf numFmtId="168" fontId="143" fillId="29" borderId="105" xfId="0" applyNumberFormat="1" applyFont="1" applyFill="1" applyBorder="1" applyAlignment="1">
      <alignment horizontal="right" vertical="center" shrinkToFit="1"/>
    </xf>
    <xf numFmtId="168" fontId="143" fillId="24" borderId="78" xfId="0" applyNumberFormat="1" applyFont="1" applyFill="1" applyBorder="1" applyAlignment="1">
      <alignment horizontal="right" vertical="center" shrinkToFit="1"/>
    </xf>
    <xf numFmtId="168" fontId="143" fillId="24" borderId="81" xfId="0" applyNumberFormat="1" applyFont="1" applyFill="1" applyBorder="1" applyAlignment="1">
      <alignment horizontal="right" vertical="center" shrinkToFit="1"/>
    </xf>
    <xf numFmtId="168" fontId="143" fillId="29" borderId="75" xfId="0" applyNumberFormat="1" applyFont="1" applyFill="1" applyBorder="1" applyAlignment="1">
      <alignment horizontal="right" vertical="center" shrinkToFit="1"/>
    </xf>
    <xf numFmtId="168" fontId="143" fillId="29" borderId="97" xfId="0" applyNumberFormat="1" applyFont="1" applyFill="1" applyBorder="1" applyAlignment="1">
      <alignment horizontal="right" vertical="center" shrinkToFit="1"/>
    </xf>
    <xf numFmtId="168" fontId="143" fillId="24" borderId="87" xfId="0" applyNumberFormat="1" applyFont="1" applyFill="1" applyBorder="1" applyAlignment="1">
      <alignment horizontal="right" vertical="center" shrinkToFit="1"/>
    </xf>
    <xf numFmtId="168" fontId="143" fillId="24" borderId="80" xfId="0" applyNumberFormat="1" applyFont="1" applyFill="1" applyBorder="1" applyAlignment="1">
      <alignment horizontal="right" vertical="center" shrinkToFit="1"/>
    </xf>
    <xf numFmtId="3" fontId="143" fillId="29" borderId="73" xfId="0" applyNumberFormat="1" applyFont="1" applyFill="1" applyBorder="1" applyAlignment="1">
      <alignment horizontal="right" vertical="center" indent="2" shrinkToFit="1"/>
    </xf>
    <xf numFmtId="168" fontId="143" fillId="24" borderId="77" xfId="0" applyNumberFormat="1" applyFont="1" applyFill="1" applyBorder="1" applyAlignment="1">
      <alignment horizontal="right" vertical="center" shrinkToFit="1"/>
    </xf>
    <xf numFmtId="168" fontId="143" fillId="29" borderId="73" xfId="0" applyNumberFormat="1" applyFont="1" applyFill="1" applyBorder="1" applyAlignment="1">
      <alignment horizontal="right" vertical="center" shrinkToFit="1"/>
    </xf>
    <xf numFmtId="168" fontId="144" fillId="18" borderId="68" xfId="0" applyNumberFormat="1" applyFont="1" applyFill="1" applyBorder="1" applyAlignment="1" applyProtection="1">
      <alignment horizontal="right" vertical="center" shrinkToFit="1"/>
      <protection locked="0"/>
    </xf>
    <xf numFmtId="168" fontId="144" fillId="18" borderId="72" xfId="0" applyNumberFormat="1" applyFont="1" applyFill="1" applyBorder="1" applyAlignment="1" applyProtection="1">
      <alignment horizontal="right" vertical="center" shrinkToFit="1"/>
      <protection locked="0"/>
    </xf>
    <xf numFmtId="168" fontId="144" fillId="18" borderId="79" xfId="0" applyNumberFormat="1" applyFont="1" applyFill="1" applyBorder="1" applyAlignment="1">
      <alignment horizontal="right" vertical="center" shrinkToFit="1"/>
    </xf>
    <xf numFmtId="168" fontId="144" fillId="18" borderId="102" xfId="0" applyNumberFormat="1" applyFont="1" applyFill="1" applyBorder="1" applyAlignment="1">
      <alignment horizontal="right" vertical="center" shrinkToFit="1"/>
    </xf>
    <xf numFmtId="3" fontId="125" fillId="33" borderId="0" xfId="0" applyNumberFormat="1" applyFont="1" applyFill="1" applyAlignment="1">
      <alignment horizontal="center"/>
    </xf>
    <xf numFmtId="0" fontId="125" fillId="33" borderId="0" xfId="0" applyFont="1" applyFill="1" applyAlignment="1">
      <alignment horizontal="center"/>
    </xf>
    <xf numFmtId="168" fontId="98" fillId="18" borderId="100" xfId="0" applyNumberFormat="1" applyFont="1" applyFill="1" applyBorder="1" applyAlignment="1" applyProtection="1">
      <alignment vertical="center" shrinkToFit="1"/>
      <protection locked="0"/>
    </xf>
    <xf numFmtId="3" fontId="8" fillId="29" borderId="99" xfId="0" applyNumberFormat="1" applyFont="1" applyFill="1" applyBorder="1" applyAlignment="1">
      <alignment horizontal="right" vertical="center" indent="1" shrinkToFit="1"/>
    </xf>
    <xf numFmtId="168" fontId="145" fillId="29" borderId="69" xfId="0" applyNumberFormat="1" applyFont="1" applyFill="1" applyBorder="1" applyAlignment="1">
      <alignment vertical="center" shrinkToFit="1"/>
    </xf>
    <xf numFmtId="168" fontId="145" fillId="29" borderId="106" xfId="0" applyNumberFormat="1" applyFont="1" applyFill="1" applyBorder="1" applyAlignment="1">
      <alignment vertical="center" shrinkToFit="1"/>
    </xf>
    <xf numFmtId="49" fontId="61" fillId="0" borderId="18" xfId="0" applyNumberFormat="1" applyFont="1" applyBorder="1" applyAlignment="1">
      <alignment horizontal="left" vertical="center" indent="1"/>
    </xf>
    <xf numFmtId="3" fontId="33" fillId="3" borderId="17" xfId="0" applyNumberFormat="1" applyFont="1" applyFill="1" applyBorder="1" applyAlignment="1">
      <alignment horizontal="center" vertical="center"/>
    </xf>
    <xf numFmtId="49" fontId="61" fillId="0" borderId="64" xfId="0" applyNumberFormat="1" applyFont="1" applyBorder="1" applyAlignment="1">
      <alignment horizontal="left" vertical="center" indent="1"/>
    </xf>
    <xf numFmtId="3" fontId="61" fillId="3" borderId="64" xfId="0" applyNumberFormat="1" applyFont="1" applyFill="1" applyBorder="1" applyAlignment="1">
      <alignment horizontal="left" vertical="center" indent="1"/>
    </xf>
    <xf numFmtId="3" fontId="61" fillId="3" borderId="19" xfId="0" applyNumberFormat="1" applyFont="1" applyFill="1" applyBorder="1" applyAlignment="1">
      <alignment horizontal="left" vertical="center" indent="1"/>
    </xf>
    <xf numFmtId="0" fontId="142" fillId="0" borderId="0" xfId="0" applyFont="1" applyAlignment="1">
      <alignment horizontal="center"/>
    </xf>
    <xf numFmtId="0" fontId="146" fillId="0" borderId="0" xfId="0" applyFont="1" applyAlignment="1">
      <alignment horizontal="center"/>
    </xf>
    <xf numFmtId="0" fontId="146" fillId="0" borderId="0" xfId="0" applyFont="1" applyAlignment="1">
      <alignment horizontal="left" indent="1"/>
    </xf>
    <xf numFmtId="2" fontId="146" fillId="0" borderId="0" xfId="0" applyNumberFormat="1" applyFont="1" applyAlignment="1">
      <alignment horizontal="right"/>
    </xf>
    <xf numFmtId="3" fontId="146" fillId="0" borderId="0" xfId="0" applyNumberFormat="1" applyFont="1" applyAlignment="1">
      <alignment horizontal="center"/>
    </xf>
    <xf numFmtId="0" fontId="124" fillId="0" borderId="0" xfId="0" applyFont="1" applyAlignment="1">
      <alignment horizontal="left" indent="1"/>
    </xf>
    <xf numFmtId="2" fontId="124" fillId="0" borderId="0" xfId="0" applyNumberFormat="1" applyFont="1" applyAlignment="1">
      <alignment horizontal="right"/>
    </xf>
    <xf numFmtId="3" fontId="124" fillId="0" borderId="0" xfId="0" applyNumberFormat="1" applyFont="1" applyAlignment="1">
      <alignment horizontal="center"/>
    </xf>
    <xf numFmtId="0" fontId="147" fillId="0" borderId="0" xfId="0" applyFont="1"/>
    <xf numFmtId="0" fontId="125" fillId="0" borderId="0" xfId="0" applyFont="1" applyAlignment="1">
      <alignment horizontal="left"/>
    </xf>
    <xf numFmtId="0" fontId="12" fillId="33" borderId="21" xfId="5" applyFill="1" applyBorder="1"/>
    <xf numFmtId="0" fontId="12" fillId="33" borderId="13" xfId="5" applyFill="1" applyBorder="1" applyAlignment="1">
      <alignment horizontal="left" indent="1"/>
    </xf>
    <xf numFmtId="0" fontId="125" fillId="0" borderId="0" xfId="0" quotePrefix="1" applyFont="1" applyAlignment="1">
      <alignment horizontal="left"/>
    </xf>
    <xf numFmtId="0" fontId="126" fillId="0" borderId="0" xfId="0" quotePrefix="1" applyFont="1" applyAlignment="1">
      <alignment horizontal="left"/>
    </xf>
    <xf numFmtId="0" fontId="126" fillId="0" borderId="0" xfId="0" applyFont="1" applyAlignment="1">
      <alignment horizontal="left"/>
    </xf>
    <xf numFmtId="2" fontId="148" fillId="18" borderId="43" xfId="0" applyNumberFormat="1" applyFont="1" applyFill="1" applyBorder="1" applyAlignment="1">
      <alignment horizontal="right" vertical="center" indent="3"/>
    </xf>
    <xf numFmtId="168" fontId="8" fillId="18" borderId="102" xfId="0" applyNumberFormat="1" applyFont="1" applyFill="1" applyBorder="1" applyAlignment="1">
      <alignment vertical="center" shrinkToFit="1"/>
    </xf>
    <xf numFmtId="168" fontId="8" fillId="24" borderId="107" xfId="0" applyNumberFormat="1" applyFont="1" applyFill="1" applyBorder="1" applyAlignment="1">
      <alignment vertical="center" shrinkToFit="1"/>
    </xf>
    <xf numFmtId="168" fontId="8" fillId="24" borderId="108" xfId="0" applyNumberFormat="1" applyFont="1" applyFill="1" applyBorder="1" applyAlignment="1">
      <alignment vertical="center" shrinkToFit="1"/>
    </xf>
    <xf numFmtId="168" fontId="144" fillId="18" borderId="100" xfId="0" applyNumberFormat="1" applyFont="1" applyFill="1" applyBorder="1" applyAlignment="1">
      <alignment vertical="center" shrinkToFit="1"/>
    </xf>
    <xf numFmtId="0" fontId="149" fillId="0" borderId="0" xfId="0" applyFont="1" applyAlignment="1">
      <alignment horizontal="center"/>
    </xf>
    <xf numFmtId="0" fontId="149" fillId="0" borderId="0" xfId="0" applyFont="1" applyAlignment="1">
      <alignment horizontal="left" indent="1"/>
    </xf>
    <xf numFmtId="2" fontId="149" fillId="0" borderId="0" xfId="0" applyNumberFormat="1" applyFont="1" applyAlignment="1">
      <alignment horizontal="right"/>
    </xf>
    <xf numFmtId="3" fontId="149" fillId="0" borderId="0" xfId="0" applyNumberFormat="1" applyFont="1" applyAlignment="1">
      <alignment horizontal="center"/>
    </xf>
    <xf numFmtId="0" fontId="102" fillId="0" borderId="0" xfId="0" applyFont="1" applyAlignment="1">
      <alignment horizontal="center"/>
    </xf>
    <xf numFmtId="0" fontId="150" fillId="0" borderId="0" xfId="0" applyFont="1" applyAlignment="1">
      <alignment horizontal="center"/>
    </xf>
    <xf numFmtId="0" fontId="150" fillId="0" borderId="0" xfId="0" applyFont="1" applyAlignment="1">
      <alignment horizontal="left" indent="1"/>
    </xf>
    <xf numFmtId="2" fontId="150" fillId="0" borderId="0" xfId="0" applyNumberFormat="1" applyFont="1" applyAlignment="1">
      <alignment horizontal="right"/>
    </xf>
    <xf numFmtId="3" fontId="150" fillId="0" borderId="0" xfId="0" applyNumberFormat="1" applyFont="1" applyAlignment="1">
      <alignment horizontal="center"/>
    </xf>
    <xf numFmtId="0" fontId="2" fillId="0" borderId="0" xfId="5" applyFont="1"/>
    <xf numFmtId="0" fontId="2" fillId="3" borderId="0" xfId="5" applyFont="1" applyFill="1"/>
    <xf numFmtId="170" fontId="2" fillId="0" borderId="0" xfId="5" applyNumberFormat="1" applyFont="1"/>
    <xf numFmtId="170" fontId="2" fillId="18" borderId="0" xfId="5" applyNumberFormat="1" applyFont="1" applyFill="1"/>
    <xf numFmtId="0" fontId="2" fillId="3" borderId="0" xfId="5" applyFont="1" applyFill="1" applyAlignment="1">
      <alignment horizontal="centerContinuous"/>
    </xf>
    <xf numFmtId="170" fontId="8" fillId="18" borderId="0" xfId="5" applyNumberFormat="1" applyFont="1" applyFill="1"/>
    <xf numFmtId="0" fontId="2" fillId="0" borderId="0" xfId="5" applyFont="1" applyAlignment="1">
      <alignment horizontal="center"/>
    </xf>
    <xf numFmtId="0" fontId="2" fillId="0" borderId="0" xfId="5" quotePrefix="1" applyFont="1" applyAlignment="1">
      <alignment horizontal="center"/>
    </xf>
    <xf numFmtId="0" fontId="2" fillId="0" borderId="0" xfId="5" applyFont="1" applyAlignment="1">
      <alignment horizontal="left" indent="1"/>
    </xf>
    <xf numFmtId="0" fontId="97" fillId="0" borderId="0" xfId="5" applyFont="1" applyAlignment="1">
      <alignment horizontal="left"/>
    </xf>
    <xf numFmtId="0" fontId="84" fillId="0" borderId="0" xfId="5" applyFont="1"/>
    <xf numFmtId="0" fontId="7" fillId="0" borderId="0" xfId="5" applyFont="1" applyAlignment="1">
      <alignment horizontal="center"/>
    </xf>
    <xf numFmtId="172" fontId="105" fillId="14" borderId="0" xfId="4" applyNumberFormat="1" applyFont="1" applyFill="1" applyAlignment="1" applyProtection="1">
      <alignment horizontal="center" vertical="center" wrapText="1"/>
      <protection locked="0"/>
    </xf>
    <xf numFmtId="1" fontId="105" fillId="14" borderId="0" xfId="4" applyNumberFormat="1" applyFont="1" applyFill="1" applyAlignment="1" applyProtection="1">
      <alignment horizontal="center" vertical="center" wrapText="1"/>
      <protection locked="0"/>
    </xf>
    <xf numFmtId="172" fontId="106" fillId="14" borderId="0" xfId="4" applyNumberFormat="1" applyFont="1" applyFill="1" applyAlignment="1" applyProtection="1">
      <alignment horizontal="center" vertical="center" wrapText="1"/>
      <protection locked="0"/>
    </xf>
    <xf numFmtId="172" fontId="107" fillId="14" borderId="0" xfId="4" applyNumberFormat="1" applyFont="1" applyFill="1" applyAlignment="1" applyProtection="1">
      <alignment horizontal="center" vertical="center" wrapText="1"/>
      <protection locked="0"/>
    </xf>
    <xf numFmtId="0" fontId="12" fillId="0" borderId="0" xfId="4"/>
    <xf numFmtId="0" fontId="12" fillId="0" borderId="0" xfId="4" applyAlignment="1">
      <alignment horizontal="center"/>
    </xf>
    <xf numFmtId="0" fontId="12" fillId="0" borderId="0" xfId="4" applyAlignment="1">
      <alignment horizontal="left" indent="1"/>
    </xf>
    <xf numFmtId="0" fontId="12" fillId="4" borderId="0" xfId="4" applyFill="1"/>
    <xf numFmtId="0" fontId="20" fillId="5" borderId="0" xfId="4" applyFont="1" applyFill="1" applyAlignment="1">
      <alignment horizontal="center"/>
    </xf>
    <xf numFmtId="1" fontId="20" fillId="5" borderId="0" xfId="4" applyNumberFormat="1" applyFont="1" applyFill="1" applyAlignment="1">
      <alignment horizontal="center"/>
    </xf>
    <xf numFmtId="0" fontId="20" fillId="5" borderId="0" xfId="4" applyFont="1" applyFill="1" applyAlignment="1">
      <alignment horizontal="left"/>
    </xf>
    <xf numFmtId="1" fontId="12" fillId="0" borderId="0" xfId="4" applyNumberFormat="1" applyAlignment="1">
      <alignment horizontal="center"/>
    </xf>
    <xf numFmtId="0" fontId="12" fillId="0" borderId="0" xfId="4" applyAlignment="1">
      <alignment horizontal="left"/>
    </xf>
    <xf numFmtId="0" fontId="12" fillId="0" borderId="7" xfId="4" applyBorder="1"/>
    <xf numFmtId="0" fontId="12" fillId="0" borderId="9" xfId="4" applyBorder="1"/>
    <xf numFmtId="172" fontId="108" fillId="14" borderId="5" xfId="4" applyNumberFormat="1" applyFont="1" applyFill="1" applyBorder="1" applyAlignment="1" applyProtection="1">
      <alignment horizontal="center" vertical="center" wrapText="1"/>
      <protection locked="0"/>
    </xf>
    <xf numFmtId="172" fontId="105" fillId="14" borderId="4" xfId="4" applyNumberFormat="1" applyFont="1" applyFill="1" applyBorder="1" applyAlignment="1" applyProtection="1">
      <alignment horizontal="center" vertical="center" wrapText="1"/>
      <protection locked="0"/>
    </xf>
    <xf numFmtId="172" fontId="105" fillId="14" borderId="6" xfId="4" applyNumberFormat="1" applyFont="1" applyFill="1" applyBorder="1" applyAlignment="1" applyProtection="1">
      <alignment horizontal="center" vertical="center" wrapText="1"/>
      <protection locked="0"/>
    </xf>
    <xf numFmtId="0" fontId="0" fillId="0" borderId="4" xfId="0" applyBorder="1"/>
    <xf numFmtId="168" fontId="13" fillId="18" borderId="72" xfId="0" applyNumberFormat="1" applyFont="1" applyFill="1" applyBorder="1" applyAlignment="1" applyProtection="1">
      <alignment horizontal="right" vertical="center" shrinkToFit="1"/>
      <protection locked="0"/>
    </xf>
    <xf numFmtId="168" fontId="13" fillId="18" borderId="43" xfId="0" applyNumberFormat="1" applyFont="1" applyFill="1" applyBorder="1" applyAlignment="1" applyProtection="1">
      <alignment horizontal="right" vertical="center" shrinkToFit="1"/>
      <protection locked="0"/>
    </xf>
    <xf numFmtId="2" fontId="7" fillId="0" borderId="0" xfId="0" applyNumberFormat="1" applyFont="1" applyAlignment="1">
      <alignment horizontal="right"/>
    </xf>
    <xf numFmtId="2" fontId="2" fillId="0" borderId="0" xfId="0" applyNumberFormat="1" applyFont="1" applyAlignment="1">
      <alignment horizontal="right"/>
    </xf>
    <xf numFmtId="2" fontId="2" fillId="0" borderId="0" xfId="0" applyNumberFormat="1" applyFont="1"/>
    <xf numFmtId="168" fontId="144" fillId="18" borderId="0" xfId="0" applyNumberFormat="1" applyFont="1" applyFill="1" applyAlignment="1">
      <alignment horizontal="right" vertical="center" shrinkToFit="1"/>
    </xf>
    <xf numFmtId="168" fontId="144" fillId="29" borderId="52" xfId="0" applyNumberFormat="1" applyFont="1" applyFill="1" applyBorder="1" applyAlignment="1">
      <alignment horizontal="centerContinuous" vertical="center"/>
    </xf>
    <xf numFmtId="3" fontId="125" fillId="35" borderId="0" xfId="0" applyNumberFormat="1" applyFont="1" applyFill="1" applyAlignment="1">
      <alignment horizontal="center"/>
    </xf>
    <xf numFmtId="0" fontId="2" fillId="18" borderId="0" xfId="0" applyFont="1" applyFill="1"/>
    <xf numFmtId="0" fontId="2" fillId="18" borderId="0" xfId="0" applyFont="1" applyFill="1" applyAlignment="1">
      <alignment horizontal="center"/>
    </xf>
    <xf numFmtId="3" fontId="58" fillId="18" borderId="0" xfId="0" applyNumberFormat="1" applyFont="1" applyFill="1" applyAlignment="1">
      <alignment horizontal="left" wrapText="1" indent="1"/>
    </xf>
    <xf numFmtId="3" fontId="58" fillId="18" borderId="0" xfId="0" applyNumberFormat="1" applyFont="1" applyFill="1" applyAlignment="1">
      <alignment horizontal="center" wrapText="1"/>
    </xf>
    <xf numFmtId="0" fontId="2" fillId="18" borderId="0" xfId="0" applyFont="1" applyFill="1" applyAlignment="1">
      <alignment vertical="center"/>
    </xf>
    <xf numFmtId="0" fontId="2" fillId="0" borderId="0" xfId="0" applyFont="1" applyAlignment="1">
      <alignment vertical="center"/>
    </xf>
    <xf numFmtId="0" fontId="15" fillId="18" borderId="0" xfId="0" applyFont="1" applyFill="1" applyAlignment="1">
      <alignment horizontal="center"/>
    </xf>
    <xf numFmtId="0" fontId="2" fillId="18" borderId="0" xfId="0" applyFont="1" applyFill="1" applyAlignment="1">
      <alignment horizontal="center" vertical="center"/>
    </xf>
    <xf numFmtId="0" fontId="0" fillId="18" borderId="0" xfId="0" applyFill="1" applyAlignment="1">
      <alignment horizontal="center"/>
    </xf>
    <xf numFmtId="0" fontId="82" fillId="3" borderId="41" xfId="0" applyFont="1" applyFill="1" applyBorder="1" applyAlignment="1">
      <alignment horizontal="left" vertical="center" indent="1"/>
    </xf>
    <xf numFmtId="0" fontId="62" fillId="18" borderId="0" xfId="0" applyFont="1" applyFill="1" applyAlignment="1">
      <alignment horizontal="center" vertical="center"/>
    </xf>
    <xf numFmtId="0" fontId="13" fillId="10" borderId="24" xfId="0" applyFont="1" applyFill="1" applyBorder="1" applyAlignment="1">
      <alignment horizontal="left" indent="1"/>
    </xf>
    <xf numFmtId="0" fontId="13" fillId="10" borderId="0" xfId="0" applyFont="1" applyFill="1" applyAlignment="1">
      <alignment horizontal="left" indent="1"/>
    </xf>
    <xf numFmtId="0" fontId="13" fillId="3" borderId="0" xfId="0" applyFont="1" applyFill="1" applyAlignment="1">
      <alignment horizontal="center" vertical="center"/>
    </xf>
    <xf numFmtId="0" fontId="13" fillId="10" borderId="24" xfId="0" applyFont="1" applyFill="1" applyBorder="1" applyAlignment="1">
      <alignment horizontal="left"/>
    </xf>
    <xf numFmtId="0" fontId="13" fillId="10" borderId="0" xfId="0" applyFont="1" applyFill="1" applyAlignment="1">
      <alignment horizontal="left"/>
    </xf>
    <xf numFmtId="0" fontId="13" fillId="10" borderId="40" xfId="0" applyFont="1" applyFill="1" applyBorder="1" applyAlignment="1">
      <alignment horizontal="left" vertical="center" indent="1"/>
    </xf>
    <xf numFmtId="0" fontId="13" fillId="10" borderId="50" xfId="0" applyFont="1" applyFill="1" applyBorder="1" applyAlignment="1">
      <alignment horizontal="left" vertical="center" indent="1"/>
    </xf>
    <xf numFmtId="0" fontId="153" fillId="31" borderId="0" xfId="0" applyFont="1" applyFill="1" applyAlignment="1">
      <alignment vertical="center"/>
    </xf>
    <xf numFmtId="0" fontId="134" fillId="31" borderId="0" xfId="0" applyFont="1" applyFill="1" applyAlignment="1">
      <alignment vertical="center"/>
    </xf>
    <xf numFmtId="0" fontId="134" fillId="31" borderId="0" xfId="0" quotePrefix="1" applyFont="1" applyFill="1" applyAlignment="1">
      <alignment horizontal="center" vertical="center"/>
    </xf>
    <xf numFmtId="3" fontId="58" fillId="28" borderId="0" xfId="0" applyNumberFormat="1" applyFont="1" applyFill="1" applyAlignment="1">
      <alignment horizontal="left" indent="1"/>
    </xf>
    <xf numFmtId="0" fontId="60" fillId="28" borderId="0" xfId="0" applyFont="1" applyFill="1" applyAlignment="1">
      <alignment horizontal="left" indent="1"/>
    </xf>
    <xf numFmtId="0" fontId="0" fillId="10" borderId="0" xfId="0" applyFill="1" applyAlignment="1">
      <alignment horizontal="centerContinuous"/>
    </xf>
    <xf numFmtId="0" fontId="0" fillId="28" borderId="0" xfId="0" applyFill="1" applyAlignment="1">
      <alignment horizontal="centerContinuous"/>
    </xf>
    <xf numFmtId="166" fontId="12" fillId="10" borderId="0" xfId="0" quotePrefix="1" applyNumberFormat="1" applyFont="1" applyFill="1" applyAlignment="1">
      <alignment horizontal="centerContinuous" vertical="center"/>
    </xf>
    <xf numFmtId="168" fontId="0" fillId="10" borderId="0" xfId="0" applyNumberFormat="1" applyFill="1" applyAlignment="1">
      <alignment horizontal="centerContinuous" vertical="center"/>
    </xf>
    <xf numFmtId="0" fontId="7" fillId="25" borderId="39" xfId="0" applyFont="1" applyFill="1" applyBorder="1" applyAlignment="1">
      <alignment horizontal="center" vertical="center"/>
    </xf>
    <xf numFmtId="0" fontId="7" fillId="25" borderId="42" xfId="0" applyFont="1" applyFill="1" applyBorder="1" applyAlignment="1">
      <alignment vertical="center"/>
    </xf>
    <xf numFmtId="0" fontId="61" fillId="0" borderId="4" xfId="0" applyFont="1" applyBorder="1" applyAlignment="1">
      <alignment horizontal="center" vertical="center"/>
    </xf>
    <xf numFmtId="0" fontId="61" fillId="0" borderId="64" xfId="0" applyFont="1" applyBorder="1" applyAlignment="1">
      <alignment horizontal="center" vertical="center"/>
    </xf>
    <xf numFmtId="3" fontId="2" fillId="13" borderId="22" xfId="0" applyNumberFormat="1" applyFont="1" applyFill="1" applyBorder="1" applyAlignment="1">
      <alignment horizontal="center" vertical="center"/>
    </xf>
    <xf numFmtId="3" fontId="2" fillId="13" borderId="120" xfId="0" applyNumberFormat="1" applyFont="1" applyFill="1" applyBorder="1" applyAlignment="1">
      <alignment horizontal="center" vertical="center"/>
    </xf>
    <xf numFmtId="0" fontId="7" fillId="25" borderId="40" xfId="0" applyFont="1" applyFill="1" applyBorder="1" applyAlignment="1">
      <alignment horizontal="center" vertical="center"/>
    </xf>
    <xf numFmtId="0" fontId="7" fillId="25" borderId="50" xfId="0" applyFont="1" applyFill="1" applyBorder="1" applyAlignment="1">
      <alignment vertical="center"/>
    </xf>
    <xf numFmtId="3" fontId="0" fillId="10" borderId="0" xfId="0" applyNumberFormat="1" applyFill="1" applyAlignment="1">
      <alignment horizontal="center" vertical="center"/>
    </xf>
    <xf numFmtId="0" fontId="12" fillId="0" borderId="0" xfId="0" applyFont="1" applyAlignment="1">
      <alignment vertical="center"/>
    </xf>
    <xf numFmtId="0" fontId="66" fillId="21" borderId="121" xfId="0" applyFont="1" applyFill="1" applyBorder="1" applyAlignment="1">
      <alignment horizontal="center" vertical="center"/>
    </xf>
    <xf numFmtId="0" fontId="66" fillId="21" borderId="122" xfId="0" applyFont="1" applyFill="1" applyBorder="1" applyAlignment="1">
      <alignment horizontal="left" vertical="center" indent="1"/>
    </xf>
    <xf numFmtId="0" fontId="96" fillId="24" borderId="87" xfId="0" applyFont="1" applyFill="1" applyBorder="1" applyAlignment="1">
      <alignment horizontal="left" vertical="center" indent="1"/>
    </xf>
    <xf numFmtId="166" fontId="154" fillId="24" borderId="8" xfId="0" applyNumberFormat="1" applyFont="1" applyFill="1" applyBorder="1" applyAlignment="1">
      <alignment horizontal="left" vertical="center" indent="1"/>
    </xf>
    <xf numFmtId="168" fontId="16" fillId="24" borderId="77" xfId="0" applyNumberFormat="1" applyFont="1" applyFill="1" applyBorder="1" applyAlignment="1">
      <alignment horizontal="right" vertical="center" shrinkToFit="1"/>
    </xf>
    <xf numFmtId="168" fontId="16" fillId="24" borderId="26" xfId="0" applyNumberFormat="1" applyFont="1" applyFill="1" applyBorder="1" applyAlignment="1">
      <alignment horizontal="right" vertical="center" shrinkToFit="1"/>
    </xf>
    <xf numFmtId="0" fontId="61" fillId="18" borderId="16" xfId="0" applyFont="1" applyFill="1" applyBorder="1" applyAlignment="1">
      <alignment horizontal="center" vertical="center"/>
    </xf>
    <xf numFmtId="0" fontId="61" fillId="18" borderId="19" xfId="0" applyFont="1" applyFill="1" applyBorder="1" applyAlignment="1">
      <alignment horizontal="left" vertical="center" indent="1"/>
    </xf>
    <xf numFmtId="0" fontId="96" fillId="18" borderId="68" xfId="0" applyFont="1" applyFill="1" applyBorder="1" applyAlignment="1">
      <alignment horizontal="left" vertical="center" indent="1"/>
    </xf>
    <xf numFmtId="0" fontId="61" fillId="18" borderId="20" xfId="0" applyFont="1" applyFill="1" applyBorder="1" applyAlignment="1">
      <alignment horizontal="center" vertical="center"/>
    </xf>
    <xf numFmtId="0" fontId="96" fillId="18" borderId="72" xfId="0" applyFont="1" applyFill="1" applyBorder="1" applyAlignment="1">
      <alignment horizontal="left" vertical="center" indent="1"/>
    </xf>
    <xf numFmtId="166" fontId="154" fillId="18" borderId="0" xfId="0" applyNumberFormat="1" applyFont="1" applyFill="1" applyAlignment="1">
      <alignment horizontal="left" vertical="center" indent="4"/>
    </xf>
    <xf numFmtId="0" fontId="61" fillId="18" borderId="18" xfId="0" applyFont="1" applyFill="1" applyBorder="1" applyAlignment="1">
      <alignment horizontal="left" vertical="center" indent="1"/>
    </xf>
    <xf numFmtId="0" fontId="66" fillId="21" borderId="17" xfId="0" applyFont="1" applyFill="1" applyBorder="1" applyAlignment="1">
      <alignment horizontal="center" vertical="center"/>
    </xf>
    <xf numFmtId="0" fontId="96" fillId="24" borderId="80" xfId="0" applyFont="1" applyFill="1" applyBorder="1" applyAlignment="1">
      <alignment horizontal="left" vertical="center" indent="1"/>
    </xf>
    <xf numFmtId="166" fontId="154" fillId="24" borderId="4" xfId="0" applyNumberFormat="1" applyFont="1" applyFill="1" applyBorder="1" applyAlignment="1">
      <alignment horizontal="left" vertical="center" indent="1"/>
    </xf>
    <xf numFmtId="168" fontId="16" fillId="24" borderId="80" xfId="0" applyNumberFormat="1" applyFont="1" applyFill="1" applyBorder="1" applyAlignment="1">
      <alignment horizontal="right" vertical="center" shrinkToFit="1"/>
    </xf>
    <xf numFmtId="168" fontId="16" fillId="24" borderId="27" xfId="0" applyNumberFormat="1" applyFont="1" applyFill="1" applyBorder="1" applyAlignment="1">
      <alignment horizontal="right" vertical="center" shrinkToFit="1"/>
    </xf>
    <xf numFmtId="0" fontId="61" fillId="18" borderId="123" xfId="0" applyFont="1" applyFill="1" applyBorder="1" applyAlignment="1">
      <alignment horizontal="center" vertical="center"/>
    </xf>
    <xf numFmtId="0" fontId="61" fillId="18" borderId="124" xfId="0" applyFont="1" applyFill="1" applyBorder="1" applyAlignment="1">
      <alignment horizontal="left" vertical="center" indent="1"/>
    </xf>
    <xf numFmtId="0" fontId="66" fillId="18" borderId="21" xfId="0" applyFont="1" applyFill="1" applyBorder="1" applyAlignment="1">
      <alignment horizontal="center" vertical="center"/>
    </xf>
    <xf numFmtId="0" fontId="66" fillId="18" borderId="67" xfId="0" applyFont="1" applyFill="1" applyBorder="1" applyAlignment="1">
      <alignment horizontal="left" vertical="center" indent="1"/>
    </xf>
    <xf numFmtId="0" fontId="66" fillId="21" borderId="22" xfId="0" applyFont="1" applyFill="1" applyBorder="1" applyAlignment="1">
      <alignment horizontal="center" vertical="center"/>
    </xf>
    <xf numFmtId="0" fontId="66" fillId="21" borderId="125" xfId="0" applyFont="1" applyFill="1" applyBorder="1" applyAlignment="1">
      <alignment horizontal="left" vertical="center" indent="1"/>
    </xf>
    <xf numFmtId="0" fontId="96" fillId="24" borderId="54" xfId="0" applyFont="1" applyFill="1" applyBorder="1" applyAlignment="1">
      <alignment horizontal="left" vertical="center" indent="1"/>
    </xf>
    <xf numFmtId="166" fontId="154" fillId="24" borderId="46" xfId="0" applyNumberFormat="1" applyFont="1" applyFill="1" applyBorder="1" applyAlignment="1">
      <alignment horizontal="left" vertical="center" indent="1"/>
    </xf>
    <xf numFmtId="0" fontId="0" fillId="10" borderId="0" xfId="0" applyFill="1" applyAlignment="1">
      <alignment horizontal="center" vertical="center"/>
    </xf>
    <xf numFmtId="166" fontId="12" fillId="0" borderId="0" xfId="0" quotePrefix="1" applyNumberFormat="1" applyFont="1" applyAlignment="1">
      <alignment horizontal="left" indent="4"/>
    </xf>
    <xf numFmtId="0" fontId="0" fillId="10" borderId="0" xfId="0" applyFill="1" applyAlignment="1">
      <alignment horizontal="left" indent="2"/>
    </xf>
    <xf numFmtId="3" fontId="41" fillId="3" borderId="0" xfId="0" applyNumberFormat="1" applyFont="1" applyFill="1"/>
    <xf numFmtId="0" fontId="12" fillId="3" borderId="0" xfId="0" applyFont="1" applyFill="1" applyAlignment="1">
      <alignment horizontal="left"/>
    </xf>
    <xf numFmtId="3" fontId="41" fillId="28" borderId="0" xfId="0" applyNumberFormat="1" applyFont="1" applyFill="1"/>
    <xf numFmtId="0" fontId="12" fillId="28" borderId="0" xfId="0" applyFont="1" applyFill="1" applyAlignment="1">
      <alignment horizontal="left"/>
    </xf>
    <xf numFmtId="0" fontId="12" fillId="18" borderId="0" xfId="0" applyFont="1" applyFill="1"/>
    <xf numFmtId="0" fontId="3" fillId="10" borderId="0" xfId="0" applyFont="1" applyFill="1"/>
    <xf numFmtId="0" fontId="92" fillId="34" borderId="39" xfId="0" applyFont="1" applyFill="1" applyBorder="1" applyAlignment="1">
      <alignment horizontal="centerContinuous" vertical="center"/>
    </xf>
    <xf numFmtId="0" fontId="3" fillId="34" borderId="41" xfId="0" applyFont="1" applyFill="1" applyBorder="1" applyAlignment="1">
      <alignment horizontal="centerContinuous" vertical="center"/>
    </xf>
    <xf numFmtId="0" fontId="3" fillId="34" borderId="41" xfId="0" applyFont="1" applyFill="1" applyBorder="1" applyAlignment="1">
      <alignment horizontal="centerContinuous"/>
    </xf>
    <xf numFmtId="0" fontId="3" fillId="34" borderId="42" xfId="0" applyFont="1" applyFill="1" applyBorder="1" applyAlignment="1">
      <alignment horizontal="centerContinuous"/>
    </xf>
    <xf numFmtId="0" fontId="3" fillId="0" borderId="0" xfId="0" applyFont="1"/>
    <xf numFmtId="0" fontId="3" fillId="21" borderId="126" xfId="0" applyFont="1" applyFill="1" applyBorder="1" applyAlignment="1">
      <alignment horizontal="centerContinuous"/>
    </xf>
    <xf numFmtId="0" fontId="3" fillId="21" borderId="127" xfId="0" applyFont="1" applyFill="1" applyBorder="1" applyAlignment="1">
      <alignment horizontal="centerContinuous"/>
    </xf>
    <xf numFmtId="0" fontId="3" fillId="21" borderId="128" xfId="0" applyFont="1" applyFill="1" applyBorder="1" applyAlignment="1">
      <alignment horizontal="centerContinuous"/>
    </xf>
    <xf numFmtId="0" fontId="155" fillId="38" borderId="24" xfId="0" applyFont="1" applyFill="1" applyBorder="1" applyAlignment="1">
      <alignment horizontal="centerContinuous" wrapText="1"/>
    </xf>
    <xf numFmtId="0" fontId="156" fillId="38" borderId="0" xfId="0" applyFont="1" applyFill="1" applyAlignment="1">
      <alignment horizontal="centerContinuous"/>
    </xf>
    <xf numFmtId="0" fontId="156" fillId="38" borderId="43" xfId="0" applyFont="1" applyFill="1" applyBorder="1" applyAlignment="1">
      <alignment horizontal="centerContinuous"/>
    </xf>
    <xf numFmtId="0" fontId="157" fillId="38" borderId="24" xfId="0" applyFont="1" applyFill="1" applyBorder="1" applyAlignment="1">
      <alignment horizontal="centerContinuous"/>
    </xf>
    <xf numFmtId="0" fontId="3" fillId="21" borderId="129" xfId="0" applyFont="1" applyFill="1" applyBorder="1" applyAlignment="1">
      <alignment horizontal="centerContinuous"/>
    </xf>
    <xf numFmtId="0" fontId="3" fillId="21" borderId="118" xfId="0" applyFont="1" applyFill="1" applyBorder="1" applyAlignment="1">
      <alignment horizontal="centerContinuous"/>
    </xf>
    <xf numFmtId="0" fontId="3" fillId="34" borderId="0" xfId="0" applyFont="1" applyFill="1" applyAlignment="1">
      <alignment horizontal="centerContinuous"/>
    </xf>
    <xf numFmtId="0" fontId="3" fillId="34" borderId="43" xfId="0" applyFont="1" applyFill="1" applyBorder="1" applyAlignment="1">
      <alignment horizontal="centerContinuous"/>
    </xf>
    <xf numFmtId="0" fontId="3" fillId="34" borderId="0" xfId="0" applyFont="1" applyFill="1"/>
    <xf numFmtId="0" fontId="158" fillId="34" borderId="24" xfId="0" applyFont="1" applyFill="1" applyBorder="1" applyAlignment="1">
      <alignment horizontal="left" indent="7"/>
    </xf>
    <xf numFmtId="0" fontId="13" fillId="34" borderId="0" xfId="0" applyFont="1" applyFill="1"/>
    <xf numFmtId="0" fontId="26" fillId="34" borderId="0" xfId="0" applyFont="1" applyFill="1"/>
    <xf numFmtId="0" fontId="3" fillId="34" borderId="0" xfId="0" applyFont="1" applyFill="1" applyAlignment="1">
      <alignment horizontal="left"/>
    </xf>
    <xf numFmtId="0" fontId="3" fillId="34" borderId="43" xfId="0" applyFont="1" applyFill="1" applyBorder="1" applyAlignment="1">
      <alignment horizontal="left"/>
    </xf>
    <xf numFmtId="0" fontId="3" fillId="34" borderId="40" xfId="0" applyFont="1" applyFill="1" applyBorder="1"/>
    <xf numFmtId="0" fontId="3" fillId="34" borderId="50" xfId="0" applyFont="1" applyFill="1" applyBorder="1"/>
    <xf numFmtId="0" fontId="3" fillId="34" borderId="44" xfId="0" applyFont="1" applyFill="1" applyBorder="1"/>
    <xf numFmtId="3" fontId="65" fillId="28" borderId="0" xfId="0" applyNumberFormat="1" applyFont="1" applyFill="1" applyAlignment="1">
      <alignment horizontal="centerContinuous"/>
    </xf>
    <xf numFmtId="3" fontId="68" fillId="28" borderId="0" xfId="0" applyNumberFormat="1" applyFont="1" applyFill="1" applyAlignment="1">
      <alignment horizontal="centerContinuous"/>
    </xf>
    <xf numFmtId="3" fontId="6" fillId="18" borderId="0" xfId="0" applyNumberFormat="1" applyFont="1" applyFill="1"/>
    <xf numFmtId="0" fontId="2" fillId="3" borderId="0" xfId="0" applyFont="1" applyFill="1" applyAlignment="1">
      <alignment horizontal="centerContinuous"/>
    </xf>
    <xf numFmtId="3" fontId="159" fillId="24" borderId="9" xfId="0" applyNumberFormat="1" applyFont="1" applyFill="1" applyBorder="1" applyAlignment="1">
      <alignment horizontal="center" vertical="center" wrapText="1" shrinkToFit="1"/>
    </xf>
    <xf numFmtId="3" fontId="129" fillId="29" borderId="54" xfId="0" applyNumberFormat="1" applyFont="1" applyFill="1" applyBorder="1" applyAlignment="1">
      <alignment horizontal="center" vertical="center"/>
    </xf>
    <xf numFmtId="3" fontId="129" fillId="29" borderId="137" xfId="0" applyNumberFormat="1" applyFont="1" applyFill="1" applyBorder="1" applyAlignment="1">
      <alignment horizontal="center" vertical="center"/>
    </xf>
    <xf numFmtId="3" fontId="129" fillId="29" borderId="46" xfId="0" applyNumberFormat="1" applyFont="1" applyFill="1" applyBorder="1" applyAlignment="1">
      <alignment horizontal="center" vertical="center"/>
    </xf>
    <xf numFmtId="0" fontId="160" fillId="0" borderId="0" xfId="0" applyFont="1" applyAlignment="1">
      <alignment horizontal="center" vertical="center"/>
    </xf>
    <xf numFmtId="0" fontId="160" fillId="0" borderId="0" xfId="0" applyFont="1" applyAlignment="1">
      <alignment horizontal="left" vertical="center" indent="1"/>
    </xf>
    <xf numFmtId="49" fontId="69" fillId="39" borderId="121" xfId="0" applyNumberFormat="1" applyFont="1" applyFill="1" applyBorder="1" applyAlignment="1">
      <alignment horizontal="center" vertical="center"/>
    </xf>
    <xf numFmtId="49" fontId="161" fillId="0" borderId="138" xfId="0" applyNumberFormat="1" applyFont="1" applyBorder="1" applyAlignment="1">
      <alignment horizontal="left" vertical="center" indent="1" shrinkToFit="1"/>
    </xf>
    <xf numFmtId="49" fontId="61" fillId="24" borderId="90" xfId="0" quotePrefix="1" applyNumberFormat="1" applyFont="1" applyFill="1" applyBorder="1" applyAlignment="1">
      <alignment horizontal="left" vertical="center" indent="1"/>
    </xf>
    <xf numFmtId="0" fontId="69" fillId="0" borderId="0" xfId="0" applyFont="1" applyAlignment="1">
      <alignment horizontal="center" vertical="center"/>
    </xf>
    <xf numFmtId="0" fontId="69" fillId="0" borderId="0" xfId="0" applyFont="1" applyAlignment="1">
      <alignment horizontal="left" vertical="center" indent="1"/>
    </xf>
    <xf numFmtId="49" fontId="62" fillId="0" borderId="16" xfId="0" applyNumberFormat="1" applyFont="1" applyBorder="1" applyAlignment="1">
      <alignment horizontal="center" vertical="center"/>
    </xf>
    <xf numFmtId="49" fontId="62" fillId="0" borderId="19" xfId="0" applyNumberFormat="1" applyFont="1" applyBorder="1" applyAlignment="1">
      <alignment horizontal="left" vertical="center" indent="1" shrinkToFit="1"/>
    </xf>
    <xf numFmtId="0" fontId="61" fillId="18" borderId="59" xfId="0" quotePrefix="1" applyFont="1" applyFill="1" applyBorder="1" applyAlignment="1">
      <alignment horizontal="left" vertical="center" indent="1"/>
    </xf>
    <xf numFmtId="168" fontId="31" fillId="18" borderId="79" xfId="0" applyNumberFormat="1" applyFont="1" applyFill="1" applyBorder="1" applyAlignment="1">
      <alignment horizontal="right" vertical="center" shrinkToFit="1"/>
    </xf>
    <xf numFmtId="49" fontId="62" fillId="0" borderId="20" xfId="0" applyNumberFormat="1" applyFont="1" applyBorder="1" applyAlignment="1">
      <alignment horizontal="center" vertical="center"/>
    </xf>
    <xf numFmtId="0" fontId="61" fillId="18" borderId="57" xfId="0" quotePrefix="1" applyFont="1" applyFill="1" applyBorder="1" applyAlignment="1">
      <alignment horizontal="left" vertical="center" indent="1"/>
    </xf>
    <xf numFmtId="168" fontId="31" fillId="18" borderId="102" xfId="0" applyNumberFormat="1" applyFont="1" applyFill="1" applyBorder="1" applyAlignment="1">
      <alignment horizontal="right" vertical="center" shrinkToFit="1"/>
    </xf>
    <xf numFmtId="49" fontId="69" fillId="39" borderId="17" xfId="0" applyNumberFormat="1" applyFont="1" applyFill="1" applyBorder="1" applyAlignment="1">
      <alignment horizontal="center" vertical="center"/>
    </xf>
    <xf numFmtId="49" fontId="161" fillId="0" borderId="62" xfId="0" applyNumberFormat="1" applyFont="1" applyBorder="1" applyAlignment="1">
      <alignment horizontal="left" vertical="center" indent="1" shrinkToFit="1"/>
    </xf>
    <xf numFmtId="0" fontId="61" fillId="24" borderId="58" xfId="0" quotePrefix="1" applyFont="1" applyFill="1" applyBorder="1" applyAlignment="1">
      <alignment horizontal="left" vertical="center" indent="1"/>
    </xf>
    <xf numFmtId="0" fontId="69" fillId="27" borderId="0" xfId="0" applyFont="1" applyFill="1" applyAlignment="1">
      <alignment horizontal="center" vertical="center"/>
    </xf>
    <xf numFmtId="0" fontId="69" fillId="27" borderId="0" xfId="0" applyFont="1" applyFill="1" applyAlignment="1">
      <alignment horizontal="left" vertical="center" indent="1"/>
    </xf>
    <xf numFmtId="0" fontId="61" fillId="29" borderId="60" xfId="0" quotePrefix="1" applyFont="1" applyFill="1" applyBorder="1" applyAlignment="1">
      <alignment horizontal="left" vertical="center" indent="1"/>
    </xf>
    <xf numFmtId="0" fontId="69" fillId="18" borderId="0" xfId="0" applyFont="1" applyFill="1" applyAlignment="1">
      <alignment horizontal="center" vertical="center"/>
    </xf>
    <xf numFmtId="49" fontId="62" fillId="18" borderId="0" xfId="0" applyNumberFormat="1" applyFont="1" applyFill="1" applyAlignment="1">
      <alignment horizontal="center" vertical="center"/>
    </xf>
    <xf numFmtId="49" fontId="63" fillId="18" borderId="0" xfId="0" applyNumberFormat="1" applyFont="1" applyFill="1" applyAlignment="1">
      <alignment horizontal="center" vertical="center"/>
    </xf>
    <xf numFmtId="49" fontId="61" fillId="18" borderId="0" xfId="0" quotePrefix="1" applyNumberFormat="1" applyFont="1" applyFill="1" applyAlignment="1">
      <alignment horizontal="center" vertical="center"/>
    </xf>
    <xf numFmtId="168" fontId="67" fillId="18" borderId="0" xfId="0" applyNumberFormat="1" applyFont="1" applyFill="1" applyAlignment="1">
      <alignment vertical="center" shrinkToFit="1"/>
    </xf>
    <xf numFmtId="0" fontId="3" fillId="3" borderId="41" xfId="0" applyFont="1" applyFill="1" applyBorder="1" applyAlignment="1">
      <alignment vertical="center" wrapText="1"/>
    </xf>
    <xf numFmtId="0" fontId="14" fillId="3" borderId="41" xfId="0" applyFont="1" applyFill="1" applyBorder="1" applyAlignment="1">
      <alignment horizontal="left"/>
    </xf>
    <xf numFmtId="0" fontId="14" fillId="3" borderId="42" xfId="0" applyFont="1" applyFill="1" applyBorder="1" applyAlignment="1">
      <alignment horizontal="left"/>
    </xf>
    <xf numFmtId="0" fontId="14" fillId="3" borderId="0" xfId="0" applyFont="1" applyFill="1" applyAlignment="1">
      <alignment horizontal="left"/>
    </xf>
    <xf numFmtId="0" fontId="3" fillId="3" borderId="0" xfId="0" applyFont="1" applyFill="1" applyAlignment="1">
      <alignment vertical="center" wrapText="1"/>
    </xf>
    <xf numFmtId="0" fontId="14" fillId="3" borderId="43" xfId="0" applyFont="1" applyFill="1" applyBorder="1" applyAlignment="1">
      <alignment horizontal="left"/>
    </xf>
    <xf numFmtId="0" fontId="79" fillId="18" borderId="24" xfId="0" applyFont="1" applyFill="1" applyBorder="1" applyAlignment="1">
      <alignment horizontal="left" vertical="center"/>
    </xf>
    <xf numFmtId="0" fontId="3" fillId="3" borderId="50" xfId="0" applyFont="1" applyFill="1" applyBorder="1" applyAlignment="1">
      <alignment vertical="center" wrapText="1"/>
    </xf>
    <xf numFmtId="0" fontId="14" fillId="3" borderId="50" xfId="0" applyFont="1" applyFill="1" applyBorder="1" applyAlignment="1">
      <alignment horizontal="left"/>
    </xf>
    <xf numFmtId="0" fontId="14" fillId="3" borderId="44" xfId="0" applyFont="1" applyFill="1" applyBorder="1" applyAlignment="1">
      <alignment horizontal="left"/>
    </xf>
    <xf numFmtId="49" fontId="61" fillId="27" borderId="0" xfId="0" quotePrefix="1" applyNumberFormat="1" applyFont="1" applyFill="1" applyAlignment="1">
      <alignment horizontal="center" vertical="center"/>
    </xf>
    <xf numFmtId="3" fontId="4" fillId="27" borderId="0" xfId="0" applyNumberFormat="1" applyFont="1" applyFill="1" applyAlignment="1">
      <alignment horizontal="left" vertical="center" wrapText="1" indent="3"/>
    </xf>
    <xf numFmtId="168" fontId="67" fillId="27" borderId="0" xfId="0" applyNumberFormat="1" applyFont="1" applyFill="1" applyAlignment="1">
      <alignment vertical="center" shrinkToFit="1"/>
    </xf>
    <xf numFmtId="168" fontId="68" fillId="27" borderId="0" xfId="0" applyNumberFormat="1" applyFont="1" applyFill="1" applyAlignment="1">
      <alignment vertical="center" shrinkToFit="1"/>
    </xf>
    <xf numFmtId="3" fontId="4" fillId="18" borderId="0" xfId="0" applyNumberFormat="1" applyFont="1" applyFill="1" applyAlignment="1">
      <alignment horizontal="centerContinuous" vertical="center" wrapText="1"/>
    </xf>
    <xf numFmtId="168" fontId="67" fillId="18" borderId="0" xfId="0" applyNumberFormat="1" applyFont="1" applyFill="1" applyAlignment="1">
      <alignment horizontal="centerContinuous" vertical="center"/>
    </xf>
    <xf numFmtId="168" fontId="68" fillId="18" borderId="0" xfId="0" applyNumberFormat="1" applyFont="1" applyFill="1" applyAlignment="1">
      <alignment horizontal="centerContinuous" vertical="center"/>
    </xf>
    <xf numFmtId="49" fontId="66" fillId="24" borderId="58" xfId="0" quotePrefix="1" applyNumberFormat="1" applyFont="1" applyFill="1" applyBorder="1" applyAlignment="1">
      <alignment horizontal="left" vertical="center" indent="1"/>
    </xf>
    <xf numFmtId="0" fontId="66" fillId="18" borderId="59" xfId="0" quotePrefix="1" applyFont="1" applyFill="1" applyBorder="1" applyAlignment="1">
      <alignment horizontal="left" vertical="center" indent="1"/>
    </xf>
    <xf numFmtId="0" fontId="3" fillId="3" borderId="0" xfId="0" applyFont="1" applyFill="1" applyAlignment="1">
      <alignment vertical="center"/>
    </xf>
    <xf numFmtId="0" fontId="73" fillId="18" borderId="0" xfId="0" quotePrefix="1" applyFont="1" applyFill="1" applyAlignment="1">
      <alignment horizontal="left" vertical="center"/>
    </xf>
    <xf numFmtId="0" fontId="69" fillId="0" borderId="0" xfId="0" applyFont="1" applyAlignment="1">
      <alignment vertical="center"/>
    </xf>
    <xf numFmtId="49" fontId="62" fillId="0" borderId="17" xfId="0" applyNumberFormat="1" applyFont="1" applyBorder="1" applyAlignment="1">
      <alignment horizontal="center" vertical="center"/>
    </xf>
    <xf numFmtId="49" fontId="62" fillId="0" borderId="64" xfId="0" applyNumberFormat="1" applyFont="1" applyBorder="1" applyAlignment="1">
      <alignment horizontal="left" vertical="center" indent="1" shrinkToFit="1"/>
    </xf>
    <xf numFmtId="0" fontId="66" fillId="24" borderId="90" xfId="0" quotePrefix="1" applyFont="1" applyFill="1" applyBorder="1" applyAlignment="1">
      <alignment horizontal="left" vertical="center" indent="1"/>
    </xf>
    <xf numFmtId="0" fontId="7" fillId="24" borderId="140" xfId="0" applyFont="1" applyFill="1" applyBorder="1" applyAlignment="1">
      <alignment horizontal="left" vertical="center" indent="1" shrinkToFit="1"/>
    </xf>
    <xf numFmtId="168" fontId="8" fillId="24" borderId="49" xfId="0" applyNumberFormat="1" applyFont="1" applyFill="1" applyBorder="1" applyAlignment="1">
      <alignment vertical="center" shrinkToFit="1"/>
    </xf>
    <xf numFmtId="49" fontId="69" fillId="0" borderId="21" xfId="0" applyNumberFormat="1" applyFont="1" applyBorder="1" applyAlignment="1">
      <alignment horizontal="center" vertical="center"/>
    </xf>
    <xf numFmtId="0" fontId="61" fillId="18" borderId="103" xfId="0" quotePrefix="1" applyFont="1" applyFill="1" applyBorder="1" applyAlignment="1">
      <alignment horizontal="left" vertical="center" indent="1"/>
    </xf>
    <xf numFmtId="3" fontId="4" fillId="18" borderId="50" xfId="0" applyNumberFormat="1" applyFont="1" applyFill="1" applyBorder="1" applyAlignment="1">
      <alignment horizontal="left" vertical="center" wrapText="1" indent="3"/>
    </xf>
    <xf numFmtId="168" fontId="8" fillId="18" borderId="141" xfId="0" applyNumberFormat="1" applyFont="1" applyFill="1" applyBorder="1" applyAlignment="1">
      <alignment vertical="center" shrinkToFit="1"/>
    </xf>
    <xf numFmtId="49" fontId="69" fillId="18" borderId="0" xfId="0" applyNumberFormat="1" applyFont="1" applyFill="1" applyAlignment="1">
      <alignment horizontal="center" vertical="center"/>
    </xf>
    <xf numFmtId="0" fontId="52" fillId="18" borderId="0" xfId="0" quotePrefix="1" applyFont="1" applyFill="1" applyAlignment="1">
      <alignment horizontal="center" vertical="center"/>
    </xf>
    <xf numFmtId="0" fontId="52" fillId="18" borderId="0" xfId="0" applyFont="1" applyFill="1" applyAlignment="1">
      <alignment horizontal="left" vertical="center" shrinkToFit="1"/>
    </xf>
    <xf numFmtId="3" fontId="6" fillId="18" borderId="0" xfId="0" applyNumberFormat="1" applyFont="1" applyFill="1" applyAlignment="1">
      <alignment horizontal="right" vertical="center" indent="2"/>
    </xf>
    <xf numFmtId="0" fontId="13" fillId="3" borderId="0" xfId="0" applyFont="1" applyFill="1" applyAlignment="1">
      <alignment vertical="center"/>
    </xf>
    <xf numFmtId="0" fontId="5" fillId="3" borderId="0" xfId="0" applyFont="1" applyFill="1" applyAlignment="1">
      <alignment horizontal="centerContinuous" vertical="center"/>
    </xf>
    <xf numFmtId="0" fontId="2" fillId="10" borderId="0" xfId="0" applyFont="1" applyFill="1" applyAlignment="1">
      <alignment horizontal="center"/>
    </xf>
    <xf numFmtId="0" fontId="2" fillId="10" borderId="0" xfId="0" applyFont="1" applyFill="1"/>
    <xf numFmtId="0" fontId="9" fillId="15" borderId="121" xfId="0" applyFont="1" applyFill="1" applyBorder="1" applyAlignment="1">
      <alignment horizontal="center" vertical="center" wrapText="1"/>
    </xf>
    <xf numFmtId="0" fontId="9" fillId="15" borderId="138" xfId="0" applyFont="1" applyFill="1" applyBorder="1" applyAlignment="1">
      <alignment horizontal="center" vertical="center" wrapText="1"/>
    </xf>
    <xf numFmtId="0" fontId="5" fillId="10" borderId="17" xfId="0" applyFont="1" applyFill="1" applyBorder="1" applyAlignment="1">
      <alignment horizontal="left" vertical="center" indent="3"/>
    </xf>
    <xf numFmtId="0" fontId="36" fillId="10" borderId="62" xfId="0" applyFont="1" applyFill="1" applyBorder="1" applyAlignment="1">
      <alignment horizontal="center" vertical="center"/>
    </xf>
    <xf numFmtId="0" fontId="5" fillId="10" borderId="22" xfId="0" applyFont="1" applyFill="1" applyBorder="1" applyAlignment="1">
      <alignment horizontal="left" vertical="center" indent="3"/>
    </xf>
    <xf numFmtId="0" fontId="36" fillId="10" borderId="125" xfId="0" applyFont="1" applyFill="1" applyBorder="1" applyAlignment="1">
      <alignment horizontal="center" vertical="center"/>
    </xf>
    <xf numFmtId="3" fontId="62" fillId="0" borderId="0" xfId="0" applyNumberFormat="1" applyFont="1" applyAlignment="1">
      <alignment horizontal="center"/>
    </xf>
    <xf numFmtId="3" fontId="62" fillId="3" borderId="0" xfId="0" applyNumberFormat="1" applyFont="1" applyFill="1" applyAlignment="1">
      <alignment horizontal="center"/>
    </xf>
    <xf numFmtId="3" fontId="129" fillId="29" borderId="76" xfId="0" applyNumberFormat="1" applyFont="1" applyFill="1" applyBorder="1" applyAlignment="1">
      <alignment horizontal="center" vertical="center" wrapText="1"/>
    </xf>
    <xf numFmtId="3" fontId="162" fillId="24" borderId="89" xfId="0" applyNumberFormat="1" applyFont="1" applyFill="1" applyBorder="1" applyAlignment="1">
      <alignment horizontal="center" vertical="center" wrapText="1"/>
    </xf>
    <xf numFmtId="3" fontId="163" fillId="24" borderId="142" xfId="0" applyNumberFormat="1" applyFont="1" applyFill="1" applyBorder="1" applyAlignment="1">
      <alignment horizontal="center" vertical="center" wrapText="1"/>
    </xf>
    <xf numFmtId="3" fontId="131" fillId="29" borderId="48" xfId="0" applyNumberFormat="1" applyFont="1" applyFill="1" applyBorder="1" applyAlignment="1">
      <alignment horizontal="center" vertical="center"/>
    </xf>
    <xf numFmtId="3" fontId="129" fillId="29" borderId="143" xfId="0" applyNumberFormat="1" applyFont="1" applyFill="1" applyBorder="1" applyAlignment="1">
      <alignment horizontal="center" vertical="center"/>
    </xf>
    <xf numFmtId="3" fontId="161" fillId="0" borderId="0" xfId="0" applyNumberFormat="1" applyFont="1" applyAlignment="1">
      <alignment horizontal="left" vertical="center" indent="1"/>
    </xf>
    <xf numFmtId="3" fontId="164" fillId="39" borderId="16" xfId="0" applyNumberFormat="1" applyFont="1" applyFill="1" applyBorder="1" applyAlignment="1">
      <alignment horizontal="center" vertical="center"/>
    </xf>
    <xf numFmtId="49" fontId="160" fillId="0" borderId="19" xfId="0" applyNumberFormat="1" applyFont="1" applyBorder="1" applyAlignment="1">
      <alignment horizontal="left" vertical="center" indent="1"/>
    </xf>
    <xf numFmtId="0" fontId="66" fillId="0" borderId="57" xfId="0" applyFont="1" applyBorder="1" applyAlignment="1">
      <alignment horizontal="left" vertical="center" indent="1"/>
    </xf>
    <xf numFmtId="3" fontId="7" fillId="0" borderId="0" xfId="0" applyNumberFormat="1" applyFont="1" applyAlignment="1">
      <alignment horizontal="left" vertical="center" wrapText="1" indent="3"/>
    </xf>
    <xf numFmtId="168" fontId="98" fillId="0" borderId="0" xfId="0" applyNumberFormat="1" applyFont="1" applyAlignment="1">
      <alignment horizontal="right" vertical="center" shrinkToFit="1"/>
    </xf>
    <xf numFmtId="3" fontId="164" fillId="39" borderId="123" xfId="0" applyNumberFormat="1" applyFont="1" applyFill="1" applyBorder="1" applyAlignment="1">
      <alignment horizontal="center" vertical="center"/>
    </xf>
    <xf numFmtId="3" fontId="8" fillId="28" borderId="121" xfId="0" applyNumberFormat="1" applyFont="1" applyFill="1" applyBorder="1" applyAlignment="1">
      <alignment horizontal="center" vertical="center"/>
    </xf>
    <xf numFmtId="3" fontId="69" fillId="28" borderId="122" xfId="0" applyNumberFormat="1" applyFont="1" applyFill="1" applyBorder="1" applyAlignment="1">
      <alignment horizontal="left" vertical="center" indent="1"/>
    </xf>
    <xf numFmtId="3" fontId="62" fillId="18" borderId="0" xfId="0" applyNumberFormat="1" applyFont="1" applyFill="1" applyAlignment="1">
      <alignment horizontal="center" vertical="center"/>
    </xf>
    <xf numFmtId="3" fontId="7" fillId="18" borderId="0" xfId="0" applyNumberFormat="1" applyFont="1" applyFill="1" applyAlignment="1">
      <alignment horizontal="left" vertical="center" wrapText="1" indent="3"/>
    </xf>
    <xf numFmtId="0" fontId="101" fillId="3" borderId="39" xfId="0" applyFont="1" applyFill="1" applyBorder="1" applyAlignment="1">
      <alignment horizontal="left" vertical="center" indent="1"/>
    </xf>
    <xf numFmtId="0" fontId="83" fillId="18" borderId="24" xfId="0" applyFont="1" applyFill="1" applyBorder="1" applyAlignment="1">
      <alignment horizontal="left" vertical="center" indent="1"/>
    </xf>
    <xf numFmtId="49" fontId="61" fillId="40" borderId="0" xfId="0" applyNumberFormat="1" applyFont="1" applyFill="1" applyAlignment="1">
      <alignment horizontal="center" vertical="center"/>
    </xf>
    <xf numFmtId="3" fontId="7" fillId="40" borderId="0" xfId="0" applyNumberFormat="1" applyFont="1" applyFill="1" applyAlignment="1">
      <alignment horizontal="left" vertical="center" wrapText="1" indent="3"/>
    </xf>
    <xf numFmtId="168" fontId="67" fillId="40" borderId="0" xfId="0" applyNumberFormat="1" applyFont="1" applyFill="1" applyAlignment="1">
      <alignment vertical="center" shrinkToFit="1"/>
    </xf>
    <xf numFmtId="168" fontId="68" fillId="40" borderId="0" xfId="0" applyNumberFormat="1" applyFont="1" applyFill="1" applyAlignment="1">
      <alignment vertical="center" shrinkToFit="1"/>
    </xf>
    <xf numFmtId="3" fontId="166" fillId="29" borderId="76" xfId="0" applyNumberFormat="1" applyFont="1" applyFill="1" applyBorder="1" applyAlignment="1">
      <alignment horizontal="center" vertical="center" wrapText="1"/>
    </xf>
    <xf numFmtId="3" fontId="162" fillId="24" borderId="142" xfId="0" applyNumberFormat="1" applyFont="1" applyFill="1" applyBorder="1" applyAlignment="1">
      <alignment horizontal="center" vertical="center" wrapText="1"/>
    </xf>
    <xf numFmtId="3" fontId="167" fillId="21" borderId="0" xfId="0" applyNumberFormat="1" applyFont="1" applyFill="1" applyAlignment="1">
      <alignment horizontal="left" vertical="center" indent="1"/>
    </xf>
    <xf numFmtId="49" fontId="69" fillId="21" borderId="62" xfId="0" applyNumberFormat="1" applyFont="1" applyFill="1" applyBorder="1" applyAlignment="1">
      <alignment horizontal="left" vertical="center" indent="1"/>
    </xf>
    <xf numFmtId="49" fontId="66" fillId="24" borderId="58" xfId="0" applyNumberFormat="1" applyFont="1" applyFill="1" applyBorder="1" applyAlignment="1">
      <alignment horizontal="left" vertical="center" indent="1"/>
    </xf>
    <xf numFmtId="0" fontId="51" fillId="24" borderId="144" xfId="0" applyFont="1" applyFill="1" applyBorder="1" applyAlignment="1">
      <alignment horizontal="left" vertical="center" shrinkToFit="1"/>
    </xf>
    <xf numFmtId="3" fontId="165" fillId="3" borderId="19" xfId="0" applyNumberFormat="1" applyFont="1" applyFill="1" applyBorder="1" applyAlignment="1">
      <alignment horizontal="left" vertical="center" indent="1"/>
    </xf>
    <xf numFmtId="0" fontId="66" fillId="29" borderId="59" xfId="0" applyFont="1" applyFill="1" applyBorder="1" applyAlignment="1">
      <alignment horizontal="left" vertical="center" indent="1"/>
    </xf>
    <xf numFmtId="3" fontId="167" fillId="0" borderId="0" xfId="0" applyNumberFormat="1" applyFont="1" applyAlignment="1">
      <alignment horizontal="left" vertical="center" indent="1"/>
    </xf>
    <xf numFmtId="3" fontId="165" fillId="3" borderId="145" xfId="0" applyNumberFormat="1" applyFont="1" applyFill="1" applyBorder="1" applyAlignment="1">
      <alignment horizontal="left" vertical="center" indent="1"/>
    </xf>
    <xf numFmtId="3" fontId="167" fillId="20" borderId="0" xfId="0" applyNumberFormat="1" applyFont="1" applyFill="1" applyAlignment="1">
      <alignment horizontal="left" vertical="center" indent="1"/>
    </xf>
    <xf numFmtId="3" fontId="69" fillId="20" borderId="64" xfId="0" applyNumberFormat="1" applyFont="1" applyFill="1" applyBorder="1" applyAlignment="1">
      <alignment horizontal="left" vertical="center" indent="1"/>
    </xf>
    <xf numFmtId="0" fontId="66" fillId="3" borderId="59" xfId="0" applyFont="1" applyFill="1" applyBorder="1" applyAlignment="1">
      <alignment horizontal="left" vertical="center" indent="1"/>
    </xf>
    <xf numFmtId="0" fontId="66" fillId="3" borderId="57" xfId="0" applyFont="1" applyFill="1" applyBorder="1" applyAlignment="1">
      <alignment horizontal="left" vertical="center" indent="1"/>
    </xf>
    <xf numFmtId="0" fontId="51" fillId="24" borderId="146" xfId="0" applyFont="1" applyFill="1" applyBorder="1" applyAlignment="1">
      <alignment horizontal="left" vertical="center" wrapText="1"/>
    </xf>
    <xf numFmtId="168" fontId="143" fillId="24" borderId="96" xfId="0" applyNumberFormat="1" applyFont="1" applyFill="1" applyBorder="1" applyAlignment="1">
      <alignment horizontal="right" vertical="center" shrinkToFit="1"/>
    </xf>
    <xf numFmtId="49" fontId="69" fillId="21" borderId="65" xfId="0" applyNumberFormat="1" applyFont="1" applyFill="1" applyBorder="1" applyAlignment="1">
      <alignment horizontal="left" vertical="center" indent="1"/>
    </xf>
    <xf numFmtId="3" fontId="69" fillId="0" borderId="0" xfId="0" applyNumberFormat="1" applyFont="1" applyAlignment="1">
      <alignment horizontal="center" vertical="center"/>
    </xf>
    <xf numFmtId="49" fontId="69" fillId="0" borderId="8" xfId="0" applyNumberFormat="1" applyFont="1" applyBorder="1" applyAlignment="1">
      <alignment horizontal="center" vertical="center"/>
    </xf>
    <xf numFmtId="49" fontId="62" fillId="0" borderId="8" xfId="0" applyNumberFormat="1" applyFont="1" applyBorder="1" applyAlignment="1">
      <alignment horizontal="left" vertical="center" indent="1" shrinkToFit="1"/>
    </xf>
    <xf numFmtId="0" fontId="73" fillId="29" borderId="55" xfId="0" quotePrefix="1" applyFont="1" applyFill="1" applyBorder="1" applyAlignment="1">
      <alignment horizontal="left" vertical="center" indent="1"/>
    </xf>
    <xf numFmtId="3" fontId="4" fillId="29" borderId="52" xfId="0" applyNumberFormat="1" applyFont="1" applyFill="1" applyBorder="1" applyAlignment="1">
      <alignment horizontal="centerContinuous" vertical="center" wrapText="1"/>
    </xf>
    <xf numFmtId="168" fontId="98" fillId="29" borderId="52" xfId="0" applyNumberFormat="1" applyFont="1" applyFill="1" applyBorder="1" applyAlignment="1">
      <alignment horizontal="centerContinuous" vertical="center"/>
    </xf>
    <xf numFmtId="168" fontId="98" fillId="29" borderId="76" xfId="0" applyNumberFormat="1" applyFont="1" applyFill="1" applyBorder="1" applyAlignment="1">
      <alignment horizontal="centerContinuous" vertical="center"/>
    </xf>
    <xf numFmtId="49" fontId="66" fillId="24" borderId="90" xfId="0" quotePrefix="1" applyNumberFormat="1" applyFont="1" applyFill="1" applyBorder="1" applyAlignment="1">
      <alignment horizontal="left" vertical="center" indent="1"/>
    </xf>
    <xf numFmtId="0" fontId="7" fillId="24" borderId="23" xfId="0" applyFont="1" applyFill="1" applyBorder="1" applyAlignment="1">
      <alignment horizontal="left" vertical="center" wrapText="1" indent="1"/>
    </xf>
    <xf numFmtId="0" fontId="7" fillId="24" borderId="8" xfId="0" applyFont="1" applyFill="1" applyBorder="1" applyAlignment="1">
      <alignment horizontal="left" vertical="center" wrapText="1" indent="1"/>
    </xf>
    <xf numFmtId="49" fontId="69" fillId="0" borderId="0" xfId="0" applyNumberFormat="1" applyFont="1" applyAlignment="1">
      <alignment horizontal="center" vertical="center"/>
    </xf>
    <xf numFmtId="49" fontId="62" fillId="0" borderId="0" xfId="0" applyNumberFormat="1" applyFont="1" applyAlignment="1">
      <alignment horizontal="left" vertical="center" indent="1" shrinkToFit="1"/>
    </xf>
    <xf numFmtId="0" fontId="66" fillId="18" borderId="0" xfId="0" quotePrefix="1" applyFont="1" applyFill="1" applyAlignment="1">
      <alignment horizontal="left" vertical="center" indent="1"/>
    </xf>
    <xf numFmtId="0" fontId="7" fillId="24" borderId="23" xfId="0" applyFont="1" applyFill="1" applyBorder="1" applyAlignment="1">
      <alignment horizontal="left" vertical="center" indent="1"/>
    </xf>
    <xf numFmtId="0" fontId="134" fillId="31" borderId="0" xfId="0" applyFont="1" applyFill="1" applyAlignment="1">
      <alignment horizontal="left"/>
    </xf>
    <xf numFmtId="0" fontId="134" fillId="31" borderId="0" xfId="0" applyFont="1" applyFill="1" applyAlignment="1">
      <alignment horizontal="center"/>
    </xf>
    <xf numFmtId="0" fontId="134" fillId="31" borderId="0" xfId="0" quotePrefix="1" applyFont="1" applyFill="1" applyAlignment="1">
      <alignment horizontal="center"/>
    </xf>
    <xf numFmtId="3" fontId="166" fillId="25" borderId="76" xfId="0" applyNumberFormat="1" applyFont="1" applyFill="1" applyBorder="1" applyAlignment="1">
      <alignment horizontal="center" vertical="center" wrapText="1"/>
    </xf>
    <xf numFmtId="3" fontId="129" fillId="24" borderId="9" xfId="0" applyNumberFormat="1" applyFont="1" applyFill="1" applyBorder="1" applyAlignment="1">
      <alignment horizontal="center" vertical="center" wrapText="1" shrinkToFit="1"/>
    </xf>
    <xf numFmtId="3" fontId="129" fillId="29" borderId="45" xfId="0" applyNumberFormat="1" applyFont="1" applyFill="1" applyBorder="1" applyAlignment="1">
      <alignment horizontal="center" vertical="center"/>
    </xf>
    <xf numFmtId="49" fontId="61" fillId="24" borderId="90" xfId="0" applyNumberFormat="1" applyFont="1" applyFill="1" applyBorder="1" applyAlignment="1">
      <alignment horizontal="left" vertical="center" indent="1"/>
    </xf>
    <xf numFmtId="49" fontId="61" fillId="0" borderId="57" xfId="0" applyNumberFormat="1" applyFont="1" applyBorder="1" applyAlignment="1">
      <alignment horizontal="left" vertical="center" indent="1"/>
    </xf>
    <xf numFmtId="49" fontId="61" fillId="24" borderId="58" xfId="0" applyNumberFormat="1" applyFont="1" applyFill="1" applyBorder="1" applyAlignment="1">
      <alignment horizontal="left" vertical="center" indent="1"/>
    </xf>
    <xf numFmtId="3" fontId="69" fillId="27" borderId="0" xfId="0" applyNumberFormat="1" applyFont="1" applyFill="1" applyAlignment="1">
      <alignment horizontal="center" vertical="center"/>
    </xf>
    <xf numFmtId="0" fontId="52" fillId="29" borderId="51" xfId="0" applyFont="1" applyFill="1" applyBorder="1" applyAlignment="1">
      <alignment vertical="center" shrinkToFit="1"/>
    </xf>
    <xf numFmtId="3" fontId="168" fillId="18" borderId="0" xfId="0" applyNumberFormat="1" applyFont="1" applyFill="1" applyAlignment="1">
      <alignment horizontal="center" vertical="center"/>
    </xf>
    <xf numFmtId="3" fontId="169" fillId="18" borderId="0" xfId="0" applyNumberFormat="1" applyFont="1" applyFill="1" applyAlignment="1">
      <alignment horizontal="center" vertical="center"/>
    </xf>
    <xf numFmtId="3" fontId="123" fillId="3" borderId="0" xfId="0" applyNumberFormat="1" applyFont="1" applyFill="1"/>
    <xf numFmtId="3" fontId="170" fillId="3" borderId="0" xfId="0" applyNumberFormat="1" applyFont="1" applyFill="1" applyAlignment="1">
      <alignment horizontal="center"/>
    </xf>
    <xf numFmtId="3" fontId="123" fillId="3" borderId="41" xfId="0" applyNumberFormat="1" applyFont="1" applyFill="1" applyBorder="1"/>
    <xf numFmtId="3" fontId="123" fillId="3" borderId="42" xfId="0" applyNumberFormat="1" applyFont="1" applyFill="1" applyBorder="1"/>
    <xf numFmtId="3" fontId="123" fillId="18" borderId="0" xfId="0" applyNumberFormat="1" applyFont="1" applyFill="1" applyAlignment="1">
      <alignment vertical="center"/>
    </xf>
    <xf numFmtId="0" fontId="137" fillId="3" borderId="0" xfId="0" applyFont="1" applyFill="1" applyAlignment="1">
      <alignment horizontal="center" vertical="center"/>
    </xf>
    <xf numFmtId="0" fontId="123" fillId="3" borderId="0" xfId="0" applyFont="1" applyFill="1"/>
    <xf numFmtId="3" fontId="123" fillId="18" borderId="0" xfId="0" applyNumberFormat="1" applyFont="1" applyFill="1"/>
    <xf numFmtId="3" fontId="123" fillId="3" borderId="43" xfId="0" applyNumberFormat="1" applyFont="1" applyFill="1" applyBorder="1"/>
    <xf numFmtId="3" fontId="123" fillId="18" borderId="50" xfId="0" applyNumberFormat="1" applyFont="1" applyFill="1" applyBorder="1"/>
    <xf numFmtId="3" fontId="123" fillId="3" borderId="44" xfId="0" applyNumberFormat="1" applyFont="1" applyFill="1" applyBorder="1"/>
    <xf numFmtId="49" fontId="165" fillId="18" borderId="0" xfId="0" applyNumberFormat="1" applyFont="1" applyFill="1" applyAlignment="1">
      <alignment horizontal="center" vertical="center"/>
    </xf>
    <xf numFmtId="49" fontId="170" fillId="18" borderId="0" xfId="0" applyNumberFormat="1" applyFont="1" applyFill="1" applyAlignment="1">
      <alignment horizontal="center" vertical="center"/>
    </xf>
    <xf numFmtId="3" fontId="124" fillId="18" borderId="0" xfId="0" applyNumberFormat="1" applyFont="1" applyFill="1" applyAlignment="1">
      <alignment horizontal="left" vertical="center" wrapText="1" indent="3"/>
    </xf>
    <xf numFmtId="168" fontId="171" fillId="18" borderId="0" xfId="0" applyNumberFormat="1" applyFont="1" applyFill="1" applyAlignment="1">
      <alignment vertical="center" shrinkToFit="1"/>
    </xf>
    <xf numFmtId="49" fontId="170" fillId="40" borderId="0" xfId="0" applyNumberFormat="1" applyFont="1" applyFill="1" applyAlignment="1">
      <alignment horizontal="center" vertical="center"/>
    </xf>
    <xf numFmtId="3" fontId="124" fillId="40" borderId="0" xfId="0" applyNumberFormat="1" applyFont="1" applyFill="1" applyAlignment="1">
      <alignment horizontal="left" vertical="center" wrapText="1" indent="3"/>
    </xf>
    <xf numFmtId="168" fontId="171" fillId="40" borderId="0" xfId="0" applyNumberFormat="1" applyFont="1" applyFill="1" applyAlignment="1">
      <alignment vertical="center" shrinkToFit="1"/>
    </xf>
    <xf numFmtId="3" fontId="2" fillId="3" borderId="0" xfId="0" applyNumberFormat="1" applyFont="1" applyFill="1" applyAlignment="1">
      <alignment shrinkToFit="1"/>
    </xf>
    <xf numFmtId="3" fontId="33" fillId="0" borderId="149" xfId="0" applyNumberFormat="1" applyFont="1" applyBorder="1" applyAlignment="1">
      <alignment horizontal="center" vertical="center"/>
    </xf>
    <xf numFmtId="49" fontId="61" fillId="0" borderId="19" xfId="0" applyNumberFormat="1" applyFont="1" applyBorder="1" applyAlignment="1">
      <alignment horizontal="left" vertical="center" indent="1"/>
    </xf>
    <xf numFmtId="3" fontId="33" fillId="3" borderId="119" xfId="0" applyNumberFormat="1" applyFont="1" applyFill="1" applyBorder="1" applyAlignment="1">
      <alignment horizontal="center" vertical="center"/>
    </xf>
    <xf numFmtId="168" fontId="68" fillId="18" borderId="41" xfId="0" applyNumberFormat="1" applyFont="1" applyFill="1" applyBorder="1" applyAlignment="1">
      <alignment vertical="center" shrinkToFit="1"/>
    </xf>
    <xf numFmtId="168" fontId="68" fillId="18" borderId="42" xfId="0" applyNumberFormat="1" applyFont="1" applyFill="1" applyBorder="1" applyAlignment="1">
      <alignment vertical="center" shrinkToFit="1"/>
    </xf>
    <xf numFmtId="168" fontId="68" fillId="18" borderId="43" xfId="0" applyNumberFormat="1" applyFont="1" applyFill="1" applyBorder="1" applyAlignment="1">
      <alignment vertical="center" shrinkToFit="1"/>
    </xf>
    <xf numFmtId="168" fontId="68" fillId="18" borderId="50" xfId="0" applyNumberFormat="1" applyFont="1" applyFill="1" applyBorder="1" applyAlignment="1">
      <alignment vertical="center" shrinkToFit="1"/>
    </xf>
    <xf numFmtId="168" fontId="68" fillId="18" borderId="44" xfId="0" applyNumberFormat="1" applyFont="1" applyFill="1" applyBorder="1" applyAlignment="1">
      <alignment vertical="center" shrinkToFit="1"/>
    </xf>
    <xf numFmtId="168" fontId="67" fillId="21" borderId="0" xfId="0" applyNumberFormat="1" applyFont="1" applyFill="1" applyAlignment="1">
      <alignment vertical="center" shrinkToFit="1"/>
    </xf>
    <xf numFmtId="49" fontId="61" fillId="24" borderId="63" xfId="0" applyNumberFormat="1" applyFont="1" applyFill="1" applyBorder="1" applyAlignment="1">
      <alignment horizontal="left" vertical="center" indent="1"/>
    </xf>
    <xf numFmtId="168" fontId="8" fillId="24" borderId="13" xfId="0" applyNumberFormat="1" applyFont="1" applyFill="1" applyBorder="1" applyAlignment="1">
      <alignment vertical="center" shrinkToFit="1"/>
    </xf>
    <xf numFmtId="3" fontId="61" fillId="29" borderId="19" xfId="0" applyNumberFormat="1" applyFont="1" applyFill="1" applyBorder="1" applyAlignment="1">
      <alignment horizontal="left" vertical="center" indent="1"/>
    </xf>
    <xf numFmtId="3" fontId="61" fillId="20" borderId="64" xfId="0" applyNumberFormat="1" applyFont="1" applyFill="1" applyBorder="1" applyAlignment="1">
      <alignment horizontal="left" vertical="center" indent="1"/>
    </xf>
    <xf numFmtId="3" fontId="61" fillId="0" borderId="0" xfId="0" applyNumberFormat="1" applyFont="1" applyAlignment="1">
      <alignment horizontal="left" vertical="center" indent="1"/>
    </xf>
    <xf numFmtId="49" fontId="61" fillId="20" borderId="64" xfId="0" applyNumberFormat="1" applyFont="1" applyFill="1" applyBorder="1" applyAlignment="1">
      <alignment horizontal="left" vertical="center" indent="1"/>
    </xf>
    <xf numFmtId="0" fontId="61" fillId="24" borderId="61" xfId="0" applyFont="1" applyFill="1" applyBorder="1" applyAlignment="1">
      <alignment horizontal="left" vertical="center" indent="1"/>
    </xf>
    <xf numFmtId="49" fontId="61" fillId="21" borderId="65" xfId="0" applyNumberFormat="1" applyFont="1" applyFill="1" applyBorder="1" applyAlignment="1">
      <alignment horizontal="left" vertical="center" indent="1"/>
    </xf>
    <xf numFmtId="0" fontId="151" fillId="22" borderId="0" xfId="0" applyFont="1" applyFill="1" applyAlignment="1">
      <alignment horizontal="center" vertical="center" wrapText="1"/>
    </xf>
    <xf numFmtId="3" fontId="6" fillId="18" borderId="0" xfId="0" applyNumberFormat="1" applyFont="1" applyFill="1" applyAlignment="1">
      <alignment horizontal="centerContinuous"/>
    </xf>
    <xf numFmtId="0" fontId="54" fillId="25" borderId="39" xfId="0" applyFont="1" applyFill="1" applyBorder="1" applyAlignment="1">
      <alignment vertical="center" wrapText="1"/>
    </xf>
    <xf numFmtId="0" fontId="54" fillId="25" borderId="42" xfId="0" applyFont="1" applyFill="1" applyBorder="1" applyAlignment="1">
      <alignment vertical="center"/>
    </xf>
    <xf numFmtId="0" fontId="54" fillId="25" borderId="24" xfId="0" applyFont="1" applyFill="1" applyBorder="1" applyAlignment="1">
      <alignment vertical="center"/>
    </xf>
    <xf numFmtId="0" fontId="54" fillId="25" borderId="43" xfId="0" applyFont="1" applyFill="1" applyBorder="1" applyAlignment="1">
      <alignment vertical="center"/>
    </xf>
    <xf numFmtId="3" fontId="4" fillId="18" borderId="3" xfId="0" applyNumberFormat="1" applyFont="1" applyFill="1" applyBorder="1" applyAlignment="1">
      <alignment horizontal="center" vertical="center"/>
    </xf>
    <xf numFmtId="3" fontId="4" fillId="18" borderId="12" xfId="0" applyNumberFormat="1" applyFont="1" applyFill="1" applyBorder="1" applyAlignment="1">
      <alignment horizontal="center" vertical="center"/>
    </xf>
    <xf numFmtId="3" fontId="4" fillId="18" borderId="96" xfId="0" applyNumberFormat="1" applyFont="1" applyFill="1" applyBorder="1" applyAlignment="1">
      <alignment horizontal="center" vertical="center"/>
    </xf>
    <xf numFmtId="3" fontId="31" fillId="13" borderId="14" xfId="0" applyNumberFormat="1" applyFont="1" applyFill="1" applyBorder="1" applyAlignment="1">
      <alignment horizontal="center" vertical="center"/>
    </xf>
    <xf numFmtId="3" fontId="31" fillId="13" borderId="15" xfId="0" applyNumberFormat="1" applyFont="1" applyFill="1" applyBorder="1" applyAlignment="1">
      <alignment horizontal="center" vertical="center"/>
    </xf>
    <xf numFmtId="0" fontId="52" fillId="29" borderId="61" xfId="0" applyFont="1" applyFill="1" applyBorder="1" applyAlignment="1">
      <alignment horizontal="center" vertical="center"/>
    </xf>
    <xf numFmtId="0" fontId="52" fillId="29" borderId="150" xfId="0" applyFont="1" applyFill="1" applyBorder="1" applyAlignment="1">
      <alignment horizontal="center" vertical="center"/>
    </xf>
    <xf numFmtId="3" fontId="4" fillId="29" borderId="45" xfId="0" quotePrefix="1" applyNumberFormat="1" applyFont="1" applyFill="1" applyBorder="1" applyAlignment="1">
      <alignment horizontal="center" vertical="center"/>
    </xf>
    <xf numFmtId="3" fontId="4" fillId="29" borderId="137" xfId="0" quotePrefix="1" applyNumberFormat="1" applyFont="1" applyFill="1" applyBorder="1" applyAlignment="1">
      <alignment horizontal="center" vertical="center"/>
    </xf>
    <xf numFmtId="3" fontId="4" fillId="29" borderId="47" xfId="0" quotePrefix="1" applyNumberFormat="1" applyFont="1" applyFill="1" applyBorder="1" applyAlignment="1">
      <alignment horizontal="center" vertical="center"/>
    </xf>
    <xf numFmtId="3" fontId="4" fillId="29" borderId="48" xfId="0" quotePrefix="1" applyNumberFormat="1" applyFont="1" applyFill="1" applyBorder="1" applyAlignment="1">
      <alignment horizontal="center" vertical="center"/>
    </xf>
    <xf numFmtId="3" fontId="33" fillId="0" borderId="16" xfId="0" applyNumberFormat="1" applyFont="1" applyBorder="1" applyAlignment="1">
      <alignment horizontal="center" vertical="center"/>
    </xf>
    <xf numFmtId="49" fontId="61" fillId="24" borderId="151" xfId="0" applyNumberFormat="1" applyFont="1" applyFill="1" applyBorder="1" applyAlignment="1">
      <alignment horizontal="left" vertical="center" indent="1"/>
    </xf>
    <xf numFmtId="3" fontId="132" fillId="24" borderId="152" xfId="0" applyNumberFormat="1" applyFont="1" applyFill="1" applyBorder="1" applyAlignment="1">
      <alignment horizontal="left" vertical="center" wrapText="1" indent="1"/>
    </xf>
    <xf numFmtId="168" fontId="8" fillId="24" borderId="153" xfId="0" applyNumberFormat="1" applyFont="1" applyFill="1" applyBorder="1" applyAlignment="1">
      <alignment vertical="center" shrinkToFit="1"/>
    </xf>
    <xf numFmtId="168" fontId="8" fillId="24" borderId="154" xfId="0" applyNumberFormat="1" applyFont="1" applyFill="1" applyBorder="1" applyAlignment="1">
      <alignment vertical="center" shrinkToFit="1"/>
    </xf>
    <xf numFmtId="168" fontId="8" fillId="24" borderId="155" xfId="0" applyNumberFormat="1" applyFont="1" applyFill="1" applyBorder="1" applyAlignment="1">
      <alignment vertical="center" shrinkToFit="1"/>
    </xf>
    <xf numFmtId="3" fontId="33" fillId="0" borderId="20" xfId="0" applyNumberFormat="1" applyFont="1" applyBorder="1" applyAlignment="1">
      <alignment horizontal="center" vertical="center"/>
    </xf>
    <xf numFmtId="49" fontId="63" fillId="41" borderId="17" xfId="0" applyNumberFormat="1" applyFont="1" applyFill="1" applyBorder="1" applyAlignment="1">
      <alignment horizontal="center" vertical="center"/>
    </xf>
    <xf numFmtId="49" fontId="61" fillId="41" borderId="62" xfId="0" applyNumberFormat="1" applyFont="1" applyFill="1" applyBorder="1" applyAlignment="1">
      <alignment horizontal="left" vertical="center" indent="1"/>
    </xf>
    <xf numFmtId="49" fontId="63" fillId="41" borderId="156" xfId="0" applyNumberFormat="1" applyFont="1" applyFill="1" applyBorder="1" applyAlignment="1">
      <alignment horizontal="center" vertical="center"/>
    </xf>
    <xf numFmtId="49" fontId="61" fillId="41" borderId="157" xfId="0" applyNumberFormat="1" applyFont="1" applyFill="1" applyBorder="1" applyAlignment="1">
      <alignment horizontal="left" vertical="center" indent="1"/>
    </xf>
    <xf numFmtId="0" fontId="66" fillId="18" borderId="57" xfId="0" applyFont="1" applyFill="1" applyBorder="1" applyAlignment="1">
      <alignment horizontal="left" vertical="center" indent="1"/>
    </xf>
    <xf numFmtId="49" fontId="63" fillId="41" borderId="22" xfId="0" applyNumberFormat="1" applyFont="1" applyFill="1" applyBorder="1" applyAlignment="1">
      <alignment horizontal="center" vertical="center"/>
    </xf>
    <xf numFmtId="49" fontId="61" fillId="41" borderId="65" xfId="0" applyNumberFormat="1" applyFont="1" applyFill="1" applyBorder="1" applyAlignment="1">
      <alignment horizontal="left" vertical="center" indent="1"/>
    </xf>
    <xf numFmtId="0" fontId="13" fillId="3" borderId="24" xfId="0" applyFont="1" applyFill="1" applyBorder="1" applyAlignment="1">
      <alignment horizontal="left" vertical="center" indent="1"/>
    </xf>
    <xf numFmtId="0" fontId="13" fillId="3" borderId="40" xfId="0" applyFont="1" applyFill="1" applyBorder="1" applyAlignment="1">
      <alignment horizontal="left" vertical="center" indent="1"/>
    </xf>
    <xf numFmtId="3" fontId="31" fillId="13" borderId="36" xfId="0" applyNumberFormat="1" applyFont="1" applyFill="1" applyBorder="1" applyAlignment="1">
      <alignment horizontal="center" vertical="center"/>
    </xf>
    <xf numFmtId="3" fontId="31" fillId="13" borderId="158" xfId="0" applyNumberFormat="1" applyFont="1" applyFill="1" applyBorder="1" applyAlignment="1">
      <alignment horizontal="center" vertical="center"/>
    </xf>
    <xf numFmtId="0" fontId="52" fillId="42" borderId="159" xfId="0" applyFont="1" applyFill="1" applyBorder="1" applyAlignment="1">
      <alignment horizontal="center" vertical="center"/>
    </xf>
    <xf numFmtId="0" fontId="52" fillId="42" borderId="160" xfId="0" applyFont="1" applyFill="1" applyBorder="1" applyAlignment="1">
      <alignment horizontal="center" vertical="center"/>
    </xf>
    <xf numFmtId="0" fontId="69" fillId="20" borderId="121" xfId="0" applyFont="1" applyFill="1" applyBorder="1" applyAlignment="1">
      <alignment horizontal="center" vertical="center"/>
    </xf>
    <xf numFmtId="0" fontId="62" fillId="20" borderId="122" xfId="0" applyFont="1" applyFill="1" applyBorder="1" applyAlignment="1">
      <alignment horizontal="left" vertical="center" indent="1"/>
    </xf>
    <xf numFmtId="0" fontId="28" fillId="3" borderId="0" xfId="0" applyFont="1" applyFill="1"/>
    <xf numFmtId="0" fontId="66" fillId="29" borderId="63" xfId="0" applyFont="1" applyFill="1" applyBorder="1" applyAlignment="1">
      <alignment horizontal="left" vertical="center" indent="1"/>
    </xf>
    <xf numFmtId="0" fontId="57" fillId="29" borderId="8" xfId="0" applyFont="1" applyFill="1" applyBorder="1" applyAlignment="1">
      <alignment horizontal="left" vertical="center" wrapText="1" indent="1"/>
    </xf>
    <xf numFmtId="0" fontId="69" fillId="20" borderId="16" xfId="0" applyFont="1" applyFill="1" applyBorder="1" applyAlignment="1">
      <alignment horizontal="center" vertical="center"/>
    </xf>
    <xf numFmtId="0" fontId="62" fillId="20" borderId="19" xfId="0" applyFont="1" applyFill="1" applyBorder="1" applyAlignment="1">
      <alignment horizontal="left" vertical="center" indent="1"/>
    </xf>
    <xf numFmtId="0" fontId="66" fillId="24" borderId="161" xfId="0" applyFont="1" applyFill="1" applyBorder="1" applyAlignment="1">
      <alignment horizontal="left" vertical="center" indent="1"/>
    </xf>
    <xf numFmtId="0" fontId="57" fillId="24" borderId="162" xfId="0" applyFont="1" applyFill="1" applyBorder="1" applyAlignment="1">
      <alignment horizontal="left" vertical="center" indent="2"/>
    </xf>
    <xf numFmtId="0" fontId="172" fillId="0" borderId="163" xfId="0" applyFont="1" applyBorder="1" applyAlignment="1">
      <alignment horizontal="left" vertical="center" indent="1"/>
    </xf>
    <xf numFmtId="0" fontId="173" fillId="0" borderId="164" xfId="0" applyFont="1" applyBorder="1" applyAlignment="1">
      <alignment horizontal="left" vertical="center" indent="4"/>
    </xf>
    <xf numFmtId="0" fontId="69" fillId="20" borderId="17" xfId="0" applyFont="1" applyFill="1" applyBorder="1" applyAlignment="1">
      <alignment horizontal="center" vertical="center"/>
    </xf>
    <xf numFmtId="0" fontId="62" fillId="20" borderId="64" xfId="0" applyFont="1" applyFill="1" applyBorder="1" applyAlignment="1">
      <alignment horizontal="left" vertical="center" indent="1"/>
    </xf>
    <xf numFmtId="0" fontId="66" fillId="29" borderId="58" xfId="0" applyFont="1" applyFill="1" applyBorder="1" applyAlignment="1">
      <alignment horizontal="left" vertical="center" indent="1"/>
    </xf>
    <xf numFmtId="0" fontId="57" fillId="29" borderId="4" xfId="0" applyFont="1" applyFill="1" applyBorder="1" applyAlignment="1">
      <alignment horizontal="left" vertical="center" wrapText="1" indent="1"/>
    </xf>
    <xf numFmtId="0" fontId="62" fillId="3" borderId="16" xfId="0" applyFont="1" applyFill="1" applyBorder="1" applyAlignment="1">
      <alignment horizontal="center" vertical="center"/>
    </xf>
    <xf numFmtId="0" fontId="62" fillId="3" borderId="19" xfId="0" applyFont="1" applyFill="1" applyBorder="1" applyAlignment="1">
      <alignment horizontal="left" vertical="center" indent="1"/>
    </xf>
    <xf numFmtId="0" fontId="174" fillId="18" borderId="0" xfId="0" applyFont="1" applyFill="1" applyAlignment="1">
      <alignment horizontal="center" vertical="center"/>
    </xf>
    <xf numFmtId="0" fontId="132" fillId="18" borderId="0" xfId="0" applyFont="1" applyFill="1" applyAlignment="1">
      <alignment horizontal="left" vertical="center" indent="4"/>
    </xf>
    <xf numFmtId="168" fontId="71" fillId="18" borderId="0" xfId="0" applyNumberFormat="1" applyFont="1" applyFill="1" applyAlignment="1">
      <alignment horizontal="right" vertical="center" shrinkToFit="1"/>
    </xf>
    <xf numFmtId="0" fontId="32" fillId="3" borderId="0" xfId="0" applyFont="1" applyFill="1" applyAlignment="1">
      <alignment horizontal="center"/>
    </xf>
    <xf numFmtId="0" fontId="0" fillId="18" borderId="41" xfId="0" applyFill="1" applyBorder="1"/>
    <xf numFmtId="0" fontId="0" fillId="18" borderId="42" xfId="0" applyFill="1" applyBorder="1"/>
    <xf numFmtId="0" fontId="3" fillId="18" borderId="0" xfId="0" applyFont="1" applyFill="1"/>
    <xf numFmtId="0" fontId="0" fillId="18" borderId="43" xfId="0" applyFill="1" applyBorder="1"/>
    <xf numFmtId="0" fontId="0" fillId="3" borderId="50" xfId="0" applyFill="1" applyBorder="1"/>
    <xf numFmtId="0" fontId="0" fillId="3" borderId="44" xfId="0" applyFill="1" applyBorder="1"/>
    <xf numFmtId="0" fontId="33" fillId="0" borderId="0" xfId="0" applyFont="1" applyAlignment="1">
      <alignment horizontal="left"/>
    </xf>
    <xf numFmtId="0" fontId="134" fillId="31" borderId="0" xfId="0" applyFont="1" applyFill="1" applyAlignment="1">
      <alignment horizontal="left" vertical="center" shrinkToFit="1"/>
    </xf>
    <xf numFmtId="0" fontId="33" fillId="3" borderId="0" xfId="0" applyFont="1" applyFill="1" applyAlignment="1">
      <alignment horizontal="left"/>
    </xf>
    <xf numFmtId="3" fontId="33" fillId="18" borderId="0" xfId="0" applyNumberFormat="1" applyFont="1" applyFill="1" applyAlignment="1">
      <alignment horizontal="left"/>
    </xf>
    <xf numFmtId="0" fontId="65" fillId="18" borderId="50" xfId="0" applyFont="1" applyFill="1" applyBorder="1" applyAlignment="1">
      <alignment horizontal="centerContinuous"/>
    </xf>
    <xf numFmtId="0" fontId="69" fillId="18" borderId="36" xfId="0" applyFont="1" applyFill="1" applyBorder="1" applyAlignment="1">
      <alignment horizontal="center" vertical="center"/>
    </xf>
    <xf numFmtId="0" fontId="69" fillId="18" borderId="158" xfId="0" applyFont="1" applyFill="1" applyBorder="1" applyAlignment="1">
      <alignment horizontal="center" vertical="center"/>
    </xf>
    <xf numFmtId="0" fontId="65" fillId="18" borderId="54" xfId="0" applyFont="1" applyFill="1" applyBorder="1" applyAlignment="1">
      <alignment horizontal="center"/>
    </xf>
    <xf numFmtId="0" fontId="65" fillId="18" borderId="165" xfId="0" applyFont="1" applyFill="1" applyBorder="1" applyAlignment="1">
      <alignment horizontal="center"/>
    </xf>
    <xf numFmtId="0" fontId="65" fillId="18" borderId="48" xfId="0" applyFont="1" applyFill="1" applyBorder="1" applyAlignment="1">
      <alignment horizontal="center"/>
    </xf>
    <xf numFmtId="0" fontId="33" fillId="0" borderId="4" xfId="0" applyFont="1" applyBorder="1" applyAlignment="1">
      <alignment horizontal="center" vertical="center"/>
    </xf>
    <xf numFmtId="0" fontId="33" fillId="0" borderId="64" xfId="0" applyFont="1" applyBorder="1" applyAlignment="1">
      <alignment horizontal="center" vertical="center"/>
    </xf>
    <xf numFmtId="0" fontId="69" fillId="18" borderId="20" xfId="0" applyFont="1" applyFill="1" applyBorder="1" applyAlignment="1">
      <alignment horizontal="center" vertical="center"/>
    </xf>
    <xf numFmtId="0" fontId="69" fillId="18" borderId="18" xfId="0" applyFont="1" applyFill="1" applyBorder="1" applyAlignment="1">
      <alignment horizontal="center" vertical="center"/>
    </xf>
    <xf numFmtId="0" fontId="65" fillId="29" borderId="99" xfId="0" applyFont="1" applyFill="1" applyBorder="1" applyAlignment="1">
      <alignment horizontal="center"/>
    </xf>
    <xf numFmtId="0" fontId="76" fillId="29" borderId="73" xfId="0" applyFont="1" applyFill="1" applyBorder="1" applyAlignment="1">
      <alignment horizontal="center"/>
    </xf>
    <xf numFmtId="0" fontId="76" fillId="29" borderId="166" xfId="0" applyFont="1" applyFill="1" applyBorder="1" applyAlignment="1">
      <alignment horizontal="center"/>
    </xf>
    <xf numFmtId="0" fontId="76" fillId="29" borderId="75" xfId="0" applyFont="1" applyFill="1" applyBorder="1" applyAlignment="1">
      <alignment horizontal="center"/>
    </xf>
    <xf numFmtId="0" fontId="33" fillId="0" borderId="0" xfId="0" applyFont="1" applyAlignment="1">
      <alignment horizontal="left" indent="1"/>
    </xf>
    <xf numFmtId="0" fontId="75" fillId="3" borderId="0" xfId="0" applyFont="1" applyFill="1"/>
    <xf numFmtId="0" fontId="75" fillId="26" borderId="0" xfId="0" applyFont="1" applyFill="1"/>
    <xf numFmtId="0" fontId="65" fillId="43" borderId="76" xfId="0" applyFont="1" applyFill="1" applyBorder="1" applyAlignment="1">
      <alignment horizontal="centerContinuous"/>
    </xf>
    <xf numFmtId="0" fontId="65" fillId="18" borderId="0" xfId="0" applyFont="1" applyFill="1" applyAlignment="1">
      <alignment horizontal="centerContinuous"/>
    </xf>
    <xf numFmtId="0" fontId="76" fillId="18" borderId="87" xfId="0" applyFont="1" applyFill="1" applyBorder="1" applyAlignment="1">
      <alignment horizontal="center"/>
    </xf>
    <xf numFmtId="0" fontId="76" fillId="18" borderId="49" xfId="0" applyFont="1" applyFill="1" applyBorder="1" applyAlignment="1">
      <alignment horizontal="center"/>
    </xf>
    <xf numFmtId="0" fontId="76" fillId="29" borderId="70" xfId="0" applyFont="1" applyFill="1" applyBorder="1" applyAlignment="1">
      <alignment horizontal="center"/>
    </xf>
    <xf numFmtId="0" fontId="65" fillId="43" borderId="52" xfId="0" applyFont="1" applyFill="1" applyBorder="1" applyAlignment="1">
      <alignment horizontal="centerContinuous"/>
    </xf>
    <xf numFmtId="0" fontId="69" fillId="18" borderId="158" xfId="0" applyFont="1" applyFill="1" applyBorder="1" applyAlignment="1">
      <alignment horizontal="left" vertical="center" indent="1"/>
    </xf>
    <xf numFmtId="0" fontId="63" fillId="25" borderId="107" xfId="0" applyFont="1" applyFill="1" applyBorder="1" applyAlignment="1">
      <alignment horizontal="left" indent="1"/>
    </xf>
    <xf numFmtId="0" fontId="76" fillId="25" borderId="0" xfId="0" applyFont="1" applyFill="1"/>
    <xf numFmtId="0" fontId="76" fillId="25" borderId="43" xfId="0" applyFont="1" applyFill="1" applyBorder="1"/>
    <xf numFmtId="0" fontId="63" fillId="3" borderId="97" xfId="0" applyFont="1" applyFill="1" applyBorder="1" applyAlignment="1">
      <alignment horizontal="left" indent="1"/>
    </xf>
    <xf numFmtId="0" fontId="8" fillId="3" borderId="0" xfId="0" applyFont="1" applyFill="1"/>
    <xf numFmtId="0" fontId="10" fillId="3" borderId="0" xfId="0" applyFont="1" applyFill="1"/>
    <xf numFmtId="0" fontId="8" fillId="24" borderId="23" xfId="0" applyFont="1" applyFill="1" applyBorder="1" applyAlignment="1">
      <alignment horizontal="centerContinuous" vertical="center" wrapText="1"/>
    </xf>
    <xf numFmtId="0" fontId="129" fillId="24" borderId="23" xfId="0" applyFont="1" applyFill="1" applyBorder="1" applyAlignment="1">
      <alignment horizontal="centerContinuous" vertical="center"/>
    </xf>
    <xf numFmtId="0" fontId="129" fillId="24" borderId="49" xfId="0" applyFont="1" applyFill="1" applyBorder="1" applyAlignment="1">
      <alignment horizontal="centerContinuous" vertical="center"/>
    </xf>
    <xf numFmtId="3" fontId="3" fillId="13" borderId="14" xfId="0" applyNumberFormat="1" applyFont="1" applyFill="1" applyBorder="1" applyAlignment="1">
      <alignment horizontal="center" vertical="center"/>
    </xf>
    <xf numFmtId="3" fontId="3" fillId="13" borderId="15" xfId="0" applyNumberFormat="1" applyFont="1" applyFill="1" applyBorder="1" applyAlignment="1">
      <alignment horizontal="center" vertical="center"/>
    </xf>
    <xf numFmtId="0" fontId="8" fillId="25" borderId="137" xfId="0" applyFont="1" applyFill="1" applyBorder="1" applyAlignment="1">
      <alignment horizontal="center" vertical="center"/>
    </xf>
    <xf numFmtId="0" fontId="8" fillId="25" borderId="47" xfId="0" applyFont="1" applyFill="1" applyBorder="1" applyAlignment="1">
      <alignment horizontal="center" vertical="center"/>
    </xf>
    <xf numFmtId="0" fontId="69" fillId="18" borderId="18" xfId="0" applyFont="1" applyFill="1" applyBorder="1" applyAlignment="1">
      <alignment horizontal="left" vertical="center" indent="1"/>
    </xf>
    <xf numFmtId="0" fontId="52" fillId="18" borderId="41" xfId="0" applyFont="1" applyFill="1" applyBorder="1" applyAlignment="1">
      <alignment horizontal="left" vertical="center" indent="3"/>
    </xf>
    <xf numFmtId="0" fontId="13" fillId="18" borderId="0" xfId="0" applyFont="1" applyFill="1" applyAlignment="1">
      <alignment vertical="center"/>
    </xf>
    <xf numFmtId="0" fontId="13" fillId="18" borderId="43" xfId="0" applyFont="1" applyFill="1" applyBorder="1" applyAlignment="1">
      <alignment vertical="center"/>
    </xf>
    <xf numFmtId="0" fontId="13" fillId="18" borderId="0" xfId="0" applyFont="1" applyFill="1" applyAlignment="1">
      <alignment horizontal="left" vertical="center"/>
    </xf>
    <xf numFmtId="0" fontId="13" fillId="18" borderId="43" xfId="0" applyFont="1" applyFill="1" applyBorder="1" applyAlignment="1">
      <alignment horizontal="left" vertical="center"/>
    </xf>
    <xf numFmtId="0" fontId="13" fillId="18" borderId="50" xfId="0" applyFont="1" applyFill="1" applyBorder="1" applyAlignment="1">
      <alignment vertical="center"/>
    </xf>
    <xf numFmtId="0" fontId="13" fillId="18" borderId="44" xfId="0" applyFont="1" applyFill="1" applyBorder="1" applyAlignment="1">
      <alignment vertical="center"/>
    </xf>
    <xf numFmtId="0" fontId="175" fillId="3" borderId="0" xfId="0" applyFont="1" applyFill="1"/>
    <xf numFmtId="0" fontId="0" fillId="28" borderId="0" xfId="0" applyFill="1"/>
    <xf numFmtId="0" fontId="0" fillId="18" borderId="0" xfId="0" applyFill="1" applyAlignment="1">
      <alignment horizontal="centerContinuous"/>
    </xf>
    <xf numFmtId="3" fontId="77" fillId="18" borderId="0" xfId="0" applyNumberFormat="1" applyFont="1" applyFill="1" applyAlignment="1">
      <alignment horizontal="left"/>
    </xf>
    <xf numFmtId="0" fontId="55" fillId="25" borderId="39" xfId="0" applyFont="1" applyFill="1" applyBorder="1" applyAlignment="1">
      <alignment vertical="center"/>
    </xf>
    <xf numFmtId="0" fontId="55" fillId="25" borderId="42" xfId="0" applyFont="1" applyFill="1" applyBorder="1" applyAlignment="1">
      <alignment vertical="center"/>
    </xf>
    <xf numFmtId="0" fontId="57" fillId="25" borderId="0" xfId="0" applyFont="1" applyFill="1" applyAlignment="1">
      <alignment vertical="center"/>
    </xf>
    <xf numFmtId="3" fontId="4" fillId="30" borderId="70" xfId="0" applyNumberFormat="1" applyFont="1" applyFill="1" applyBorder="1" applyAlignment="1">
      <alignment horizontal="center" vertical="center" wrapText="1"/>
    </xf>
    <xf numFmtId="3" fontId="4" fillId="18" borderId="28" xfId="0" applyNumberFormat="1" applyFont="1" applyFill="1" applyBorder="1" applyAlignment="1">
      <alignment horizontal="center" vertical="center" wrapText="1"/>
    </xf>
    <xf numFmtId="0" fontId="62" fillId="0" borderId="4" xfId="0" applyFont="1" applyBorder="1" applyAlignment="1">
      <alignment horizontal="center" vertical="center"/>
    </xf>
    <xf numFmtId="0" fontId="62" fillId="0" borderId="64" xfId="0" applyFont="1" applyBorder="1" applyAlignment="1">
      <alignment horizontal="center" vertical="center"/>
    </xf>
    <xf numFmtId="3" fontId="63" fillId="28" borderId="22" xfId="0" applyNumberFormat="1" applyFont="1" applyFill="1" applyBorder="1" applyAlignment="1">
      <alignment horizontal="center" vertical="center"/>
    </xf>
    <xf numFmtId="49" fontId="61" fillId="28" borderId="65" xfId="0" applyNumberFormat="1" applyFont="1" applyFill="1" applyBorder="1" applyAlignment="1">
      <alignment horizontal="left" vertical="center" indent="1"/>
    </xf>
    <xf numFmtId="3" fontId="63" fillId="20" borderId="17" xfId="0" applyNumberFormat="1" applyFont="1" applyFill="1" applyBorder="1" applyAlignment="1">
      <alignment horizontal="center" vertical="center"/>
    </xf>
    <xf numFmtId="3" fontId="62" fillId="0" borderId="8" xfId="0" applyNumberFormat="1" applyFont="1" applyBorder="1" applyAlignment="1">
      <alignment horizontal="center" vertical="center"/>
    </xf>
    <xf numFmtId="3" fontId="62" fillId="0" borderId="67" xfId="0" applyNumberFormat="1" applyFont="1" applyBorder="1" applyAlignment="1">
      <alignment horizontal="left" vertical="center" indent="1"/>
    </xf>
    <xf numFmtId="0" fontId="2" fillId="0" borderId="41" xfId="0" applyFont="1" applyBorder="1"/>
    <xf numFmtId="0" fontId="86" fillId="18" borderId="24" xfId="0" applyFont="1" applyFill="1" applyBorder="1" applyAlignment="1">
      <alignment horizontal="left" vertical="center"/>
    </xf>
    <xf numFmtId="0" fontId="86" fillId="18" borderId="0" xfId="0" applyFont="1" applyFill="1" applyAlignment="1">
      <alignment horizontal="left" vertical="center" wrapText="1"/>
    </xf>
    <xf numFmtId="0" fontId="86" fillId="18" borderId="0" xfId="0" applyFont="1" applyFill="1" applyAlignment="1">
      <alignment vertical="center" wrapText="1"/>
    </xf>
    <xf numFmtId="0" fontId="86" fillId="18" borderId="24" xfId="0" applyFont="1" applyFill="1" applyBorder="1" applyAlignment="1">
      <alignment horizontal="left" vertical="center" indent="1"/>
    </xf>
    <xf numFmtId="0" fontId="86" fillId="18" borderId="40" xfId="0" applyFont="1" applyFill="1" applyBorder="1" applyAlignment="1">
      <alignment horizontal="left" vertical="center" indent="1"/>
    </xf>
    <xf numFmtId="0" fontId="2" fillId="3" borderId="50" xfId="0" applyFont="1" applyFill="1" applyBorder="1"/>
    <xf numFmtId="0" fontId="0" fillId="18" borderId="50" xfId="0" applyFill="1" applyBorder="1"/>
    <xf numFmtId="0" fontId="0" fillId="18" borderId="44" xfId="0" applyFill="1" applyBorder="1"/>
    <xf numFmtId="0" fontId="2" fillId="28" borderId="0" xfId="0" applyFont="1" applyFill="1"/>
    <xf numFmtId="0" fontId="73" fillId="18" borderId="0" xfId="0" applyFont="1" applyFill="1" applyAlignment="1">
      <alignment vertical="center"/>
    </xf>
    <xf numFmtId="0" fontId="129" fillId="18" borderId="0" xfId="0" applyFont="1" applyFill="1" applyAlignment="1">
      <alignment vertical="center" wrapText="1"/>
    </xf>
    <xf numFmtId="0" fontId="74" fillId="18" borderId="0" xfId="0" applyFont="1" applyFill="1" applyAlignment="1">
      <alignment vertical="center"/>
    </xf>
    <xf numFmtId="3" fontId="4" fillId="44" borderId="167" xfId="0" applyNumberFormat="1" applyFont="1" applyFill="1" applyBorder="1" applyAlignment="1">
      <alignment horizontal="center" vertical="center" wrapText="1"/>
    </xf>
    <xf numFmtId="3" fontId="129" fillId="25" borderId="100" xfId="0" applyNumberFormat="1" applyFont="1" applyFill="1" applyBorder="1" applyAlignment="1">
      <alignment horizontal="center" vertical="center" wrapText="1"/>
    </xf>
    <xf numFmtId="3" fontId="4" fillId="30" borderId="72" xfId="0" applyNumberFormat="1" applyFont="1" applyFill="1" applyBorder="1" applyAlignment="1">
      <alignment horizontal="center" vertical="center" wrapText="1"/>
    </xf>
    <xf numFmtId="0" fontId="4" fillId="44" borderId="167" xfId="0" applyFont="1" applyFill="1" applyBorder="1" applyAlignment="1">
      <alignment horizontal="center" vertical="center" wrapText="1"/>
    </xf>
    <xf numFmtId="0" fontId="52" fillId="29" borderId="168" xfId="0" applyFont="1" applyFill="1" applyBorder="1" applyAlignment="1">
      <alignment horizontal="center" vertical="center"/>
    </xf>
    <xf numFmtId="0" fontId="52" fillId="29" borderId="169" xfId="0" applyFont="1" applyFill="1" applyBorder="1" applyAlignment="1">
      <alignment horizontal="center" vertical="center"/>
    </xf>
    <xf numFmtId="0" fontId="73" fillId="44" borderId="170" xfId="0" applyFont="1" applyFill="1" applyBorder="1" applyAlignment="1">
      <alignment horizontal="center" vertical="center"/>
    </xf>
    <xf numFmtId="0" fontId="73" fillId="29" borderId="171" xfId="0" applyFont="1" applyFill="1" applyBorder="1" applyAlignment="1">
      <alignment horizontal="center" vertical="center"/>
    </xf>
    <xf numFmtId="0" fontId="73" fillId="29" borderId="172" xfId="0" applyFont="1" applyFill="1" applyBorder="1" applyAlignment="1">
      <alignment horizontal="center" vertical="center"/>
    </xf>
    <xf numFmtId="0" fontId="73" fillId="29" borderId="173" xfId="0" applyFont="1" applyFill="1" applyBorder="1" applyAlignment="1">
      <alignment horizontal="center" vertical="center"/>
    </xf>
    <xf numFmtId="0" fontId="52" fillId="29" borderId="171" xfId="0" applyFont="1" applyFill="1" applyBorder="1" applyAlignment="1">
      <alignment horizontal="center" vertical="center" wrapText="1"/>
    </xf>
    <xf numFmtId="0" fontId="73" fillId="44" borderId="171" xfId="0" applyFont="1" applyFill="1" applyBorder="1" applyAlignment="1">
      <alignment horizontal="center" vertical="center"/>
    </xf>
    <xf numFmtId="49" fontId="62" fillId="28" borderId="65" xfId="0" applyNumberFormat="1" applyFont="1" applyFill="1" applyBorder="1" applyAlignment="1">
      <alignment horizontal="left" vertical="center" indent="1"/>
    </xf>
    <xf numFmtId="0" fontId="7" fillId="3" borderId="0" xfId="0" applyFont="1" applyFill="1"/>
    <xf numFmtId="0" fontId="66" fillId="18" borderId="63" xfId="0" applyFont="1" applyFill="1" applyBorder="1" applyAlignment="1">
      <alignment horizontal="left" vertical="center" indent="1"/>
    </xf>
    <xf numFmtId="0" fontId="51" fillId="18" borderId="175" xfId="0" applyFont="1" applyFill="1" applyBorder="1" applyAlignment="1">
      <alignment horizontal="left" vertical="center" wrapText="1" indent="1"/>
    </xf>
    <xf numFmtId="0" fontId="15" fillId="0" borderId="0" xfId="0" applyFont="1"/>
    <xf numFmtId="0" fontId="51" fillId="18" borderId="175" xfId="0" applyFont="1" applyFill="1" applyBorder="1" applyAlignment="1">
      <alignment horizontal="left" vertical="center" wrapText="1" indent="2"/>
    </xf>
    <xf numFmtId="0" fontId="7" fillId="18" borderId="176" xfId="0" applyFont="1" applyFill="1" applyBorder="1" applyAlignment="1">
      <alignment horizontal="left" vertical="center" indent="4"/>
    </xf>
    <xf numFmtId="0" fontId="66" fillId="18" borderId="58" xfId="0" applyFont="1" applyFill="1" applyBorder="1" applyAlignment="1">
      <alignment horizontal="left" vertical="center" indent="1"/>
    </xf>
    <xf numFmtId="0" fontId="51" fillId="18" borderId="144" xfId="0" applyFont="1" applyFill="1" applyBorder="1" applyAlignment="1">
      <alignment horizontal="left" vertical="center" wrapText="1" indent="2"/>
    </xf>
    <xf numFmtId="0" fontId="176" fillId="3" borderId="0" xfId="0" applyFont="1" applyFill="1" applyAlignment="1">
      <alignment wrapText="1"/>
    </xf>
    <xf numFmtId="0" fontId="66" fillId="18" borderId="103" xfId="0" applyFont="1" applyFill="1" applyBorder="1" applyAlignment="1">
      <alignment horizontal="left" vertical="center" indent="1"/>
    </xf>
    <xf numFmtId="0" fontId="51" fillId="18" borderId="177" xfId="0" applyFont="1" applyFill="1" applyBorder="1" applyAlignment="1">
      <alignment horizontal="left" vertical="center" wrapText="1" indent="2"/>
    </xf>
    <xf numFmtId="0" fontId="2" fillId="18" borderId="43" xfId="0" applyFont="1" applyFill="1" applyBorder="1"/>
    <xf numFmtId="3" fontId="130" fillId="18" borderId="31" xfId="0" applyNumberFormat="1" applyFont="1" applyFill="1" applyBorder="1" applyAlignment="1" applyProtection="1">
      <alignment horizontal="left" vertical="center" wrapText="1" indent="5"/>
      <protection locked="0"/>
    </xf>
    <xf numFmtId="3" fontId="136" fillId="18" borderId="104" xfId="0" applyNumberFormat="1" applyFont="1" applyFill="1" applyBorder="1" applyAlignment="1" applyProtection="1">
      <alignment horizontal="left" vertical="center" wrapText="1" indent="1"/>
      <protection locked="0"/>
    </xf>
    <xf numFmtId="3" fontId="130" fillId="18" borderId="32" xfId="0" applyNumberFormat="1" applyFont="1" applyFill="1" applyBorder="1" applyAlignment="1" applyProtection="1">
      <alignment horizontal="left" vertical="center" wrapText="1" indent="6"/>
      <protection locked="0"/>
    </xf>
    <xf numFmtId="3" fontId="2" fillId="18" borderId="0" xfId="0" applyNumberFormat="1" applyFont="1" applyFill="1" applyAlignment="1">
      <alignment horizontal="left" indent="1"/>
    </xf>
    <xf numFmtId="0" fontId="177" fillId="22" borderId="0" xfId="0" applyFont="1" applyFill="1" applyAlignment="1">
      <alignment horizontal="center" vertical="center"/>
    </xf>
    <xf numFmtId="3" fontId="131" fillId="25" borderId="89" xfId="0" applyNumberFormat="1" applyFont="1" applyFill="1" applyBorder="1" applyAlignment="1">
      <alignment horizontal="center" vertical="center" wrapText="1"/>
    </xf>
    <xf numFmtId="3" fontId="53" fillId="3" borderId="30" xfId="0" applyNumberFormat="1" applyFont="1" applyFill="1" applyBorder="1"/>
    <xf numFmtId="3" fontId="53" fillId="3" borderId="100" xfId="0" applyNumberFormat="1" applyFont="1" applyFill="1" applyBorder="1"/>
    <xf numFmtId="3" fontId="7" fillId="23" borderId="15" xfId="0" applyNumberFormat="1" applyFont="1" applyFill="1" applyBorder="1" applyAlignment="1">
      <alignment horizontal="left" vertical="center" indent="1"/>
    </xf>
    <xf numFmtId="3" fontId="2" fillId="3" borderId="100" xfId="0" applyNumberFormat="1" applyFont="1" applyFill="1" applyBorder="1" applyAlignment="1">
      <alignment horizontal="center" vertical="center"/>
    </xf>
    <xf numFmtId="0" fontId="64" fillId="29" borderId="21" xfId="0" applyFont="1" applyFill="1" applyBorder="1" applyAlignment="1">
      <alignment horizontal="center" vertical="center"/>
    </xf>
    <xf numFmtId="49" fontId="61" fillId="29" borderId="60" xfId="0" applyNumberFormat="1" applyFont="1" applyFill="1" applyBorder="1" applyAlignment="1">
      <alignment horizontal="left" vertical="center" indent="1"/>
    </xf>
    <xf numFmtId="49" fontId="61" fillId="18" borderId="18" xfId="0" applyNumberFormat="1" applyFont="1" applyFill="1" applyBorder="1" applyAlignment="1">
      <alignment horizontal="left" vertical="center" indent="1"/>
    </xf>
    <xf numFmtId="0" fontId="64" fillId="29" borderId="17" xfId="0" applyFont="1" applyFill="1" applyBorder="1" applyAlignment="1">
      <alignment horizontal="center" vertical="center"/>
    </xf>
    <xf numFmtId="3" fontId="2" fillId="3" borderId="179" xfId="0" applyNumberFormat="1" applyFont="1" applyFill="1" applyBorder="1" applyAlignment="1">
      <alignment horizontal="center" vertical="center"/>
    </xf>
    <xf numFmtId="49" fontId="61" fillId="18" borderId="0" xfId="0" applyNumberFormat="1" applyFont="1" applyFill="1" applyAlignment="1">
      <alignment horizontal="left" vertical="center" indent="1"/>
    </xf>
    <xf numFmtId="168" fontId="2" fillId="18" borderId="41" xfId="0" applyNumberFormat="1" applyFont="1" applyFill="1" applyBorder="1" applyAlignment="1">
      <alignment vertical="center"/>
    </xf>
    <xf numFmtId="168" fontId="2" fillId="18" borderId="43" xfId="0" applyNumberFormat="1" applyFont="1" applyFill="1" applyBorder="1" applyAlignment="1">
      <alignment vertical="center"/>
    </xf>
    <xf numFmtId="168" fontId="2" fillId="18" borderId="50" xfId="0" applyNumberFormat="1" applyFont="1" applyFill="1" applyBorder="1" applyAlignment="1">
      <alignment vertical="center"/>
    </xf>
    <xf numFmtId="49" fontId="123" fillId="40" borderId="0" xfId="0" applyNumberFormat="1" applyFont="1" applyFill="1" applyAlignment="1">
      <alignment horizontal="center" vertical="center"/>
    </xf>
    <xf numFmtId="3" fontId="124" fillId="40" borderId="0" xfId="0" applyNumberFormat="1" applyFont="1" applyFill="1" applyAlignment="1">
      <alignment horizontal="left" vertical="center" wrapText="1" indent="6"/>
    </xf>
    <xf numFmtId="168" fontId="123" fillId="40" borderId="0" xfId="0" applyNumberFormat="1" applyFont="1" applyFill="1" applyAlignment="1">
      <alignment vertical="center"/>
    </xf>
    <xf numFmtId="3" fontId="132" fillId="29" borderId="53" xfId="0" applyNumberFormat="1" applyFont="1" applyFill="1" applyBorder="1" applyAlignment="1">
      <alignment horizontal="left" vertical="center" shrinkToFit="1"/>
    </xf>
    <xf numFmtId="3" fontId="2" fillId="0" borderId="0" xfId="0" applyNumberFormat="1" applyFont="1" applyAlignment="1">
      <alignment horizontal="left" indent="1"/>
    </xf>
    <xf numFmtId="168" fontId="5" fillId="24" borderId="25" xfId="0" applyNumberFormat="1" applyFont="1" applyFill="1" applyBorder="1" applyAlignment="1">
      <alignment vertical="center" shrinkToFit="1"/>
    </xf>
    <xf numFmtId="171" fontId="6" fillId="45" borderId="26" xfId="0" applyNumberFormat="1" applyFont="1" applyFill="1" applyBorder="1" applyAlignment="1">
      <alignment horizontal="right" vertical="center" indent="4" shrinkToFit="1"/>
    </xf>
    <xf numFmtId="2" fontId="6" fillId="24" borderId="8" xfId="0" applyNumberFormat="1" applyFont="1" applyFill="1" applyBorder="1" applyAlignment="1">
      <alignment horizontal="right" vertical="center" indent="4" shrinkToFit="1"/>
    </xf>
    <xf numFmtId="2" fontId="6" fillId="24" borderId="25" xfId="0" applyNumberFormat="1" applyFont="1" applyFill="1" applyBorder="1" applyAlignment="1">
      <alignment horizontal="right" vertical="center" indent="4" shrinkToFit="1"/>
    </xf>
    <xf numFmtId="0" fontId="51" fillId="18" borderId="8" xfId="0" applyFont="1" applyFill="1" applyBorder="1" applyAlignment="1">
      <alignment horizontal="left" vertical="center" wrapText="1" indent="2"/>
    </xf>
    <xf numFmtId="0" fontId="66" fillId="18" borderId="66" xfId="0" applyFont="1" applyFill="1" applyBorder="1" applyAlignment="1">
      <alignment horizontal="left" vertical="center" indent="1"/>
    </xf>
    <xf numFmtId="0" fontId="51" fillId="18" borderId="46" xfId="0" applyFont="1" applyFill="1" applyBorder="1" applyAlignment="1">
      <alignment horizontal="left" vertical="center" wrapText="1" indent="2"/>
    </xf>
    <xf numFmtId="3" fontId="99" fillId="25" borderId="100" xfId="0" applyNumberFormat="1" applyFont="1" applyFill="1" applyBorder="1" applyAlignment="1">
      <alignment horizontal="center" vertical="center" wrapText="1"/>
    </xf>
    <xf numFmtId="49" fontId="66" fillId="18" borderId="63" xfId="0" applyNumberFormat="1" applyFont="1" applyFill="1" applyBorder="1" applyAlignment="1">
      <alignment horizontal="left" vertical="center" indent="1"/>
    </xf>
    <xf numFmtId="0" fontId="51" fillId="18" borderId="8" xfId="0" applyFont="1" applyFill="1" applyBorder="1" applyAlignment="1">
      <alignment horizontal="left" vertical="center" wrapText="1" indent="1"/>
    </xf>
    <xf numFmtId="0" fontId="52" fillId="29" borderId="99" xfId="0" applyFont="1" applyFill="1" applyBorder="1" applyAlignment="1">
      <alignment horizontal="center" vertical="center"/>
    </xf>
    <xf numFmtId="0" fontId="52" fillId="29" borderId="73" xfId="0" applyFont="1" applyFill="1" applyBorder="1" applyAlignment="1">
      <alignment horizontal="center" vertical="center"/>
    </xf>
    <xf numFmtId="0" fontId="52" fillId="29" borderId="76" xfId="0" applyFont="1" applyFill="1" applyBorder="1" applyAlignment="1">
      <alignment horizontal="center" vertical="center"/>
    </xf>
    <xf numFmtId="0" fontId="52" fillId="29" borderId="74" xfId="0" applyFont="1" applyFill="1" applyBorder="1" applyAlignment="1">
      <alignment horizontal="center" vertical="center"/>
    </xf>
    <xf numFmtId="0" fontId="52" fillId="29" borderId="60" xfId="0" applyFont="1" applyFill="1" applyBorder="1" applyAlignment="1">
      <alignment horizontal="center" vertical="center"/>
    </xf>
    <xf numFmtId="0" fontId="76" fillId="18" borderId="29" xfId="0" applyFont="1" applyFill="1" applyBorder="1" applyAlignment="1">
      <alignment horizontal="center"/>
    </xf>
    <xf numFmtId="0" fontId="76" fillId="29" borderId="76" xfId="0" applyFont="1" applyFill="1" applyBorder="1" applyAlignment="1">
      <alignment horizontal="center"/>
    </xf>
    <xf numFmtId="0" fontId="76" fillId="29" borderId="44" xfId="0" applyFont="1" applyFill="1" applyBorder="1" applyAlignment="1">
      <alignment horizontal="center"/>
    </xf>
    <xf numFmtId="0" fontId="33" fillId="0" borderId="0" xfId="0" applyFont="1" applyAlignment="1">
      <alignment horizontal="center"/>
    </xf>
    <xf numFmtId="0" fontId="33" fillId="3" borderId="0" xfId="0" applyFont="1" applyFill="1" applyAlignment="1">
      <alignment horizontal="center"/>
    </xf>
    <xf numFmtId="3" fontId="33" fillId="18" borderId="0" xfId="0" applyNumberFormat="1" applyFont="1" applyFill="1" applyAlignment="1">
      <alignment horizontal="center"/>
    </xf>
    <xf numFmtId="0" fontId="73" fillId="29" borderId="55" xfId="0" applyFont="1" applyFill="1" applyBorder="1" applyAlignment="1">
      <alignment horizontal="center"/>
    </xf>
    <xf numFmtId="0" fontId="73" fillId="29" borderId="99" xfId="0" applyFont="1" applyFill="1" applyBorder="1" applyAlignment="1">
      <alignment horizontal="center"/>
    </xf>
    <xf numFmtId="3" fontId="33" fillId="0" borderId="2" xfId="0" applyNumberFormat="1" applyFont="1" applyBorder="1" applyAlignment="1">
      <alignment horizontal="center"/>
    </xf>
    <xf numFmtId="0" fontId="33" fillId="0" borderId="157" xfId="0" applyFont="1" applyBorder="1" applyAlignment="1">
      <alignment horizontal="left" indent="1"/>
    </xf>
    <xf numFmtId="0" fontId="69" fillId="20" borderId="180" xfId="0" applyFont="1" applyFill="1" applyBorder="1" applyAlignment="1">
      <alignment horizontal="left" vertical="center" indent="1"/>
    </xf>
    <xf numFmtId="0" fontId="69" fillId="20" borderId="124" xfId="0" applyFont="1" applyFill="1" applyBorder="1" applyAlignment="1">
      <alignment horizontal="center" vertical="center"/>
    </xf>
    <xf numFmtId="0" fontId="33" fillId="0" borderId="157" xfId="0" applyFont="1" applyBorder="1" applyAlignment="1">
      <alignment horizontal="left"/>
    </xf>
    <xf numFmtId="0" fontId="2" fillId="0" borderId="18" xfId="0" applyFont="1" applyBorder="1"/>
    <xf numFmtId="0" fontId="62" fillId="18" borderId="181" xfId="0" applyFont="1" applyFill="1" applyBorder="1" applyAlignment="1">
      <alignment horizontal="center" vertical="center"/>
    </xf>
    <xf numFmtId="0" fontId="62" fillId="18" borderId="18" xfId="0" applyFont="1" applyFill="1" applyBorder="1" applyAlignment="1">
      <alignment horizontal="center" vertical="center"/>
    </xf>
    <xf numFmtId="0" fontId="76" fillId="18" borderId="54" xfId="0" applyFont="1" applyFill="1" applyBorder="1" applyAlignment="1">
      <alignment horizontal="center"/>
    </xf>
    <xf numFmtId="3" fontId="33" fillId="0" borderId="182" xfId="0" applyNumberFormat="1" applyFont="1" applyBorder="1" applyAlignment="1">
      <alignment horizontal="center"/>
    </xf>
    <xf numFmtId="0" fontId="33" fillId="0" borderId="158" xfId="0" applyFont="1" applyBorder="1" applyAlignment="1">
      <alignment horizontal="left" indent="1"/>
    </xf>
    <xf numFmtId="0" fontId="69" fillId="20" borderId="183" xfId="0" applyFont="1" applyFill="1" applyBorder="1" applyAlignment="1">
      <alignment horizontal="center" vertical="center"/>
    </xf>
    <xf numFmtId="0" fontId="69" fillId="20" borderId="183" xfId="0" applyFont="1" applyFill="1" applyBorder="1" applyAlignment="1">
      <alignment horizontal="left" vertical="center" indent="1"/>
    </xf>
    <xf numFmtId="0" fontId="65" fillId="25" borderId="0" xfId="0" applyFont="1" applyFill="1" applyAlignment="1">
      <alignment horizontal="left" indent="1"/>
    </xf>
    <xf numFmtId="0" fontId="178" fillId="24" borderId="30" xfId="0" applyFont="1" applyFill="1" applyBorder="1" applyAlignment="1">
      <alignment horizontal="left" indent="1"/>
    </xf>
    <xf numFmtId="0" fontId="178" fillId="24" borderId="101" xfId="0" applyFont="1" applyFill="1" applyBorder="1" applyAlignment="1">
      <alignment horizontal="left" indent="1"/>
    </xf>
    <xf numFmtId="0" fontId="0" fillId="0" borderId="0" xfId="0" applyAlignment="1">
      <alignment horizontal="left" indent="1"/>
    </xf>
    <xf numFmtId="0" fontId="15" fillId="0" borderId="184" xfId="0" applyFont="1" applyBorder="1" applyAlignment="1">
      <alignment horizontal="center" vertical="center"/>
    </xf>
    <xf numFmtId="0" fontId="15" fillId="0" borderId="185" xfId="0" applyFont="1" applyBorder="1" applyAlignment="1">
      <alignment horizontal="center" vertical="center"/>
    </xf>
    <xf numFmtId="0" fontId="15" fillId="0" borderId="8" xfId="0" applyFont="1" applyBorder="1" applyAlignment="1">
      <alignment horizontal="center" vertical="center"/>
    </xf>
    <xf numFmtId="0" fontId="15" fillId="0" borderId="186" xfId="0" applyFont="1" applyBorder="1" applyAlignment="1">
      <alignment horizontal="center" vertical="center"/>
    </xf>
    <xf numFmtId="0" fontId="15" fillId="0" borderId="26" xfId="0" applyFont="1" applyBorder="1" applyAlignment="1">
      <alignment horizontal="center" vertical="center"/>
    </xf>
    <xf numFmtId="0" fontId="0" fillId="0" borderId="72" xfId="0" quotePrefix="1" applyBorder="1" applyAlignment="1">
      <alignment horizontal="left" vertical="center" indent="1"/>
    </xf>
    <xf numFmtId="0" fontId="0" fillId="0" borderId="72" xfId="0" applyBorder="1" applyAlignment="1">
      <alignment horizontal="left" vertical="center" indent="1"/>
    </xf>
    <xf numFmtId="0" fontId="12" fillId="0" borderId="70" xfId="0" applyFont="1" applyBorder="1" applyAlignment="1">
      <alignment horizontal="left" vertical="center" indent="1"/>
    </xf>
    <xf numFmtId="0" fontId="15" fillId="0" borderId="110" xfId="0" applyFont="1" applyBorder="1" applyAlignment="1">
      <alignment horizontal="center" vertical="center"/>
    </xf>
    <xf numFmtId="0" fontId="15" fillId="0" borderId="187" xfId="0" applyFont="1" applyBorder="1" applyAlignment="1">
      <alignment horizontal="center" vertical="center"/>
    </xf>
    <xf numFmtId="0" fontId="15" fillId="0" borderId="0" xfId="0" applyFont="1" applyAlignment="1">
      <alignment horizontal="center" vertical="center"/>
    </xf>
    <xf numFmtId="0" fontId="15" fillId="0" borderId="43" xfId="0" applyFont="1" applyBorder="1" applyAlignment="1">
      <alignment horizontal="center" vertical="center"/>
    </xf>
    <xf numFmtId="0" fontId="15" fillId="0" borderId="109" xfId="0" applyFont="1" applyBorder="1" applyAlignment="1">
      <alignment horizontal="center" vertical="center"/>
    </xf>
    <xf numFmtId="0" fontId="15" fillId="0" borderId="188" xfId="0" applyFont="1" applyBorder="1" applyAlignment="1">
      <alignment horizontal="center" vertical="center"/>
    </xf>
    <xf numFmtId="0" fontId="15" fillId="0" borderId="50" xfId="0" applyFont="1" applyBorder="1" applyAlignment="1">
      <alignment horizontal="center" vertical="center"/>
    </xf>
    <xf numFmtId="0" fontId="15" fillId="0" borderId="44" xfId="0" applyFont="1" applyBorder="1" applyAlignment="1">
      <alignment horizontal="center" vertical="center"/>
    </xf>
    <xf numFmtId="0" fontId="179" fillId="24" borderId="107" xfId="0" applyFont="1" applyFill="1" applyBorder="1" applyAlignment="1">
      <alignment horizontal="left" wrapText="1" indent="1" shrinkToFit="1"/>
    </xf>
    <xf numFmtId="0" fontId="180" fillId="3" borderId="97" xfId="0" applyFont="1" applyFill="1" applyBorder="1" applyAlignment="1">
      <alignment horizontal="left" indent="3" shrinkToFit="1"/>
    </xf>
    <xf numFmtId="0" fontId="75" fillId="3" borderId="0" xfId="0" applyFont="1" applyFill="1" applyAlignment="1">
      <alignment horizontal="left" indent="23"/>
    </xf>
    <xf numFmtId="0" fontId="181" fillId="0" borderId="0" xfId="0" applyFont="1" applyAlignment="1">
      <alignment horizontal="center"/>
    </xf>
    <xf numFmtId="0" fontId="181" fillId="0" borderId="0" xfId="0" applyFont="1" applyAlignment="1">
      <alignment horizontal="left" indent="1"/>
    </xf>
    <xf numFmtId="2" fontId="181" fillId="0" borderId="0" xfId="0" applyNumberFormat="1" applyFont="1" applyAlignment="1">
      <alignment horizontal="right"/>
    </xf>
    <xf numFmtId="3" fontId="181" fillId="0" borderId="0" xfId="0" applyNumberFormat="1" applyFont="1" applyAlignment="1">
      <alignment horizontal="center"/>
    </xf>
    <xf numFmtId="0" fontId="182" fillId="0" borderId="0" xfId="0" applyFont="1" applyAlignment="1">
      <alignment horizontal="center"/>
    </xf>
    <xf numFmtId="0" fontId="182" fillId="0" borderId="0" xfId="0" applyFont="1" applyAlignment="1">
      <alignment horizontal="left" indent="1"/>
    </xf>
    <xf numFmtId="2" fontId="182" fillId="0" borderId="0" xfId="0" applyNumberFormat="1" applyFont="1" applyAlignment="1">
      <alignment horizontal="right"/>
    </xf>
    <xf numFmtId="3" fontId="182" fillId="0" borderId="0" xfId="0" applyNumberFormat="1" applyFont="1" applyAlignment="1">
      <alignment horizontal="center"/>
    </xf>
    <xf numFmtId="0" fontId="63" fillId="25" borderId="97" xfId="0" applyFont="1" applyFill="1" applyBorder="1" applyAlignment="1">
      <alignment horizontal="left" indent="1"/>
    </xf>
    <xf numFmtId="0" fontId="69" fillId="18" borderId="0" xfId="0" applyFont="1" applyFill="1" applyAlignment="1">
      <alignment horizontal="left" vertical="center" indent="1"/>
    </xf>
    <xf numFmtId="0" fontId="63" fillId="3" borderId="0" xfId="0" applyFont="1" applyFill="1" applyAlignment="1">
      <alignment horizontal="left" indent="1"/>
    </xf>
    <xf numFmtId="0" fontId="180" fillId="3" borderId="0" xfId="0" applyFont="1" applyFill="1" applyAlignment="1">
      <alignment horizontal="left" indent="3" shrinkToFit="1"/>
    </xf>
    <xf numFmtId="0" fontId="65" fillId="3" borderId="0" xfId="0" applyFont="1" applyFill="1" applyAlignment="1">
      <alignment horizontal="left" indent="3"/>
    </xf>
    <xf numFmtId="170" fontId="111" fillId="3" borderId="0" xfId="0" applyNumberFormat="1" applyFont="1" applyFill="1" applyAlignment="1" applyProtection="1">
      <alignment horizontal="right" indent="26"/>
      <protection locked="0"/>
    </xf>
    <xf numFmtId="0" fontId="77" fillId="25" borderId="24" xfId="0" applyFont="1" applyFill="1" applyBorder="1" applyAlignment="1">
      <alignment horizontal="left" indent="1"/>
    </xf>
    <xf numFmtId="0" fontId="28" fillId="3" borderId="43" xfId="0" applyFont="1" applyFill="1" applyBorder="1"/>
    <xf numFmtId="0" fontId="28" fillId="3" borderId="44" xfId="0" applyFont="1" applyFill="1" applyBorder="1"/>
    <xf numFmtId="0" fontId="28" fillId="3" borderId="39" xfId="0" applyFont="1" applyFill="1" applyBorder="1"/>
    <xf numFmtId="0" fontId="28" fillId="3" borderId="42" xfId="0" applyFont="1" applyFill="1" applyBorder="1"/>
    <xf numFmtId="0" fontId="28" fillId="3" borderId="40" xfId="0" applyFont="1" applyFill="1" applyBorder="1"/>
    <xf numFmtId="0" fontId="2" fillId="18" borderId="44" xfId="0" applyFont="1" applyFill="1" applyBorder="1"/>
    <xf numFmtId="0" fontId="2" fillId="18" borderId="24" xfId="0" applyFont="1" applyFill="1" applyBorder="1"/>
    <xf numFmtId="0" fontId="2" fillId="18" borderId="40" xfId="0" applyFont="1" applyFill="1" applyBorder="1"/>
    <xf numFmtId="0" fontId="28" fillId="3" borderId="24" xfId="0" applyFont="1" applyFill="1" applyBorder="1"/>
    <xf numFmtId="0" fontId="78" fillId="43" borderId="55" xfId="0" applyFont="1" applyFill="1" applyBorder="1" applyAlignment="1">
      <alignment horizontal="left" vertical="center" indent="1"/>
    </xf>
    <xf numFmtId="0" fontId="183" fillId="18" borderId="50" xfId="0" applyFont="1" applyFill="1" applyBorder="1" applyAlignment="1">
      <alignment vertical="center"/>
    </xf>
    <xf numFmtId="0" fontId="183" fillId="18" borderId="44" xfId="0" applyFont="1" applyFill="1" applyBorder="1" applyAlignment="1">
      <alignment vertical="center"/>
    </xf>
    <xf numFmtId="0" fontId="183" fillId="18" borderId="40" xfId="0" applyFont="1" applyFill="1" applyBorder="1" applyAlignment="1">
      <alignment vertical="center"/>
    </xf>
    <xf numFmtId="0" fontId="87" fillId="34" borderId="0" xfId="0" applyFont="1" applyFill="1" applyAlignment="1">
      <alignment horizontal="centerContinuous" wrapText="1"/>
    </xf>
    <xf numFmtId="0" fontId="78" fillId="34" borderId="0" xfId="0" applyFont="1" applyFill="1" applyAlignment="1">
      <alignment horizontal="centerContinuous" wrapText="1"/>
    </xf>
    <xf numFmtId="0" fontId="65" fillId="34" borderId="0" xfId="0" applyFont="1" applyFill="1" applyAlignment="1">
      <alignment horizontal="centerContinuous"/>
    </xf>
    <xf numFmtId="0" fontId="87" fillId="34" borderId="0" xfId="1" applyFont="1" applyFill="1" applyAlignment="1" applyProtection="1">
      <alignment horizontal="centerContinuous"/>
    </xf>
    <xf numFmtId="0" fontId="78" fillId="34" borderId="0" xfId="1" applyFont="1" applyFill="1" applyAlignment="1" applyProtection="1">
      <alignment horizontal="centerContinuous"/>
    </xf>
    <xf numFmtId="0" fontId="2" fillId="34" borderId="0" xfId="0" applyFont="1" applyFill="1" applyAlignment="1">
      <alignment horizontal="centerContinuous"/>
    </xf>
    <xf numFmtId="168" fontId="2" fillId="34" borderId="0" xfId="0" applyNumberFormat="1" applyFont="1" applyFill="1" applyAlignment="1">
      <alignment horizontal="centerContinuous"/>
    </xf>
    <xf numFmtId="0" fontId="124" fillId="33" borderId="0" xfId="0" applyFont="1" applyFill="1" applyAlignment="1">
      <alignment horizontal="center"/>
    </xf>
    <xf numFmtId="0" fontId="184" fillId="0" borderId="0" xfId="0" applyFont="1" applyAlignment="1">
      <alignment horizontal="center"/>
    </xf>
    <xf numFmtId="0" fontId="184" fillId="0" borderId="0" xfId="0" applyFont="1" applyAlignment="1">
      <alignment horizontal="left" indent="1"/>
    </xf>
    <xf numFmtId="2" fontId="184" fillId="0" borderId="0" xfId="0" applyNumberFormat="1" applyFont="1" applyAlignment="1">
      <alignment horizontal="right"/>
    </xf>
    <xf numFmtId="0" fontId="184" fillId="33" borderId="0" xfId="0" applyFont="1" applyFill="1" applyAlignment="1">
      <alignment horizontal="center"/>
    </xf>
    <xf numFmtId="3" fontId="184" fillId="0" borderId="0" xfId="0" applyNumberFormat="1" applyFont="1" applyAlignment="1">
      <alignment horizontal="center"/>
    </xf>
    <xf numFmtId="0" fontId="185" fillId="0" borderId="0" xfId="0" applyFont="1"/>
    <xf numFmtId="168" fontId="6" fillId="42" borderId="189" xfId="0" applyNumberFormat="1" applyFont="1" applyFill="1" applyBorder="1" applyAlignment="1">
      <alignment horizontal="center" vertical="center"/>
    </xf>
    <xf numFmtId="168" fontId="70" fillId="29" borderId="25" xfId="0" applyNumberFormat="1" applyFont="1" applyFill="1" applyBorder="1" applyAlignment="1">
      <alignment horizontal="right" vertical="center" shrinkToFit="1"/>
    </xf>
    <xf numFmtId="168" fontId="70" fillId="24" borderId="105" xfId="0" applyNumberFormat="1" applyFont="1" applyFill="1" applyBorder="1" applyAlignment="1">
      <alignment horizontal="right" vertical="center" shrinkToFit="1"/>
    </xf>
    <xf numFmtId="168" fontId="71" fillId="3" borderId="190" xfId="0" applyNumberFormat="1" applyFont="1" applyFill="1" applyBorder="1" applyAlignment="1" applyProtection="1">
      <alignment horizontal="right" vertical="center" shrinkToFit="1"/>
      <protection locked="0"/>
    </xf>
    <xf numFmtId="168" fontId="70" fillId="29" borderId="98" xfId="0" applyNumberFormat="1" applyFont="1" applyFill="1" applyBorder="1" applyAlignment="1">
      <alignment horizontal="right" vertical="center" shrinkToFit="1"/>
    </xf>
    <xf numFmtId="170" fontId="111" fillId="3" borderId="70" xfId="0" applyNumberFormat="1" applyFont="1" applyFill="1" applyBorder="1" applyAlignment="1" applyProtection="1">
      <alignment horizontal="center" shrinkToFit="1"/>
      <protection locked="0"/>
    </xf>
    <xf numFmtId="170" fontId="111" fillId="3" borderId="44" xfId="0" applyNumberFormat="1" applyFont="1" applyFill="1" applyBorder="1" applyAlignment="1" applyProtection="1">
      <alignment horizontal="center" shrinkToFit="1"/>
      <protection locked="0"/>
    </xf>
    <xf numFmtId="0" fontId="0" fillId="0" borderId="100" xfId="0" applyBorder="1"/>
    <xf numFmtId="0" fontId="57" fillId="29" borderId="99" xfId="0" applyFont="1" applyFill="1" applyBorder="1" applyAlignment="1">
      <alignment horizontal="center" vertical="center" wrapText="1"/>
    </xf>
    <xf numFmtId="168" fontId="16" fillId="18" borderId="191" xfId="0" applyNumberFormat="1" applyFont="1" applyFill="1" applyBorder="1" applyAlignment="1">
      <alignment horizontal="right" vertical="center" shrinkToFit="1"/>
    </xf>
    <xf numFmtId="168" fontId="16" fillId="18" borderId="192" xfId="0" applyNumberFormat="1" applyFont="1" applyFill="1" applyBorder="1" applyAlignment="1">
      <alignment horizontal="right" vertical="center" shrinkToFit="1"/>
    </xf>
    <xf numFmtId="0" fontId="32" fillId="0" borderId="0" xfId="0" applyFont="1" applyAlignment="1">
      <alignment vertical="center"/>
    </xf>
    <xf numFmtId="168" fontId="143" fillId="24" borderId="147" xfId="0" applyNumberFormat="1" applyFont="1" applyFill="1" applyBorder="1" applyAlignment="1" applyProtection="1">
      <alignment horizontal="right" vertical="center" shrinkToFit="1"/>
      <protection locked="0"/>
    </xf>
    <xf numFmtId="168" fontId="8" fillId="24" borderId="3" xfId="0" applyNumberFormat="1" applyFont="1" applyFill="1" applyBorder="1" applyAlignment="1" applyProtection="1">
      <alignment horizontal="right" vertical="center" shrinkToFit="1"/>
      <protection locked="0"/>
    </xf>
    <xf numFmtId="168" fontId="8" fillId="24" borderId="2" xfId="0" applyNumberFormat="1" applyFont="1" applyFill="1" applyBorder="1" applyAlignment="1" applyProtection="1">
      <alignment horizontal="right" vertical="center" shrinkToFit="1"/>
      <protection locked="0"/>
    </xf>
    <xf numFmtId="168" fontId="8" fillId="24" borderId="148" xfId="0" applyNumberFormat="1" applyFont="1" applyFill="1" applyBorder="1" applyAlignment="1" applyProtection="1">
      <alignment horizontal="right" vertical="center" shrinkToFit="1"/>
      <protection locked="0"/>
    </xf>
    <xf numFmtId="168" fontId="8" fillId="24" borderId="6" xfId="0" applyNumberFormat="1" applyFont="1" applyFill="1" applyBorder="1" applyAlignment="1" applyProtection="1">
      <alignment vertical="center" shrinkToFit="1"/>
      <protection locked="0"/>
    </xf>
    <xf numFmtId="168" fontId="8" fillId="24" borderId="4" xfId="0" applyNumberFormat="1" applyFont="1" applyFill="1" applyBorder="1" applyAlignment="1" applyProtection="1">
      <alignment vertical="center" shrinkToFit="1"/>
      <protection locked="0"/>
    </xf>
    <xf numFmtId="168" fontId="8" fillId="24" borderId="94" xfId="0" applyNumberFormat="1" applyFont="1" applyFill="1" applyBorder="1" applyAlignment="1" applyProtection="1">
      <alignment vertical="center" shrinkToFit="1"/>
      <protection locked="0"/>
    </xf>
    <xf numFmtId="168" fontId="31" fillId="18" borderId="97" xfId="0" applyNumberFormat="1" applyFont="1" applyFill="1" applyBorder="1" applyAlignment="1" applyProtection="1">
      <alignment vertical="center" shrinkToFit="1"/>
      <protection locked="0"/>
    </xf>
    <xf numFmtId="168" fontId="31" fillId="18" borderId="100" xfId="0" applyNumberFormat="1" applyFont="1" applyFill="1" applyBorder="1" applyAlignment="1" applyProtection="1">
      <alignment vertical="center" shrinkToFit="1"/>
      <protection locked="0"/>
    </xf>
    <xf numFmtId="168" fontId="8" fillId="24" borderId="101" xfId="0" applyNumberFormat="1" applyFont="1" applyFill="1" applyBorder="1" applyAlignment="1" applyProtection="1">
      <alignment vertical="center" shrinkToFit="1"/>
      <protection locked="0"/>
    </xf>
    <xf numFmtId="0" fontId="63" fillId="24" borderId="97" xfId="0" applyFont="1" applyFill="1" applyBorder="1" applyAlignment="1">
      <alignment horizontal="left" indent="1"/>
    </xf>
    <xf numFmtId="170" fontId="65" fillId="24" borderId="193" xfId="0" applyNumberFormat="1" applyFont="1" applyFill="1" applyBorder="1" applyAlignment="1">
      <alignment horizontal="center" shrinkToFit="1"/>
    </xf>
    <xf numFmtId="170" fontId="65" fillId="24" borderId="194" xfId="0" applyNumberFormat="1" applyFont="1" applyFill="1" applyBorder="1" applyAlignment="1">
      <alignment horizontal="center"/>
    </xf>
    <xf numFmtId="170" fontId="65" fillId="24" borderId="147" xfId="0" applyNumberFormat="1" applyFont="1" applyFill="1" applyBorder="1" applyAlignment="1">
      <alignment horizontal="right" indent="2"/>
    </xf>
    <xf numFmtId="170" fontId="65" fillId="24" borderId="3" xfId="0" applyNumberFormat="1" applyFont="1" applyFill="1" applyBorder="1" applyAlignment="1">
      <alignment horizontal="right" indent="2"/>
    </xf>
    <xf numFmtId="170" fontId="65" fillId="24" borderId="28" xfId="0" applyNumberFormat="1" applyFont="1" applyFill="1" applyBorder="1" applyAlignment="1">
      <alignment horizontal="right" indent="2"/>
    </xf>
    <xf numFmtId="168" fontId="5" fillId="24" borderId="195" xfId="0" applyNumberFormat="1" applyFont="1" applyFill="1" applyBorder="1" applyAlignment="1">
      <alignment vertical="center" shrinkToFit="1"/>
    </xf>
    <xf numFmtId="168" fontId="14" fillId="24" borderId="100" xfId="0" applyNumberFormat="1" applyFont="1" applyFill="1" applyBorder="1" applyAlignment="1">
      <alignment vertical="center" shrinkToFit="1"/>
    </xf>
    <xf numFmtId="168" fontId="5" fillId="24" borderId="98" xfId="0" applyNumberFormat="1" applyFont="1" applyFill="1" applyBorder="1" applyAlignment="1">
      <alignment vertical="center" shrinkToFit="1"/>
    </xf>
    <xf numFmtId="168" fontId="5" fillId="24" borderId="45" xfId="0" applyNumberFormat="1" applyFont="1" applyFill="1" applyBorder="1" applyAlignment="1">
      <alignment vertical="center" shrinkToFit="1"/>
    </xf>
    <xf numFmtId="168" fontId="31" fillId="24" borderId="100" xfId="0" applyNumberFormat="1" applyFont="1" applyFill="1" applyBorder="1" applyAlignment="1">
      <alignment vertical="center" shrinkToFit="1"/>
    </xf>
    <xf numFmtId="168" fontId="31" fillId="24" borderId="45" xfId="0" applyNumberFormat="1" applyFont="1" applyFill="1" applyBorder="1" applyAlignment="1">
      <alignment vertical="center" shrinkToFit="1"/>
    </xf>
    <xf numFmtId="0" fontId="101" fillId="18" borderId="39" xfId="0" applyFont="1" applyFill="1" applyBorder="1" applyAlignment="1">
      <alignment horizontal="left" vertical="center" indent="1"/>
    </xf>
    <xf numFmtId="0" fontId="2" fillId="18" borderId="41" xfId="0" applyFont="1" applyFill="1" applyBorder="1"/>
    <xf numFmtId="0" fontId="187" fillId="18" borderId="24" xfId="0" applyFont="1" applyFill="1" applyBorder="1" applyAlignment="1">
      <alignment horizontal="left" vertical="center" indent="1"/>
    </xf>
    <xf numFmtId="0" fontId="0" fillId="0" borderId="39" xfId="0" applyBorder="1" applyAlignment="1">
      <alignment horizontal="center" vertical="center"/>
    </xf>
    <xf numFmtId="0" fontId="0" fillId="0" borderId="24" xfId="0" applyBorder="1" applyAlignment="1">
      <alignment horizontal="center" vertical="center"/>
    </xf>
    <xf numFmtId="0" fontId="12" fillId="0" borderId="24" xfId="0" applyFont="1" applyBorder="1" applyAlignment="1">
      <alignment horizontal="center" vertical="center"/>
    </xf>
    <xf numFmtId="0" fontId="0" fillId="0" borderId="24" xfId="0" applyBorder="1" applyAlignment="1">
      <alignment horizontal="center"/>
    </xf>
    <xf numFmtId="0" fontId="0" fillId="0" borderId="40" xfId="0" applyBorder="1" applyAlignment="1">
      <alignment horizontal="center"/>
    </xf>
    <xf numFmtId="14" fontId="0" fillId="0" borderId="196" xfId="0" applyNumberFormat="1" applyBorder="1" applyAlignment="1">
      <alignment horizontal="center" vertical="center"/>
    </xf>
    <xf numFmtId="14" fontId="0" fillId="0" borderId="197" xfId="0" applyNumberFormat="1" applyBorder="1" applyAlignment="1">
      <alignment horizontal="center" vertical="center"/>
    </xf>
    <xf numFmtId="0" fontId="0" fillId="0" borderId="197" xfId="0" applyBorder="1" applyAlignment="1">
      <alignment horizontal="center" vertical="center"/>
    </xf>
    <xf numFmtId="0" fontId="0" fillId="0" borderId="197" xfId="0" applyBorder="1" applyAlignment="1">
      <alignment horizontal="center"/>
    </xf>
    <xf numFmtId="0" fontId="0" fillId="0" borderId="198" xfId="0" applyBorder="1" applyAlignment="1">
      <alignment horizontal="center"/>
    </xf>
    <xf numFmtId="0" fontId="20" fillId="20" borderId="55" xfId="0" applyFont="1" applyFill="1" applyBorder="1" applyAlignment="1">
      <alignment horizontal="center" vertical="center"/>
    </xf>
    <xf numFmtId="0" fontId="20" fillId="20" borderId="199" xfId="0" applyFont="1" applyFill="1" applyBorder="1" applyAlignment="1">
      <alignment horizontal="center" vertical="center"/>
    </xf>
    <xf numFmtId="3" fontId="78" fillId="18" borderId="0" xfId="0" applyNumberFormat="1" applyFont="1" applyFill="1" applyAlignment="1">
      <alignment horizontal="centerContinuous"/>
    </xf>
    <xf numFmtId="14" fontId="12" fillId="0" borderId="197" xfId="0" applyNumberFormat="1" applyFont="1" applyBorder="1" applyAlignment="1">
      <alignment horizontal="center" vertical="center"/>
    </xf>
    <xf numFmtId="0" fontId="113" fillId="3" borderId="179" xfId="0" applyFont="1" applyFill="1" applyBorder="1" applyAlignment="1">
      <alignment horizontal="left" indent="3" shrinkToFit="1"/>
    </xf>
    <xf numFmtId="168" fontId="13" fillId="18" borderId="191" xfId="0" applyNumberFormat="1" applyFont="1" applyFill="1" applyBorder="1" applyAlignment="1" applyProtection="1">
      <alignment horizontal="right" vertical="center" shrinkToFit="1"/>
      <protection locked="0"/>
    </xf>
    <xf numFmtId="168" fontId="13" fillId="18" borderId="192" xfId="0" applyNumberFormat="1" applyFont="1" applyFill="1" applyBorder="1" applyAlignment="1" applyProtection="1">
      <alignment horizontal="right" vertical="center" shrinkToFit="1"/>
      <protection locked="0"/>
    </xf>
    <xf numFmtId="0" fontId="20" fillId="20" borderId="76" xfId="0" applyFont="1" applyFill="1" applyBorder="1" applyAlignment="1">
      <alignment horizontal="center" vertical="center" wrapText="1"/>
    </xf>
    <xf numFmtId="0" fontId="12" fillId="0" borderId="42" xfId="0" applyFont="1" applyBorder="1" applyAlignment="1">
      <alignment horizontal="left" vertical="center" indent="1"/>
    </xf>
    <xf numFmtId="0" fontId="0" fillId="0" borderId="43" xfId="0" applyBorder="1" applyAlignment="1">
      <alignment horizontal="left" vertical="center" indent="1"/>
    </xf>
    <xf numFmtId="0" fontId="12" fillId="0" borderId="43" xfId="0" applyFont="1" applyBorder="1" applyAlignment="1">
      <alignment horizontal="left" vertical="center" indent="1"/>
    </xf>
    <xf numFmtId="0" fontId="12" fillId="0" borderId="43" xfId="0" applyFont="1" applyBorder="1" applyAlignment="1">
      <alignment horizontal="left" vertical="center" wrapText="1" indent="1"/>
    </xf>
    <xf numFmtId="0" fontId="0" fillId="0" borderId="43" xfId="0" applyBorder="1" applyAlignment="1">
      <alignment horizontal="left" vertical="center"/>
    </xf>
    <xf numFmtId="0" fontId="0" fillId="0" borderId="43" xfId="0" applyBorder="1" applyAlignment="1">
      <alignment vertical="center"/>
    </xf>
    <xf numFmtId="0" fontId="0" fillId="0" borderId="43" xfId="0" applyBorder="1"/>
    <xf numFmtId="0" fontId="0" fillId="0" borderId="44" xfId="0" applyBorder="1"/>
    <xf numFmtId="0" fontId="120" fillId="0" borderId="196" xfId="0" applyFont="1" applyBorder="1" applyAlignment="1">
      <alignment horizontal="center" vertical="center"/>
    </xf>
    <xf numFmtId="0" fontId="120" fillId="0" borderId="197" xfId="0" applyFont="1" applyBorder="1" applyAlignment="1">
      <alignment horizontal="center" vertical="center"/>
    </xf>
    <xf numFmtId="0" fontId="120" fillId="0" borderId="197" xfId="0" applyFont="1" applyBorder="1" applyAlignment="1">
      <alignment horizontal="center"/>
    </xf>
    <xf numFmtId="0" fontId="120" fillId="0" borderId="198" xfId="0" applyFont="1" applyBorder="1" applyAlignment="1">
      <alignment horizontal="center"/>
    </xf>
    <xf numFmtId="0" fontId="188" fillId="0" borderId="0" xfId="0" applyFont="1" applyAlignment="1">
      <alignment horizontal="center"/>
    </xf>
    <xf numFmtId="0" fontId="188" fillId="0" borderId="0" xfId="0" applyFont="1"/>
    <xf numFmtId="0" fontId="0" fillId="0" borderId="178" xfId="0" applyBorder="1" applyAlignment="1">
      <alignment horizontal="center" vertical="center"/>
    </xf>
    <xf numFmtId="14" fontId="0" fillId="0" borderId="200" xfId="0" applyNumberFormat="1" applyBorder="1" applyAlignment="1">
      <alignment horizontal="center" vertical="center"/>
    </xf>
    <xf numFmtId="0" fontId="120" fillId="0" borderId="200" xfId="0" applyFont="1" applyBorder="1" applyAlignment="1">
      <alignment horizontal="center" vertical="center"/>
    </xf>
    <xf numFmtId="0" fontId="12" fillId="0" borderId="26" xfId="0" applyFont="1" applyBorder="1" applyAlignment="1">
      <alignment horizontal="left" vertical="center" wrapText="1" indent="1"/>
    </xf>
    <xf numFmtId="0" fontId="0" fillId="0" borderId="201" xfId="0" applyBorder="1" applyAlignment="1">
      <alignment horizontal="center" vertical="center"/>
    </xf>
    <xf numFmtId="14" fontId="12" fillId="0" borderId="202" xfId="0" applyNumberFormat="1" applyFont="1" applyBorder="1" applyAlignment="1">
      <alignment horizontal="center" vertical="center"/>
    </xf>
    <xf numFmtId="0" fontId="120" fillId="0" borderId="202" xfId="0" applyFont="1" applyBorder="1" applyAlignment="1">
      <alignment horizontal="center" vertical="center"/>
    </xf>
    <xf numFmtId="0" fontId="12" fillId="0" borderId="28" xfId="0" applyFont="1" applyBorder="1" applyAlignment="1">
      <alignment horizontal="left" vertical="center" wrapText="1" indent="1"/>
    </xf>
    <xf numFmtId="0" fontId="12" fillId="0" borderId="28" xfId="0" applyFont="1" applyBorder="1" applyAlignment="1">
      <alignment horizontal="left" vertical="center" indent="1"/>
    </xf>
    <xf numFmtId="0" fontId="0" fillId="0" borderId="200" xfId="0" applyBorder="1" applyAlignment="1">
      <alignment horizontal="center" vertical="center"/>
    </xf>
    <xf numFmtId="0" fontId="0" fillId="0" borderId="93" xfId="0" applyBorder="1" applyAlignment="1">
      <alignment horizontal="center" vertical="center"/>
    </xf>
    <xf numFmtId="14" fontId="0" fillId="0" borderId="203" xfId="0" applyNumberFormat="1" applyBorder="1" applyAlignment="1">
      <alignment horizontal="center" vertical="center"/>
    </xf>
    <xf numFmtId="0" fontId="120" fillId="0" borderId="203" xfId="0" applyFont="1" applyBorder="1" applyAlignment="1">
      <alignment horizontal="center" vertical="center"/>
    </xf>
    <xf numFmtId="0" fontId="12" fillId="0" borderId="27" xfId="0" applyFont="1" applyBorder="1" applyAlignment="1">
      <alignment horizontal="left" vertical="center" wrapText="1" indent="1"/>
    </xf>
    <xf numFmtId="0" fontId="68" fillId="34" borderId="0" xfId="0" applyFont="1" applyFill="1" applyAlignment="1">
      <alignment horizontal="centerContinuous"/>
    </xf>
    <xf numFmtId="0" fontId="68" fillId="34" borderId="43" xfId="0" applyFont="1" applyFill="1" applyBorder="1" applyAlignment="1">
      <alignment horizontal="centerContinuous"/>
    </xf>
    <xf numFmtId="168" fontId="4" fillId="29" borderId="70" xfId="0" applyNumberFormat="1" applyFont="1" applyFill="1" applyBorder="1" applyAlignment="1">
      <alignment horizontal="center" vertical="center"/>
    </xf>
    <xf numFmtId="168" fontId="4" fillId="29" borderId="44" xfId="0" applyNumberFormat="1" applyFont="1" applyFill="1" applyBorder="1" applyAlignment="1">
      <alignment horizontal="center" vertical="center"/>
    </xf>
    <xf numFmtId="0" fontId="65" fillId="3" borderId="0" xfId="1" applyFont="1" applyFill="1" applyAlignment="1" applyProtection="1">
      <alignment horizontal="centerContinuous" wrapText="1"/>
    </xf>
    <xf numFmtId="0" fontId="189" fillId="25" borderId="30" xfId="0" applyFont="1" applyFill="1" applyBorder="1" applyAlignment="1">
      <alignment horizontal="center" vertical="center"/>
    </xf>
    <xf numFmtId="0" fontId="12" fillId="0" borderId="42" xfId="0" applyFont="1" applyBorder="1" applyAlignment="1">
      <alignment horizontal="left" vertical="center" wrapText="1" indent="1"/>
    </xf>
    <xf numFmtId="0" fontId="12" fillId="0" borderId="8" xfId="0" applyFont="1" applyBorder="1" applyAlignment="1">
      <alignment horizontal="center"/>
    </xf>
    <xf numFmtId="0" fontId="190" fillId="46" borderId="0" xfId="0" applyFont="1" applyFill="1" applyAlignment="1">
      <alignment horizontal="center"/>
    </xf>
    <xf numFmtId="0" fontId="121" fillId="0" borderId="0" xfId="0" applyFont="1" applyAlignment="1">
      <alignment horizontal="center"/>
    </xf>
    <xf numFmtId="0" fontId="0" fillId="0" borderId="8" xfId="0" applyBorder="1"/>
    <xf numFmtId="0" fontId="30" fillId="25" borderId="76" xfId="0" applyFont="1" applyFill="1" applyBorder="1" applyAlignment="1">
      <alignment horizontal="center" vertical="center"/>
    </xf>
    <xf numFmtId="0" fontId="30" fillId="25" borderId="73" xfId="0" applyFont="1" applyFill="1" applyBorder="1" applyAlignment="1">
      <alignment horizontal="center" vertical="center"/>
    </xf>
    <xf numFmtId="0" fontId="30" fillId="25" borderId="74" xfId="0" applyFont="1" applyFill="1" applyBorder="1" applyAlignment="1">
      <alignment horizontal="center" vertical="center"/>
    </xf>
    <xf numFmtId="0" fontId="0" fillId="25" borderId="99" xfId="0" applyFill="1" applyBorder="1" applyAlignment="1">
      <alignment vertical="center"/>
    </xf>
    <xf numFmtId="166" fontId="20" fillId="0" borderId="100" xfId="0" quotePrefix="1" applyNumberFormat="1" applyFont="1" applyBorder="1" applyAlignment="1">
      <alignment horizontal="left" vertical="center"/>
    </xf>
    <xf numFmtId="174" fontId="0" fillId="0" borderId="8" xfId="2" applyNumberFormat="1" applyFont="1" applyBorder="1" applyAlignment="1">
      <alignment horizontal="right"/>
    </xf>
    <xf numFmtId="3" fontId="129" fillId="18" borderId="9" xfId="0" quotePrefix="1" applyNumberFormat="1" applyFont="1" applyFill="1" applyBorder="1" applyAlignment="1">
      <alignment horizontal="center" vertical="center" wrapText="1"/>
    </xf>
    <xf numFmtId="0" fontId="198" fillId="0" borderId="0" xfId="0" applyFont="1"/>
    <xf numFmtId="0" fontId="198" fillId="0" borderId="0" xfId="0" applyFont="1" applyAlignment="1">
      <alignment horizontal="center"/>
    </xf>
    <xf numFmtId="0" fontId="199" fillId="0" borderId="0" xfId="0" applyFont="1" applyAlignment="1">
      <alignment horizontal="center"/>
    </xf>
    <xf numFmtId="0" fontId="198" fillId="0" borderId="228" xfId="0" applyFont="1" applyBorder="1" applyAlignment="1">
      <alignment horizontal="center"/>
    </xf>
    <xf numFmtId="0" fontId="199" fillId="0" borderId="228" xfId="0" applyFont="1" applyBorder="1" applyAlignment="1">
      <alignment horizontal="center"/>
    </xf>
    <xf numFmtId="174" fontId="198" fillId="0" borderId="0" xfId="2" applyNumberFormat="1" applyFont="1" applyBorder="1"/>
    <xf numFmtId="174" fontId="198" fillId="0" borderId="228" xfId="2" applyNumberFormat="1" applyFont="1" applyBorder="1"/>
    <xf numFmtId="174" fontId="12" fillId="0" borderId="0" xfId="2" applyNumberFormat="1" applyFont="1"/>
    <xf numFmtId="0" fontId="0" fillId="25" borderId="0" xfId="0" applyFill="1"/>
    <xf numFmtId="3" fontId="0" fillId="10" borderId="8" xfId="0" applyNumberFormat="1" applyFill="1" applyBorder="1" applyAlignment="1">
      <alignment horizontal="center" vertical="center"/>
    </xf>
    <xf numFmtId="0" fontId="12" fillId="18" borderId="67" xfId="0" applyFont="1" applyFill="1" applyBorder="1" applyAlignment="1">
      <alignment vertical="center"/>
    </xf>
    <xf numFmtId="170" fontId="65" fillId="24" borderId="152" xfId="0" applyNumberFormat="1" applyFont="1" applyFill="1" applyBorder="1" applyAlignment="1">
      <alignment horizontal="center" shrinkToFit="1"/>
    </xf>
    <xf numFmtId="170" fontId="65" fillId="24" borderId="42" xfId="0" applyNumberFormat="1" applyFont="1" applyFill="1" applyBorder="1" applyAlignment="1">
      <alignment horizontal="center"/>
    </xf>
    <xf numFmtId="0" fontId="130" fillId="18" borderId="31" xfId="0" applyFont="1" applyFill="1" applyBorder="1" applyAlignment="1" applyProtection="1">
      <alignment horizontal="left" vertical="center" wrapText="1" indent="5"/>
      <protection locked="0"/>
    </xf>
    <xf numFmtId="0" fontId="130" fillId="18" borderId="32" xfId="0" applyFont="1" applyFill="1" applyBorder="1" applyAlignment="1" applyProtection="1">
      <alignment horizontal="left" vertical="center" wrapText="1" indent="6"/>
      <protection locked="0"/>
    </xf>
    <xf numFmtId="170" fontId="129" fillId="18" borderId="0" xfId="0" applyNumberFormat="1" applyFont="1" applyFill="1" applyAlignment="1">
      <alignment vertical="center" wrapText="1"/>
    </xf>
    <xf numFmtId="168" fontId="129" fillId="18" borderId="0" xfId="0" applyNumberFormat="1" applyFont="1" applyFill="1" applyAlignment="1">
      <alignment vertical="center" wrapText="1"/>
    </xf>
    <xf numFmtId="168" fontId="5" fillId="18" borderId="229" xfId="0" applyNumberFormat="1" applyFont="1" applyFill="1" applyBorder="1" applyAlignment="1">
      <alignment vertical="center" shrinkToFit="1"/>
    </xf>
    <xf numFmtId="0" fontId="20" fillId="20" borderId="199" xfId="0" applyFont="1" applyFill="1" applyBorder="1" applyAlignment="1">
      <alignment horizontal="center" vertical="center" wrapText="1"/>
    </xf>
    <xf numFmtId="0" fontId="12" fillId="0" borderId="230" xfId="0" applyFont="1" applyBorder="1" applyAlignment="1">
      <alignment horizontal="left" vertical="center" wrapText="1" indent="1"/>
    </xf>
    <xf numFmtId="0" fontId="120" fillId="0" borderId="196" xfId="0" applyFont="1" applyBorder="1" applyAlignment="1">
      <alignment horizontal="left" vertical="center" indent="1"/>
    </xf>
    <xf numFmtId="0" fontId="120" fillId="0" borderId="197" xfId="0" applyFont="1" applyBorder="1" applyAlignment="1">
      <alignment horizontal="left" vertical="center" indent="1"/>
    </xf>
    <xf numFmtId="0" fontId="120" fillId="0" borderId="197" xfId="0" applyFont="1" applyBorder="1" applyAlignment="1">
      <alignment horizontal="left" vertical="center" wrapText="1" indent="1"/>
    </xf>
    <xf numFmtId="0" fontId="20" fillId="20" borderId="99" xfId="0" applyFont="1" applyFill="1" applyBorder="1" applyAlignment="1">
      <alignment horizontal="center" vertical="center" wrapText="1"/>
    </xf>
    <xf numFmtId="0" fontId="0" fillId="0" borderId="100" xfId="0" applyBorder="1" applyAlignment="1">
      <alignment vertical="center"/>
    </xf>
    <xf numFmtId="0" fontId="0" fillId="0" borderId="179" xfId="0" applyBorder="1"/>
    <xf numFmtId="0" fontId="0" fillId="0" borderId="101" xfId="0" applyBorder="1" applyAlignment="1">
      <alignment vertical="center"/>
    </xf>
    <xf numFmtId="0" fontId="0" fillId="0" borderId="25" xfId="0" applyBorder="1" applyAlignment="1">
      <alignment vertical="center"/>
    </xf>
    <xf numFmtId="0" fontId="0" fillId="0" borderId="98" xfId="0" applyBorder="1" applyAlignment="1">
      <alignment vertical="center"/>
    </xf>
    <xf numFmtId="0" fontId="200" fillId="0" borderId="100" xfId="0" applyFont="1" applyBorder="1" applyAlignment="1">
      <alignment horizontal="center" vertical="center"/>
    </xf>
    <xf numFmtId="0" fontId="201" fillId="34" borderId="99" xfId="0" applyFont="1" applyFill="1" applyBorder="1" applyAlignment="1">
      <alignment horizontal="center" vertical="center"/>
    </xf>
    <xf numFmtId="0" fontId="203" fillId="27" borderId="0" xfId="0" applyFont="1" applyFill="1" applyAlignment="1">
      <alignment horizontal="center"/>
    </xf>
    <xf numFmtId="0" fontId="204" fillId="34" borderId="99" xfId="0" applyFont="1" applyFill="1" applyBorder="1" applyAlignment="1">
      <alignment horizontal="center" vertical="center" wrapText="1"/>
    </xf>
    <xf numFmtId="0" fontId="51" fillId="24" borderId="144" xfId="0" applyFont="1" applyFill="1" applyBorder="1" applyAlignment="1">
      <alignment horizontal="left" vertical="center" wrapText="1" shrinkToFit="1"/>
    </xf>
    <xf numFmtId="3" fontId="2" fillId="26" borderId="0" xfId="0" applyNumberFormat="1" applyFont="1" applyFill="1" applyAlignment="1">
      <alignment horizontal="center"/>
    </xf>
    <xf numFmtId="0" fontId="12" fillId="0" borderId="0" xfId="0" applyFont="1" applyAlignment="1">
      <alignment horizontal="left" vertical="center" indent="1"/>
    </xf>
    <xf numFmtId="0" fontId="0" fillId="0" borderId="8" xfId="0" applyBorder="1" applyAlignment="1">
      <alignment vertical="center"/>
    </xf>
    <xf numFmtId="0" fontId="0" fillId="30" borderId="0" xfId="0" applyFill="1" applyAlignment="1">
      <alignment horizontal="centerContinuous"/>
    </xf>
    <xf numFmtId="0" fontId="0" fillId="28" borderId="8" xfId="0" applyFill="1" applyBorder="1" applyAlignment="1">
      <alignment horizontal="centerContinuous"/>
    </xf>
    <xf numFmtId="3" fontId="58" fillId="28" borderId="39" xfId="0" applyNumberFormat="1" applyFont="1" applyFill="1" applyBorder="1" applyAlignment="1">
      <alignment horizontal="left" indent="1"/>
    </xf>
    <xf numFmtId="0" fontId="60" fillId="28" borderId="41" xfId="0" applyFont="1" applyFill="1" applyBorder="1" applyAlignment="1">
      <alignment horizontal="left" indent="1"/>
    </xf>
    <xf numFmtId="0" fontId="60" fillId="28" borderId="42" xfId="0" applyFont="1" applyFill="1" applyBorder="1" applyAlignment="1">
      <alignment horizontal="left" indent="1"/>
    </xf>
    <xf numFmtId="0" fontId="78" fillId="30" borderId="24" xfId="1" applyFont="1" applyFill="1" applyBorder="1" applyAlignment="1" applyProtection="1">
      <alignment horizontal="centerContinuous" wrapText="1"/>
    </xf>
    <xf numFmtId="0" fontId="0" fillId="30" borderId="43" xfId="0" applyFill="1" applyBorder="1" applyAlignment="1">
      <alignment horizontal="centerContinuous"/>
    </xf>
    <xf numFmtId="0" fontId="77" fillId="28" borderId="178" xfId="1" applyFont="1" applyFill="1" applyBorder="1" applyAlignment="1" applyProtection="1">
      <alignment horizontal="centerContinuous" wrapText="1"/>
    </xf>
    <xf numFmtId="0" fontId="0" fillId="28" borderId="26" xfId="0" applyFill="1" applyBorder="1" applyAlignment="1">
      <alignment horizontal="centerContinuous"/>
    </xf>
    <xf numFmtId="3" fontId="65" fillId="18" borderId="0" xfId="0" applyNumberFormat="1" applyFont="1" applyFill="1" applyAlignment="1">
      <alignment horizontal="centerContinuous" vertical="center"/>
    </xf>
    <xf numFmtId="0" fontId="79" fillId="18" borderId="40" xfId="0" applyFont="1" applyFill="1" applyBorder="1" applyAlignment="1">
      <alignment horizontal="left" vertical="top" indent="1"/>
    </xf>
    <xf numFmtId="170" fontId="72" fillId="18" borderId="0" xfId="0" applyNumberFormat="1" applyFont="1" applyFill="1"/>
    <xf numFmtId="170" fontId="20" fillId="18" borderId="0" xfId="0" applyNumberFormat="1" applyFont="1" applyFill="1"/>
    <xf numFmtId="0" fontId="15" fillId="18" borderId="0" xfId="0" applyFont="1" applyFill="1"/>
    <xf numFmtId="0" fontId="7" fillId="18" borderId="0" xfId="0" applyFont="1" applyFill="1"/>
    <xf numFmtId="0" fontId="143" fillId="29" borderId="167" xfId="0" applyFont="1" applyFill="1" applyBorder="1" applyAlignment="1">
      <alignment horizontal="center" vertical="center" wrapText="1"/>
    </xf>
    <xf numFmtId="171" fontId="206" fillId="18" borderId="229" xfId="0" applyNumberFormat="1" applyFont="1" applyFill="1" applyBorder="1" applyAlignment="1">
      <alignment horizontal="right" vertical="center" indent="2" shrinkToFit="1"/>
    </xf>
    <xf numFmtId="0" fontId="143" fillId="51" borderId="167" xfId="0" applyFont="1" applyFill="1" applyBorder="1" applyAlignment="1">
      <alignment horizontal="center" vertical="center" wrapText="1"/>
    </xf>
    <xf numFmtId="2" fontId="68" fillId="51" borderId="0" xfId="0" applyNumberFormat="1" applyFont="1" applyFill="1" applyAlignment="1" applyProtection="1">
      <alignment horizontal="right" vertical="center" indent="4" shrinkToFit="1"/>
      <protection locked="0"/>
    </xf>
    <xf numFmtId="2" fontId="68" fillId="51" borderId="8" xfId="0" applyNumberFormat="1" applyFont="1" applyFill="1" applyBorder="1" applyAlignment="1" applyProtection="1">
      <alignment horizontal="right" vertical="center" indent="4" shrinkToFit="1"/>
      <protection locked="0"/>
    </xf>
    <xf numFmtId="2" fontId="6" fillId="51" borderId="4" xfId="0" applyNumberFormat="1" applyFont="1" applyFill="1" applyBorder="1" applyAlignment="1" applyProtection="1">
      <alignment horizontal="right" vertical="center" indent="4" shrinkToFit="1"/>
      <protection locked="0"/>
    </xf>
    <xf numFmtId="2" fontId="6" fillId="51" borderId="50" xfId="0" applyNumberFormat="1" applyFont="1" applyFill="1" applyBorder="1" applyAlignment="1" applyProtection="1">
      <alignment horizontal="right" vertical="center" indent="4" shrinkToFit="1"/>
      <protection locked="0"/>
    </xf>
    <xf numFmtId="168" fontId="5" fillId="51" borderId="178" xfId="0" applyNumberFormat="1" applyFont="1" applyFill="1" applyBorder="1" applyAlignment="1" applyProtection="1">
      <alignment vertical="center" shrinkToFit="1"/>
      <protection locked="0"/>
    </xf>
    <xf numFmtId="168" fontId="14" fillId="51" borderId="100" xfId="0" applyNumberFormat="1" applyFont="1" applyFill="1" applyBorder="1" applyAlignment="1" applyProtection="1">
      <alignment vertical="center" shrinkToFit="1"/>
      <protection locked="0"/>
    </xf>
    <xf numFmtId="168" fontId="5" fillId="51" borderId="98" xfId="0" applyNumberFormat="1" applyFont="1" applyFill="1" applyBorder="1" applyAlignment="1" applyProtection="1">
      <alignment vertical="center" shrinkToFit="1"/>
      <protection locked="0"/>
    </xf>
    <xf numFmtId="168" fontId="5" fillId="51" borderId="45" xfId="0" applyNumberFormat="1" applyFont="1" applyFill="1" applyBorder="1" applyAlignment="1" applyProtection="1">
      <alignment vertical="center" shrinkToFit="1"/>
      <protection locked="0"/>
    </xf>
    <xf numFmtId="168" fontId="5" fillId="51" borderId="9" xfId="0" applyNumberFormat="1" applyFont="1" applyFill="1" applyBorder="1" applyAlignment="1" applyProtection="1">
      <alignment vertical="center" shrinkToFit="1"/>
      <protection locked="0"/>
    </xf>
    <xf numFmtId="168" fontId="5" fillId="51" borderId="26" xfId="0" applyNumberFormat="1" applyFont="1" applyFill="1" applyBorder="1" applyAlignment="1" applyProtection="1">
      <alignment vertical="center" shrinkToFit="1"/>
      <protection locked="0"/>
    </xf>
    <xf numFmtId="168" fontId="5" fillId="51" borderId="77" xfId="0" applyNumberFormat="1" applyFont="1" applyFill="1" applyBorder="1" applyAlignment="1" applyProtection="1">
      <alignment vertical="center" shrinkToFit="1"/>
      <protection locked="0"/>
    </xf>
    <xf numFmtId="168" fontId="5" fillId="51" borderId="8" xfId="0" applyNumberFormat="1" applyFont="1" applyFill="1" applyBorder="1" applyAlignment="1" applyProtection="1">
      <alignment vertical="center" shrinkToFit="1"/>
      <protection locked="0"/>
    </xf>
    <xf numFmtId="2" fontId="68" fillId="51" borderId="100" xfId="0" applyNumberFormat="1" applyFont="1" applyFill="1" applyBorder="1" applyAlignment="1" applyProtection="1">
      <alignment horizontal="right" vertical="center" indent="4" shrinkToFit="1"/>
      <protection locked="0"/>
    </xf>
    <xf numFmtId="2" fontId="68" fillId="51" borderId="25" xfId="0" applyNumberFormat="1" applyFont="1" applyFill="1" applyBorder="1" applyAlignment="1" applyProtection="1">
      <alignment horizontal="right" vertical="center" indent="4" shrinkToFit="1"/>
      <protection locked="0"/>
    </xf>
    <xf numFmtId="2" fontId="6" fillId="51" borderId="98" xfId="0" applyNumberFormat="1" applyFont="1" applyFill="1" applyBorder="1" applyAlignment="1" applyProtection="1">
      <alignment horizontal="right" vertical="center" indent="4" shrinkToFit="1"/>
      <protection locked="0"/>
    </xf>
    <xf numFmtId="2" fontId="6" fillId="51" borderId="45" xfId="0" applyNumberFormat="1" applyFont="1" applyFill="1" applyBorder="1" applyAlignment="1" applyProtection="1">
      <alignment horizontal="right" vertical="center" indent="4" shrinkToFit="1"/>
      <protection locked="0"/>
    </xf>
    <xf numFmtId="168" fontId="31" fillId="51" borderId="100" xfId="0" applyNumberFormat="1" applyFont="1" applyFill="1" applyBorder="1" applyAlignment="1" applyProtection="1">
      <alignment vertical="center" shrinkToFit="1"/>
      <protection locked="0"/>
    </xf>
    <xf numFmtId="168" fontId="31" fillId="51" borderId="0" xfId="0" applyNumberFormat="1" applyFont="1" applyFill="1" applyAlignment="1" applyProtection="1">
      <alignment vertical="center" shrinkToFit="1"/>
      <protection locked="0"/>
    </xf>
    <xf numFmtId="168" fontId="31" fillId="51" borderId="72" xfId="0" applyNumberFormat="1" applyFont="1" applyFill="1" applyBorder="1" applyAlignment="1" applyProtection="1">
      <alignment vertical="center" shrinkToFit="1"/>
      <protection locked="0"/>
    </xf>
    <xf numFmtId="168" fontId="31" fillId="51" borderId="43" xfId="0" applyNumberFormat="1" applyFont="1" applyFill="1" applyBorder="1" applyAlignment="1" applyProtection="1">
      <alignment vertical="center" shrinkToFit="1"/>
      <protection locked="0"/>
    </xf>
    <xf numFmtId="168" fontId="31" fillId="51" borderId="45" xfId="0" applyNumberFormat="1" applyFont="1" applyFill="1" applyBorder="1" applyAlignment="1" applyProtection="1">
      <alignment vertical="center" shrinkToFit="1"/>
      <protection locked="0"/>
    </xf>
    <xf numFmtId="168" fontId="31" fillId="51" borderId="46" xfId="0" applyNumberFormat="1" applyFont="1" applyFill="1" applyBorder="1" applyAlignment="1" applyProtection="1">
      <alignment vertical="center" shrinkToFit="1"/>
      <protection locked="0"/>
    </xf>
    <xf numFmtId="168" fontId="31" fillId="51" borderId="54" xfId="0" applyNumberFormat="1" applyFont="1" applyFill="1" applyBorder="1" applyAlignment="1" applyProtection="1">
      <alignment vertical="center" shrinkToFit="1"/>
      <protection locked="0"/>
    </xf>
    <xf numFmtId="168" fontId="31" fillId="51" borderId="29" xfId="0" applyNumberFormat="1" applyFont="1" applyFill="1" applyBorder="1" applyAlignment="1" applyProtection="1">
      <alignment vertical="center" shrinkToFit="1"/>
      <protection locked="0"/>
    </xf>
    <xf numFmtId="168" fontId="5" fillId="51" borderId="229" xfId="0" applyNumberFormat="1" applyFont="1" applyFill="1" applyBorder="1" applyAlignment="1" applyProtection="1">
      <alignment vertical="center" shrinkToFit="1"/>
      <protection locked="0"/>
    </xf>
    <xf numFmtId="0" fontId="79" fillId="18" borderId="0" xfId="0" applyFont="1" applyFill="1" applyAlignment="1">
      <alignment horizontal="left" vertical="center"/>
    </xf>
    <xf numFmtId="0" fontId="52" fillId="18" borderId="0" xfId="0" applyFont="1" applyFill="1" applyAlignment="1">
      <alignment horizontal="left" vertical="center"/>
    </xf>
    <xf numFmtId="0" fontId="79" fillId="18" borderId="50" xfId="0" applyFont="1" applyFill="1" applyBorder="1" applyAlignment="1">
      <alignment horizontal="left" vertical="center"/>
    </xf>
    <xf numFmtId="0" fontId="52" fillId="18" borderId="50" xfId="0" applyFont="1" applyFill="1" applyBorder="1" applyAlignment="1">
      <alignment horizontal="left" vertical="center"/>
    </xf>
    <xf numFmtId="0" fontId="2" fillId="18" borderId="0" xfId="0" applyFont="1" applyFill="1" applyAlignment="1">
      <alignment horizontal="left" vertical="center"/>
    </xf>
    <xf numFmtId="0" fontId="0" fillId="18" borderId="0" xfId="0" applyFill="1" applyAlignment="1">
      <alignment horizontal="left" vertical="center"/>
    </xf>
    <xf numFmtId="0" fontId="0" fillId="18" borderId="43" xfId="0" applyFill="1" applyBorder="1" applyAlignment="1">
      <alignment horizontal="left" vertical="center"/>
    </xf>
    <xf numFmtId="0" fontId="2" fillId="18" borderId="43" xfId="0" applyFont="1" applyFill="1" applyBorder="1" applyAlignment="1">
      <alignment horizontal="left" vertical="center"/>
    </xf>
    <xf numFmtId="0" fontId="2" fillId="10" borderId="0" xfId="0" applyFont="1" applyFill="1" applyAlignment="1">
      <alignment horizontal="left" vertical="center"/>
    </xf>
    <xf numFmtId="0" fontId="2" fillId="18" borderId="50" xfId="0" applyFont="1" applyFill="1" applyBorder="1" applyAlignment="1">
      <alignment horizontal="left" vertical="center"/>
    </xf>
    <xf numFmtId="0" fontId="2" fillId="18" borderId="44" xfId="0" applyFont="1" applyFill="1" applyBorder="1" applyAlignment="1">
      <alignment horizontal="left" vertical="center"/>
    </xf>
    <xf numFmtId="0" fontId="207" fillId="50" borderId="99" xfId="0" applyFont="1" applyFill="1" applyBorder="1" applyAlignment="1">
      <alignment horizontal="left" vertical="center" wrapText="1" indent="2"/>
    </xf>
    <xf numFmtId="0" fontId="209" fillId="52" borderId="0" xfId="0" applyFont="1" applyFill="1" applyAlignment="1">
      <alignment horizontal="centerContinuous" vertical="center"/>
    </xf>
    <xf numFmtId="0" fontId="92" fillId="3" borderId="0" xfId="1" applyFont="1" applyFill="1" applyAlignment="1" applyProtection="1">
      <alignment horizontal="centerContinuous"/>
    </xf>
    <xf numFmtId="0" fontId="210" fillId="3" borderId="0" xfId="0" applyFont="1" applyFill="1" applyAlignment="1">
      <alignment horizontal="centerContinuous"/>
    </xf>
    <xf numFmtId="0" fontId="211" fillId="52" borderId="0" xfId="0" applyFont="1" applyFill="1" applyAlignment="1">
      <alignment horizontal="centerContinuous" vertical="center"/>
    </xf>
    <xf numFmtId="0" fontId="12" fillId="0" borderId="178" xfId="0" applyFont="1" applyBorder="1" applyAlignment="1">
      <alignment horizontal="center" vertical="center"/>
    </xf>
    <xf numFmtId="0" fontId="120" fillId="0" borderId="200" xfId="0" applyFont="1" applyBorder="1" applyAlignment="1">
      <alignment horizontal="left" vertical="center" wrapText="1" indent="1"/>
    </xf>
    <xf numFmtId="0" fontId="200" fillId="0" borderId="25" xfId="0" applyFont="1" applyBorder="1" applyAlignment="1">
      <alignment horizontal="center" vertical="center"/>
    </xf>
    <xf numFmtId="14" fontId="213" fillId="0" borderId="197" xfId="0" applyNumberFormat="1" applyFont="1" applyBorder="1" applyAlignment="1">
      <alignment horizontal="center" vertical="center"/>
    </xf>
    <xf numFmtId="0" fontId="213" fillId="0" borderId="43" xfId="0" applyFont="1" applyBorder="1" applyAlignment="1">
      <alignment horizontal="left" vertical="center" wrapText="1" indent="1"/>
    </xf>
    <xf numFmtId="0" fontId="146" fillId="53" borderId="0" xfId="0" applyFont="1" applyFill="1" applyAlignment="1">
      <alignment horizontal="center"/>
    </xf>
    <xf numFmtId="0" fontId="146" fillId="53" borderId="0" xfId="0" applyFont="1" applyFill="1" applyAlignment="1">
      <alignment horizontal="left" indent="1"/>
    </xf>
    <xf numFmtId="2" fontId="146" fillId="53" borderId="0" xfId="0" applyNumberFormat="1" applyFont="1" applyFill="1" applyAlignment="1">
      <alignment horizontal="right"/>
    </xf>
    <xf numFmtId="3" fontId="146" fillId="53" borderId="0" xfId="0" applyNumberFormat="1" applyFont="1" applyFill="1" applyAlignment="1">
      <alignment horizontal="center"/>
    </xf>
    <xf numFmtId="0" fontId="146" fillId="33" borderId="0" xfId="0" applyFont="1" applyFill="1" applyAlignment="1">
      <alignment horizontal="center"/>
    </xf>
    <xf numFmtId="0" fontId="146" fillId="33" borderId="0" xfId="0" applyFont="1" applyFill="1" applyAlignment="1">
      <alignment horizontal="left" indent="1"/>
    </xf>
    <xf numFmtId="2" fontId="146" fillId="33" borderId="0" xfId="0" applyNumberFormat="1" applyFont="1" applyFill="1" applyAlignment="1">
      <alignment horizontal="right"/>
    </xf>
    <xf numFmtId="3" fontId="146" fillId="33" borderId="0" xfId="0" applyNumberFormat="1" applyFont="1" applyFill="1" applyAlignment="1">
      <alignment horizontal="center"/>
    </xf>
    <xf numFmtId="0" fontId="215" fillId="0" borderId="100" xfId="0" applyFont="1" applyBorder="1" applyAlignment="1">
      <alignment horizontal="center" vertical="center"/>
    </xf>
    <xf numFmtId="168" fontId="5" fillId="25" borderId="25" xfId="0" applyNumberFormat="1" applyFont="1" applyFill="1" applyBorder="1" applyAlignment="1">
      <alignment horizontal="center" vertical="center"/>
    </xf>
    <xf numFmtId="0" fontId="97" fillId="0" borderId="0" xfId="0" quotePrefix="1" applyFont="1" applyAlignment="1">
      <alignment horizontal="center"/>
    </xf>
    <xf numFmtId="0" fontId="217" fillId="34" borderId="24" xfId="0" applyFont="1" applyFill="1" applyBorder="1" applyAlignment="1">
      <alignment horizontal="centerContinuous" wrapText="1"/>
    </xf>
    <xf numFmtId="0" fontId="78" fillId="34" borderId="24" xfId="0" applyFont="1" applyFill="1" applyBorder="1" applyAlignment="1">
      <alignment horizontal="centerContinuous" vertical="top" wrapText="1"/>
    </xf>
    <xf numFmtId="173" fontId="0" fillId="0" borderId="0" xfId="2" applyNumberFormat="1" applyFont="1" applyAlignment="1">
      <alignment vertical="center"/>
    </xf>
    <xf numFmtId="173" fontId="0" fillId="10" borderId="0" xfId="2" applyNumberFormat="1" applyFont="1" applyFill="1" applyAlignment="1">
      <alignment vertical="center"/>
    </xf>
    <xf numFmtId="0" fontId="0" fillId="33" borderId="5" xfId="0" applyFill="1" applyBorder="1" applyAlignment="1">
      <alignment horizontal="center" vertical="center"/>
    </xf>
    <xf numFmtId="0" fontId="0" fillId="33" borderId="4" xfId="0" applyFill="1" applyBorder="1" applyAlignment="1">
      <alignment vertical="center"/>
    </xf>
    <xf numFmtId="0" fontId="0" fillId="33" borderId="4" xfId="0" applyFill="1" applyBorder="1"/>
    <xf numFmtId="0" fontId="0" fillId="33" borderId="6" xfId="0" applyFill="1" applyBorder="1"/>
    <xf numFmtId="3" fontId="4" fillId="30" borderId="11" xfId="0" applyNumberFormat="1" applyFont="1" applyFill="1" applyBorder="1" applyAlignment="1">
      <alignment horizontal="center" vertical="center" wrapText="1"/>
    </xf>
    <xf numFmtId="3" fontId="4" fillId="30" borderId="100" xfId="0" applyNumberFormat="1" applyFont="1" applyFill="1" applyBorder="1" applyAlignment="1">
      <alignment horizontal="center" vertical="center" wrapText="1"/>
    </xf>
    <xf numFmtId="0" fontId="218" fillId="18" borderId="24" xfId="0" applyFont="1" applyFill="1" applyBorder="1" applyAlignment="1">
      <alignment horizontal="left" vertical="center" indent="1"/>
    </xf>
    <xf numFmtId="3" fontId="166" fillId="30" borderId="101" xfId="0" applyNumberFormat="1" applyFont="1" applyFill="1" applyBorder="1" applyAlignment="1">
      <alignment horizontal="center" vertical="center" wrapText="1"/>
    </xf>
    <xf numFmtId="3" fontId="219" fillId="18" borderId="231" xfId="0" applyNumberFormat="1" applyFont="1" applyFill="1" applyBorder="1" applyAlignment="1">
      <alignment horizontal="center" vertical="center" wrapText="1"/>
    </xf>
    <xf numFmtId="3" fontId="131" fillId="30" borderId="101" xfId="0" applyNumberFormat="1" applyFont="1" applyFill="1" applyBorder="1" applyAlignment="1">
      <alignment horizontal="center" vertical="center" wrapText="1"/>
    </xf>
    <xf numFmtId="3" fontId="4" fillId="18" borderId="48" xfId="0" applyNumberFormat="1" applyFont="1" applyFill="1" applyBorder="1" applyAlignment="1">
      <alignment horizontal="center" vertical="center" wrapText="1"/>
    </xf>
    <xf numFmtId="0" fontId="52" fillId="18" borderId="166" xfId="0" applyFont="1" applyFill="1" applyBorder="1" applyAlignment="1">
      <alignment horizontal="center" vertical="center"/>
    </xf>
    <xf numFmtId="0" fontId="52" fillId="18" borderId="76" xfId="0" applyFont="1" applyFill="1" applyBorder="1" applyAlignment="1">
      <alignment horizontal="center" vertical="center"/>
    </xf>
    <xf numFmtId="0" fontId="73" fillId="18" borderId="170" xfId="0" applyFont="1" applyFill="1" applyBorder="1" applyAlignment="1">
      <alignment horizontal="center" vertical="center"/>
    </xf>
    <xf numFmtId="0" fontId="73" fillId="18" borderId="174" xfId="0" applyFont="1" applyFill="1" applyBorder="1" applyAlignment="1">
      <alignment horizontal="center" vertical="center"/>
    </xf>
    <xf numFmtId="0" fontId="15" fillId="0" borderId="0" xfId="0" applyFont="1" applyAlignment="1">
      <alignment horizontal="left" vertical="center" indent="1"/>
    </xf>
    <xf numFmtId="0" fontId="15" fillId="24" borderId="4" xfId="0" applyFont="1" applyFill="1" applyBorder="1" applyAlignment="1">
      <alignment horizontal="left" vertical="center" indent="1"/>
    </xf>
    <xf numFmtId="0" fontId="15" fillId="24" borderId="4" xfId="0" applyFont="1" applyFill="1" applyBorder="1" applyAlignment="1">
      <alignment horizontal="center" vertical="center"/>
    </xf>
    <xf numFmtId="0" fontId="121" fillId="0" borderId="0" xfId="0" applyFont="1" applyAlignment="1">
      <alignment vertical="center" wrapText="1"/>
    </xf>
    <xf numFmtId="0" fontId="0" fillId="24" borderId="4" xfId="0" applyFill="1" applyBorder="1"/>
    <xf numFmtId="0" fontId="15" fillId="24" borderId="4" xfId="0" applyFont="1" applyFill="1" applyBorder="1" applyAlignment="1">
      <alignment horizontal="center"/>
    </xf>
    <xf numFmtId="0" fontId="18" fillId="24" borderId="4" xfId="0" applyFont="1" applyFill="1" applyBorder="1" applyAlignment="1">
      <alignment horizontal="center"/>
    </xf>
    <xf numFmtId="0" fontId="12" fillId="0" borderId="0" xfId="0" applyFont="1" applyAlignment="1">
      <alignment horizontal="center" vertical="center"/>
    </xf>
    <xf numFmtId="0" fontId="12" fillId="0" borderId="232" xfId="0" applyFont="1" applyBorder="1" applyAlignment="1">
      <alignment horizontal="center"/>
    </xf>
    <xf numFmtId="0" fontId="121" fillId="0" borderId="232" xfId="0" applyFont="1" applyBorder="1" applyAlignment="1">
      <alignment horizontal="center"/>
    </xf>
    <xf numFmtId="0" fontId="12" fillId="0" borderId="232" xfId="0" applyFont="1" applyBorder="1"/>
    <xf numFmtId="174" fontId="12" fillId="0" borderId="232" xfId="2" applyNumberFormat="1" applyFont="1" applyBorder="1"/>
    <xf numFmtId="0" fontId="198" fillId="0" borderId="232" xfId="0" applyFont="1" applyBorder="1" applyAlignment="1">
      <alignment horizontal="center"/>
    </xf>
    <xf numFmtId="0" fontId="199" fillId="0" borderId="232" xfId="0" applyFont="1" applyBorder="1" applyAlignment="1">
      <alignment horizontal="center"/>
    </xf>
    <xf numFmtId="0" fontId="198" fillId="0" borderId="232" xfId="0" applyFont="1" applyBorder="1"/>
    <xf numFmtId="174" fontId="198" fillId="0" borderId="232" xfId="2" applyNumberFormat="1" applyFont="1" applyBorder="1"/>
    <xf numFmtId="0" fontId="0" fillId="0" borderId="232" xfId="0" applyBorder="1" applyAlignment="1">
      <alignment horizontal="center"/>
    </xf>
    <xf numFmtId="0" fontId="0" fillId="0" borderId="232" xfId="0" applyBorder="1"/>
    <xf numFmtId="174" fontId="12" fillId="0" borderId="232" xfId="2" applyNumberFormat="1" applyFont="1" applyBorder="1" applyAlignment="1">
      <alignment horizontal="right"/>
    </xf>
    <xf numFmtId="173" fontId="0" fillId="0" borderId="232" xfId="2" applyNumberFormat="1" applyFont="1" applyBorder="1"/>
    <xf numFmtId="174" fontId="0" fillId="0" borderId="232" xfId="2" applyNumberFormat="1" applyFont="1" applyBorder="1"/>
    <xf numFmtId="0" fontId="12" fillId="0" borderId="0" xfId="0" quotePrefix="1" applyFont="1"/>
    <xf numFmtId="0" fontId="29" fillId="4" borderId="94" xfId="1" applyFont="1" applyFill="1" applyBorder="1" applyAlignment="1" applyProtection="1">
      <alignment horizontal="left" vertical="center" indent="1"/>
    </xf>
    <xf numFmtId="174" fontId="198" fillId="0" borderId="0" xfId="2" applyNumberFormat="1" applyFont="1" applyBorder="1" applyAlignment="1">
      <alignment shrinkToFit="1"/>
    </xf>
    <xf numFmtId="174" fontId="198" fillId="0" borderId="232" xfId="2" applyNumberFormat="1" applyFont="1" applyBorder="1" applyAlignment="1">
      <alignment shrinkToFit="1"/>
    </xf>
    <xf numFmtId="174" fontId="12" fillId="0" borderId="0" xfId="2" applyNumberFormat="1" applyFont="1" applyAlignment="1">
      <alignment shrinkToFit="1"/>
    </xf>
    <xf numFmtId="174" fontId="12" fillId="0" borderId="232" xfId="2" applyNumberFormat="1" applyFont="1" applyBorder="1" applyAlignment="1">
      <alignment shrinkToFit="1"/>
    </xf>
    <xf numFmtId="174" fontId="198" fillId="0" borderId="228" xfId="2" applyNumberFormat="1" applyFont="1" applyBorder="1" applyAlignment="1">
      <alignment shrinkToFit="1"/>
    </xf>
    <xf numFmtId="0" fontId="220" fillId="0" borderId="233" xfId="0" applyFont="1" applyBorder="1" applyAlignment="1">
      <alignment wrapText="1"/>
    </xf>
    <xf numFmtId="0" fontId="0" fillId="0" borderId="233" xfId="0" applyBorder="1" applyAlignment="1">
      <alignment wrapText="1"/>
    </xf>
    <xf numFmtId="0" fontId="0" fillId="0" borderId="0" xfId="0" applyAlignment="1">
      <alignment wrapText="1"/>
    </xf>
    <xf numFmtId="0" fontId="61" fillId="0" borderId="0" xfId="0" applyFont="1" applyAlignment="1">
      <alignment horizontal="center" vertical="center"/>
    </xf>
    <xf numFmtId="3" fontId="2" fillId="13" borderId="20" xfId="0" applyNumberFormat="1" applyFont="1" applyFill="1" applyBorder="1" applyAlignment="1">
      <alignment horizontal="center" vertical="center"/>
    </xf>
    <xf numFmtId="3" fontId="2" fillId="13" borderId="18" xfId="0" applyNumberFormat="1" applyFont="1" applyFill="1" applyBorder="1" applyAlignment="1">
      <alignment horizontal="center" vertical="center"/>
    </xf>
    <xf numFmtId="0" fontId="12" fillId="0" borderId="0" xfId="0" quotePrefix="1" applyFont="1" applyAlignment="1">
      <alignment vertical="center"/>
    </xf>
    <xf numFmtId="0" fontId="62" fillId="18" borderId="68" xfId="0" applyFont="1" applyFill="1" applyBorder="1" applyAlignment="1">
      <alignment horizontal="left" vertical="center" indent="1"/>
    </xf>
    <xf numFmtId="0" fontId="61" fillId="18" borderId="22" xfId="0" applyFont="1" applyFill="1" applyBorder="1" applyAlignment="1">
      <alignment horizontal="center" vertical="center"/>
    </xf>
    <xf numFmtId="0" fontId="61" fillId="18" borderId="65" xfId="0" applyFont="1" applyFill="1" applyBorder="1" applyAlignment="1">
      <alignment horizontal="left" vertical="center" indent="1"/>
    </xf>
    <xf numFmtId="0" fontId="0" fillId="0" borderId="2" xfId="0" applyBorder="1"/>
    <xf numFmtId="0" fontId="0" fillId="18" borderId="157" xfId="0" applyFill="1" applyBorder="1"/>
    <xf numFmtId="0" fontId="62" fillId="18" borderId="124" xfId="0" applyFont="1" applyFill="1" applyBorder="1" applyAlignment="1">
      <alignment horizontal="left" vertical="center" indent="1"/>
    </xf>
    <xf numFmtId="0" fontId="32" fillId="18" borderId="0" xfId="0" quotePrefix="1" applyFont="1" applyFill="1" applyAlignment="1">
      <alignment vertical="center"/>
    </xf>
    <xf numFmtId="0" fontId="32" fillId="18" borderId="67" xfId="0" quotePrefix="1" applyFont="1" applyFill="1" applyBorder="1" applyAlignment="1">
      <alignment vertical="center"/>
    </xf>
    <xf numFmtId="166" fontId="222" fillId="24" borderId="8" xfId="0" applyNumberFormat="1" applyFont="1" applyFill="1" applyBorder="1" applyAlignment="1">
      <alignment horizontal="left" vertical="center" indent="1"/>
    </xf>
    <xf numFmtId="166" fontId="222" fillId="24" borderId="4" xfId="0" applyNumberFormat="1" applyFont="1" applyFill="1" applyBorder="1" applyAlignment="1">
      <alignment horizontal="left" vertical="center" indent="1"/>
    </xf>
    <xf numFmtId="166" fontId="222" fillId="24" borderId="46" xfId="0" applyNumberFormat="1" applyFont="1" applyFill="1" applyBorder="1" applyAlignment="1">
      <alignment horizontal="left" vertical="center" indent="1"/>
    </xf>
    <xf numFmtId="166" fontId="223" fillId="24" borderId="82" xfId="0" applyNumberFormat="1" applyFont="1" applyFill="1" applyBorder="1" applyAlignment="1">
      <alignment horizontal="center" vertical="center"/>
    </xf>
    <xf numFmtId="168" fontId="8" fillId="29" borderId="87" xfId="0" applyNumberFormat="1" applyFont="1" applyFill="1" applyBorder="1" applyAlignment="1">
      <alignment horizontal="center" vertical="center" wrapText="1"/>
    </xf>
    <xf numFmtId="168" fontId="8" fillId="29" borderId="88" xfId="0" applyNumberFormat="1" applyFont="1" applyFill="1" applyBorder="1" applyAlignment="1">
      <alignment horizontal="center" vertical="center" wrapText="1"/>
    </xf>
    <xf numFmtId="170" fontId="14" fillId="3" borderId="97" xfId="4" applyNumberFormat="1" applyFont="1" applyFill="1" applyBorder="1" applyAlignment="1" applyProtection="1">
      <alignment horizontal="right" vertical="center" indent="4"/>
      <protection locked="0"/>
    </xf>
    <xf numFmtId="0" fontId="69" fillId="24" borderId="77" xfId="0" applyFont="1" applyFill="1" applyBorder="1" applyAlignment="1">
      <alignment horizontal="left" vertical="center" indent="1"/>
    </xf>
    <xf numFmtId="0" fontId="69" fillId="24" borderId="80" xfId="0" applyFont="1" applyFill="1" applyBorder="1" applyAlignment="1">
      <alignment horizontal="left" vertical="center" indent="1"/>
    </xf>
    <xf numFmtId="0" fontId="69" fillId="24" borderId="54" xfId="0" applyFont="1" applyFill="1" applyBorder="1" applyAlignment="1">
      <alignment horizontal="left" vertical="center" indent="1"/>
    </xf>
    <xf numFmtId="0" fontId="12" fillId="18" borderId="0" xfId="4" applyFill="1"/>
    <xf numFmtId="3" fontId="2" fillId="18" borderId="0" xfId="4" applyNumberFormat="1" applyFont="1" applyFill="1" applyAlignment="1">
      <alignment horizontal="center"/>
    </xf>
    <xf numFmtId="3" fontId="2" fillId="18" borderId="0" xfId="4" applyNumberFormat="1" applyFont="1" applyFill="1"/>
    <xf numFmtId="0" fontId="183" fillId="24" borderId="39" xfId="4" applyFont="1" applyFill="1" applyBorder="1" applyAlignment="1">
      <alignment vertical="center"/>
    </xf>
    <xf numFmtId="0" fontId="183" fillId="24" borderId="41" xfId="4" applyFont="1" applyFill="1" applyBorder="1" applyAlignment="1">
      <alignment vertical="center"/>
    </xf>
    <xf numFmtId="0" fontId="183" fillId="24" borderId="40" xfId="4" applyFont="1" applyFill="1" applyBorder="1" applyAlignment="1">
      <alignment vertical="center"/>
    </xf>
    <xf numFmtId="0" fontId="183" fillId="24" borderId="50" xfId="4" applyFont="1" applyFill="1" applyBorder="1" applyAlignment="1">
      <alignment vertical="center"/>
    </xf>
    <xf numFmtId="0" fontId="225" fillId="29" borderId="99" xfId="4" applyFont="1" applyFill="1" applyBorder="1" applyAlignment="1">
      <alignment horizontal="center" vertical="center"/>
    </xf>
    <xf numFmtId="0" fontId="206" fillId="29" borderId="55" xfId="4" applyFont="1" applyFill="1" applyBorder="1" applyAlignment="1">
      <alignment horizontal="center" vertical="center"/>
    </xf>
    <xf numFmtId="0" fontId="225" fillId="29" borderId="55" xfId="4" applyFont="1" applyFill="1" applyBorder="1" applyAlignment="1">
      <alignment horizontal="center" vertical="center" wrapText="1"/>
    </xf>
    <xf numFmtId="0" fontId="225" fillId="29" borderId="99" xfId="4" applyFont="1" applyFill="1" applyBorder="1" applyAlignment="1">
      <alignment horizontal="center" vertical="center" wrapText="1"/>
    </xf>
    <xf numFmtId="0" fontId="227" fillId="25" borderId="89" xfId="4" applyFont="1" applyFill="1" applyBorder="1" applyAlignment="1">
      <alignment horizontal="left" vertical="center" indent="1"/>
    </xf>
    <xf numFmtId="0" fontId="206" fillId="25" borderId="91" xfId="4" applyFont="1" applyFill="1" applyBorder="1" applyAlignment="1">
      <alignment horizontal="left" vertical="center" indent="2"/>
    </xf>
    <xf numFmtId="170" fontId="225" fillId="25" borderId="89" xfId="4" applyNumberFormat="1" applyFont="1" applyFill="1" applyBorder="1" applyAlignment="1">
      <alignment horizontal="right" vertical="center" indent="4"/>
    </xf>
    <xf numFmtId="0" fontId="227" fillId="24" borderId="98" xfId="4" applyFont="1" applyFill="1" applyBorder="1" applyAlignment="1">
      <alignment horizontal="left" vertical="center" indent="1"/>
    </xf>
    <xf numFmtId="170" fontId="225" fillId="24" borderId="98" xfId="4" applyNumberFormat="1" applyFont="1" applyFill="1" applyBorder="1" applyAlignment="1">
      <alignment horizontal="right" vertical="center" indent="4"/>
    </xf>
    <xf numFmtId="0" fontId="227" fillId="3" borderId="97" xfId="4" applyFont="1" applyFill="1" applyBorder="1" applyAlignment="1">
      <alignment horizontal="left" vertical="center" indent="1"/>
    </xf>
    <xf numFmtId="0" fontId="33" fillId="0" borderId="0" xfId="4" applyFont="1" applyAlignment="1">
      <alignment horizontal="center"/>
    </xf>
    <xf numFmtId="168" fontId="8" fillId="29" borderId="49" xfId="0" applyNumberFormat="1" applyFont="1" applyFill="1" applyBorder="1" applyAlignment="1">
      <alignment horizontal="center" vertical="center" wrapText="1"/>
    </xf>
    <xf numFmtId="3" fontId="121" fillId="0" borderId="0" xfId="0" applyNumberFormat="1" applyFont="1" applyAlignment="1">
      <alignment horizontal="center"/>
    </xf>
    <xf numFmtId="168" fontId="6" fillId="33" borderId="70" xfId="0" applyNumberFormat="1" applyFont="1" applyFill="1" applyBorder="1" applyAlignment="1">
      <alignment horizontal="center" vertical="center" wrapText="1"/>
    </xf>
    <xf numFmtId="168" fontId="8" fillId="33" borderId="71" xfId="0" applyNumberFormat="1" applyFont="1" applyFill="1" applyBorder="1" applyAlignment="1">
      <alignment horizontal="center" vertical="center" wrapText="1"/>
    </xf>
    <xf numFmtId="168" fontId="8" fillId="33" borderId="44" xfId="0" applyNumberFormat="1" applyFont="1" applyFill="1" applyBorder="1" applyAlignment="1">
      <alignment horizontal="center" vertical="center"/>
    </xf>
    <xf numFmtId="168" fontId="8" fillId="33" borderId="70" xfId="0" applyNumberFormat="1" applyFont="1" applyFill="1" applyBorder="1" applyAlignment="1">
      <alignment horizontal="center" vertical="center" wrapText="1"/>
    </xf>
    <xf numFmtId="0" fontId="22" fillId="0" borderId="236" xfId="0" applyFont="1" applyBorder="1" applyAlignment="1">
      <alignment horizontal="center" vertical="center"/>
    </xf>
    <xf numFmtId="0" fontId="0" fillId="0" borderId="0" xfId="0" applyAlignment="1">
      <alignment horizontal="center" vertical="center"/>
    </xf>
    <xf numFmtId="0" fontId="221" fillId="0" borderId="0" xfId="0" applyFont="1" applyAlignment="1">
      <alignment horizontal="center" vertical="center"/>
    </xf>
    <xf numFmtId="0" fontId="121" fillId="0" borderId="0" xfId="0" applyFont="1" applyAlignment="1">
      <alignment horizontal="left" indent="1"/>
    </xf>
    <xf numFmtId="0" fontId="147" fillId="0" borderId="0" xfId="0" applyFont="1" applyAlignment="1">
      <alignment horizontal="center"/>
    </xf>
    <xf numFmtId="0" fontId="230" fillId="0" borderId="0" xfId="0" applyFont="1" applyAlignment="1">
      <alignment horizontal="left" indent="1"/>
    </xf>
    <xf numFmtId="0" fontId="230" fillId="0" borderId="0" xfId="0" applyFont="1" applyAlignment="1">
      <alignment horizontal="center" vertical="center"/>
    </xf>
    <xf numFmtId="0" fontId="147" fillId="0" borderId="0" xfId="0" applyFont="1" applyAlignment="1">
      <alignment horizontal="center" vertical="center"/>
    </xf>
    <xf numFmtId="0" fontId="230" fillId="0" borderId="0" xfId="0" applyFont="1" applyAlignment="1">
      <alignment horizontal="center"/>
    </xf>
    <xf numFmtId="3" fontId="230" fillId="0" borderId="0" xfId="0" applyNumberFormat="1" applyFont="1" applyAlignment="1">
      <alignment horizontal="center"/>
    </xf>
    <xf numFmtId="0" fontId="231" fillId="0" borderId="0" xfId="0" applyFont="1" applyAlignment="1">
      <alignment horizontal="center"/>
    </xf>
    <xf numFmtId="0" fontId="72" fillId="0" borderId="0" xfId="0" applyFont="1" applyAlignment="1">
      <alignment horizontal="center"/>
    </xf>
    <xf numFmtId="0" fontId="232" fillId="0" borderId="0" xfId="0" applyFont="1" applyAlignment="1">
      <alignment horizontal="center"/>
    </xf>
    <xf numFmtId="0" fontId="62" fillId="54" borderId="80" xfId="0" applyFont="1" applyFill="1" applyBorder="1" applyAlignment="1">
      <alignment horizontal="left" vertical="center" indent="1"/>
    </xf>
    <xf numFmtId="166" fontId="222" fillId="54" borderId="4" xfId="0" applyNumberFormat="1" applyFont="1" applyFill="1" applyBorder="1" applyAlignment="1">
      <alignment horizontal="left" vertical="center" indent="2"/>
    </xf>
    <xf numFmtId="0" fontId="62" fillId="18" borderId="72" xfId="0" applyFont="1" applyFill="1" applyBorder="1" applyAlignment="1">
      <alignment horizontal="left" vertical="center" indent="1"/>
    </xf>
    <xf numFmtId="166" fontId="222" fillId="18" borderId="228" xfId="0" applyNumberFormat="1" applyFont="1" applyFill="1" applyBorder="1" applyAlignment="1">
      <alignment horizontal="left" vertical="center" indent="5"/>
    </xf>
    <xf numFmtId="0" fontId="224" fillId="33" borderId="55" xfId="4" applyFont="1" applyFill="1" applyBorder="1" applyAlignment="1">
      <alignment horizontal="center" vertical="center" wrapText="1"/>
    </xf>
    <xf numFmtId="0" fontId="224" fillId="33" borderId="99" xfId="4" applyFont="1" applyFill="1" applyBorder="1" applyAlignment="1">
      <alignment horizontal="center" vertical="center" wrapText="1"/>
    </xf>
    <xf numFmtId="3" fontId="206" fillId="51" borderId="94" xfId="4" applyNumberFormat="1" applyFont="1" applyFill="1" applyBorder="1" applyAlignment="1">
      <alignment horizontal="center" vertical="center"/>
    </xf>
    <xf numFmtId="0" fontId="233" fillId="18" borderId="0" xfId="4" applyFont="1" applyFill="1" applyAlignment="1">
      <alignment horizontal="center" vertical="center"/>
    </xf>
    <xf numFmtId="0" fontId="234" fillId="0" borderId="0" xfId="0" applyFont="1" applyAlignment="1">
      <alignment horizontal="center"/>
    </xf>
    <xf numFmtId="0" fontId="234" fillId="0" borderId="0" xfId="0" applyFont="1" applyAlignment="1">
      <alignment horizontal="left" indent="1"/>
    </xf>
    <xf numFmtId="0" fontId="236" fillId="0" borderId="0" xfId="0" applyFont="1" applyAlignment="1">
      <alignment horizontal="center"/>
    </xf>
    <xf numFmtId="0" fontId="234" fillId="0" borderId="0" xfId="0" applyFont="1" applyAlignment="1">
      <alignment horizontal="center" vertical="center"/>
    </xf>
    <xf numFmtId="0" fontId="234" fillId="0" borderId="0" xfId="0" applyFont="1"/>
    <xf numFmtId="0" fontId="12" fillId="0" borderId="0" xfId="0" quotePrefix="1" applyFont="1" applyAlignment="1">
      <alignment horizontal="center"/>
    </xf>
    <xf numFmtId="0" fontId="147" fillId="0" borderId="0" xfId="0" quotePrefix="1" applyFont="1" applyAlignment="1">
      <alignment horizontal="center"/>
    </xf>
    <xf numFmtId="0" fontId="234" fillId="0" borderId="0" xfId="0" quotePrefix="1" applyFont="1" applyAlignment="1">
      <alignment horizontal="center"/>
    </xf>
    <xf numFmtId="0" fontId="235" fillId="0" borderId="0" xfId="0" applyFont="1" applyAlignment="1">
      <alignment horizontal="center"/>
    </xf>
    <xf numFmtId="0" fontId="7" fillId="0" borderId="236" xfId="0" applyFont="1" applyBorder="1" applyAlignment="1">
      <alignment horizontal="center" vertical="center"/>
    </xf>
    <xf numFmtId="0" fontId="102" fillId="0" borderId="236" xfId="0" applyFont="1" applyBorder="1" applyAlignment="1">
      <alignment horizontal="center" vertical="center"/>
    </xf>
    <xf numFmtId="0" fontId="0" fillId="35" borderId="0" xfId="0" applyFill="1" applyAlignment="1">
      <alignment horizontal="center"/>
    </xf>
    <xf numFmtId="0" fontId="0" fillId="35" borderId="0" xfId="0" applyFill="1" applyAlignment="1">
      <alignment horizontal="left" indent="1"/>
    </xf>
    <xf numFmtId="0" fontId="72" fillId="35" borderId="0" xfId="0" applyFont="1" applyFill="1" applyAlignment="1">
      <alignment horizontal="center"/>
    </xf>
    <xf numFmtId="0" fontId="0" fillId="35" borderId="0" xfId="0" applyFill="1" applyAlignment="1">
      <alignment horizontal="center" vertical="center"/>
    </xf>
    <xf numFmtId="0" fontId="0" fillId="35" borderId="0" xfId="0" applyFill="1"/>
    <xf numFmtId="0" fontId="2" fillId="35" borderId="0" xfId="0" applyFont="1" applyFill="1" applyAlignment="1">
      <alignment vertical="center"/>
    </xf>
    <xf numFmtId="0" fontId="147" fillId="35" borderId="0" xfId="0" applyFont="1" applyFill="1"/>
    <xf numFmtId="0" fontId="234" fillId="35" borderId="0" xfId="0" applyFont="1" applyFill="1"/>
    <xf numFmtId="170" fontId="225" fillId="3" borderId="97" xfId="4" applyNumberFormat="1" applyFont="1" applyFill="1" applyBorder="1" applyAlignment="1">
      <alignment horizontal="right" vertical="center" indent="4"/>
    </xf>
    <xf numFmtId="0" fontId="228" fillId="24" borderId="93" xfId="4" applyFont="1" applyFill="1" applyBorder="1" applyAlignment="1">
      <alignment horizontal="left" vertical="center" indent="3" shrinkToFit="1"/>
    </xf>
    <xf numFmtId="0" fontId="229" fillId="3" borderId="113" xfId="4" applyFont="1" applyFill="1" applyBorder="1" applyAlignment="1">
      <alignment horizontal="left" vertical="center" indent="5" shrinkToFit="1"/>
    </xf>
    <xf numFmtId="168" fontId="238" fillId="24" borderId="77" xfId="0" applyNumberFormat="1" applyFont="1" applyFill="1" applyBorder="1" applyAlignment="1">
      <alignment horizontal="right" vertical="center" shrinkToFit="1"/>
    </xf>
    <xf numFmtId="168" fontId="238" fillId="24" borderId="9" xfId="0" applyNumberFormat="1" applyFont="1" applyFill="1" applyBorder="1" applyAlignment="1">
      <alignment horizontal="right" vertical="center" shrinkToFit="1"/>
    </xf>
    <xf numFmtId="168" fontId="238" fillId="24" borderId="26" xfId="0" applyNumberFormat="1" applyFont="1" applyFill="1" applyBorder="1" applyAlignment="1">
      <alignment horizontal="right" vertical="center" shrinkToFit="1"/>
    </xf>
    <xf numFmtId="168" fontId="238" fillId="54" borderId="80" xfId="0" applyNumberFormat="1" applyFont="1" applyFill="1" applyBorder="1" applyAlignment="1">
      <alignment horizontal="right" vertical="center" shrinkToFit="1"/>
    </xf>
    <xf numFmtId="168" fontId="238" fillId="54" borderId="6" xfId="0" applyNumberFormat="1" applyFont="1" applyFill="1" applyBorder="1" applyAlignment="1">
      <alignment horizontal="right" vertical="center" shrinkToFit="1"/>
    </xf>
    <xf numFmtId="168" fontId="238" fillId="54" borderId="27" xfId="0" applyNumberFormat="1" applyFont="1" applyFill="1" applyBorder="1" applyAlignment="1">
      <alignment horizontal="right" vertical="center" shrinkToFit="1"/>
    </xf>
    <xf numFmtId="168" fontId="233" fillId="18" borderId="68" xfId="0" applyNumberFormat="1" applyFont="1" applyFill="1" applyBorder="1" applyAlignment="1" applyProtection="1">
      <alignment horizontal="right" vertical="center" shrinkToFit="1"/>
      <protection locked="0"/>
    </xf>
    <xf numFmtId="168" fontId="233" fillId="18" borderId="69" xfId="0" applyNumberFormat="1" applyFont="1" applyFill="1" applyBorder="1" applyAlignment="1" applyProtection="1">
      <alignment horizontal="right" vertical="center" shrinkToFit="1"/>
      <protection locked="0"/>
    </xf>
    <xf numFmtId="168" fontId="238" fillId="24" borderId="80" xfId="0" applyNumberFormat="1" applyFont="1" applyFill="1" applyBorder="1" applyAlignment="1">
      <alignment horizontal="right" vertical="center" shrinkToFit="1"/>
    </xf>
    <xf numFmtId="168" fontId="238" fillId="24" borderId="6" xfId="0" applyNumberFormat="1" applyFont="1" applyFill="1" applyBorder="1" applyAlignment="1">
      <alignment horizontal="right" vertical="center" shrinkToFit="1"/>
    </xf>
    <xf numFmtId="168" fontId="238" fillId="24" borderId="27" xfId="0" applyNumberFormat="1" applyFont="1" applyFill="1" applyBorder="1" applyAlignment="1">
      <alignment horizontal="right" vertical="center" shrinkToFit="1"/>
    </xf>
    <xf numFmtId="168" fontId="238" fillId="24" borderId="29" xfId="0" applyNumberFormat="1" applyFont="1" applyFill="1" applyBorder="1" applyAlignment="1">
      <alignment horizontal="right" vertical="center" shrinkToFit="1"/>
    </xf>
    <xf numFmtId="0" fontId="121" fillId="35" borderId="0" xfId="0" applyFont="1" applyFill="1" applyAlignment="1">
      <alignment horizontal="center"/>
    </xf>
    <xf numFmtId="3" fontId="235" fillId="0" borderId="0" xfId="0" applyNumberFormat="1" applyFont="1" applyAlignment="1">
      <alignment horizontal="center"/>
    </xf>
    <xf numFmtId="0" fontId="13" fillId="0" borderId="0" xfId="0" applyFont="1" applyAlignment="1">
      <alignment horizontal="center" vertical="center"/>
    </xf>
    <xf numFmtId="2" fontId="89" fillId="0" borderId="0" xfId="0" applyNumberFormat="1" applyFont="1"/>
    <xf numFmtId="168" fontId="0" fillId="0" borderId="0" xfId="0" applyNumberFormat="1"/>
    <xf numFmtId="0" fontId="17" fillId="0" borderId="0" xfId="0" applyFont="1" applyAlignment="1">
      <alignment vertical="center"/>
    </xf>
    <xf numFmtId="0" fontId="203" fillId="0" borderId="0" xfId="0" applyFont="1" applyAlignment="1">
      <alignment horizontal="center" vertical="center" wrapText="1"/>
    </xf>
    <xf numFmtId="0" fontId="13" fillId="0" borderId="0" xfId="0" applyFont="1" applyAlignment="1">
      <alignment vertical="center"/>
    </xf>
    <xf numFmtId="0" fontId="13" fillId="0" borderId="0" xfId="0" applyFont="1"/>
    <xf numFmtId="0" fontId="13" fillId="34" borderId="39" xfId="0" applyFont="1" applyFill="1" applyBorder="1"/>
    <xf numFmtId="0" fontId="13" fillId="34" borderId="41" xfId="0" applyFont="1" applyFill="1" applyBorder="1"/>
    <xf numFmtId="0" fontId="13" fillId="34" borderId="42" xfId="0" applyFont="1" applyFill="1" applyBorder="1"/>
    <xf numFmtId="0" fontId="13" fillId="34" borderId="24" xfId="0" applyFont="1" applyFill="1" applyBorder="1"/>
    <xf numFmtId="0" fontId="13" fillId="34" borderId="43" xfId="0" applyFont="1" applyFill="1" applyBorder="1"/>
    <xf numFmtId="0" fontId="13" fillId="34" borderId="130" xfId="0" applyFont="1" applyFill="1" applyBorder="1" applyAlignment="1">
      <alignment horizontal="center" vertical="center"/>
    </xf>
    <xf numFmtId="0" fontId="24" fillId="34" borderId="131" xfId="0" applyFont="1" applyFill="1" applyBorder="1" applyAlignment="1">
      <alignment horizontal="centerContinuous" vertical="center"/>
    </xf>
    <xf numFmtId="0" fontId="89" fillId="34" borderId="131" xfId="0" applyFont="1" applyFill="1" applyBorder="1" applyAlignment="1">
      <alignment horizontal="centerContinuous" vertical="center"/>
    </xf>
    <xf numFmtId="0" fontId="89" fillId="34" borderId="132" xfId="0" applyFont="1" applyFill="1" applyBorder="1" applyAlignment="1">
      <alignment horizontal="centerContinuous" vertical="center"/>
    </xf>
    <xf numFmtId="0" fontId="16" fillId="34" borderId="132" xfId="0" applyFont="1" applyFill="1" applyBorder="1" applyAlignment="1">
      <alignment horizontal="center" vertical="center" wrapText="1"/>
    </xf>
    <xf numFmtId="0" fontId="13" fillId="34" borderId="43" xfId="0" applyFont="1" applyFill="1" applyBorder="1" applyAlignment="1">
      <alignment vertical="center"/>
    </xf>
    <xf numFmtId="0" fontId="241" fillId="34" borderId="115" xfId="1" applyFont="1" applyFill="1" applyBorder="1" applyAlignment="1" applyProtection="1">
      <alignment horizontal="center" vertical="center"/>
    </xf>
    <xf numFmtId="0" fontId="13" fillId="34" borderId="133" xfId="0" applyFont="1" applyFill="1" applyBorder="1" applyAlignment="1">
      <alignment horizontal="center" vertical="center"/>
    </xf>
    <xf numFmtId="0" fontId="241" fillId="34" borderId="116" xfId="1" applyFont="1" applyFill="1" applyBorder="1" applyAlignment="1" applyProtection="1">
      <alignment horizontal="center" vertical="center"/>
    </xf>
    <xf numFmtId="0" fontId="241" fillId="34" borderId="117" xfId="1" applyFont="1" applyFill="1" applyBorder="1" applyAlignment="1" applyProtection="1">
      <alignment horizontal="center" vertical="center"/>
    </xf>
    <xf numFmtId="0" fontId="13" fillId="34" borderId="134" xfId="0" applyFont="1" applyFill="1" applyBorder="1" applyAlignment="1">
      <alignment horizontal="center" vertical="center"/>
    </xf>
    <xf numFmtId="0" fontId="13" fillId="34" borderId="135" xfId="0" applyFont="1" applyFill="1" applyBorder="1" applyAlignment="1">
      <alignment horizontal="center" vertical="center"/>
    </xf>
    <xf numFmtId="0" fontId="13" fillId="34" borderId="136" xfId="0" applyFont="1" applyFill="1" applyBorder="1" applyAlignment="1">
      <alignment horizontal="center" vertical="center"/>
    </xf>
    <xf numFmtId="0" fontId="13" fillId="3" borderId="0" xfId="0" applyFont="1" applyFill="1"/>
    <xf numFmtId="0" fontId="13" fillId="10" borderId="0" xfId="0" applyFont="1" applyFill="1"/>
    <xf numFmtId="0" fontId="89" fillId="0" borderId="0" xfId="0" applyFont="1"/>
    <xf numFmtId="0" fontId="19" fillId="0" borderId="100" xfId="0" applyFont="1" applyBorder="1" applyAlignment="1">
      <alignment horizontal="left" indent="1"/>
    </xf>
    <xf numFmtId="0" fontId="12" fillId="0" borderId="100" xfId="0" applyFont="1" applyBorder="1" applyAlignment="1">
      <alignment horizontal="left" vertical="center" wrapText="1" indent="2"/>
    </xf>
    <xf numFmtId="0" fontId="72" fillId="0" borderId="0" xfId="0" applyFont="1"/>
    <xf numFmtId="0" fontId="20" fillId="49" borderId="100" xfId="0" applyFont="1" applyFill="1" applyBorder="1" applyAlignment="1">
      <alignment horizontal="left" vertical="center" indent="1"/>
    </xf>
    <xf numFmtId="0" fontId="245" fillId="49" borderId="100" xfId="1" applyFont="1" applyFill="1" applyBorder="1" applyAlignment="1" applyProtection="1">
      <alignment horizontal="left" vertical="center" wrapText="1" indent="2"/>
    </xf>
    <xf numFmtId="0" fontId="20" fillId="0" borderId="100" xfId="0" applyFont="1" applyBorder="1" applyAlignment="1">
      <alignment horizontal="left" vertical="center" indent="1"/>
    </xf>
    <xf numFmtId="0" fontId="72" fillId="0" borderId="100" xfId="0" applyFont="1" applyBorder="1" applyAlignment="1">
      <alignment horizontal="left" vertical="center" wrapText="1" indent="2"/>
    </xf>
    <xf numFmtId="0" fontId="72" fillId="0" borderId="100" xfId="0" applyFont="1" applyBorder="1" applyAlignment="1">
      <alignment horizontal="center" vertical="center" wrapText="1"/>
    </xf>
    <xf numFmtId="0" fontId="20" fillId="49" borderId="100" xfId="0" applyFont="1" applyFill="1" applyBorder="1" applyAlignment="1">
      <alignment horizontal="left" vertical="center" wrapText="1" indent="1"/>
    </xf>
    <xf numFmtId="3" fontId="245" fillId="49" borderId="100" xfId="1" applyNumberFormat="1" applyFont="1" applyFill="1" applyBorder="1" applyAlignment="1" applyProtection="1">
      <alignment horizontal="left" vertical="center" wrapText="1" indent="2"/>
    </xf>
    <xf numFmtId="0" fontId="20" fillId="49" borderId="100" xfId="0" applyFont="1" applyFill="1" applyBorder="1" applyAlignment="1">
      <alignment horizontal="left" vertical="center" wrapText="1" indent="9"/>
    </xf>
    <xf numFmtId="0" fontId="72" fillId="49" borderId="100" xfId="0" applyFont="1" applyFill="1" applyBorder="1" applyAlignment="1">
      <alignment horizontal="left" vertical="center" wrapText="1" indent="2"/>
    </xf>
    <xf numFmtId="0" fontId="20" fillId="49" borderId="100" xfId="0" applyFont="1" applyFill="1" applyBorder="1" applyAlignment="1">
      <alignment horizontal="left" vertical="center" indent="9"/>
    </xf>
    <xf numFmtId="0" fontId="20" fillId="49" borderId="179" xfId="0" applyFont="1" applyFill="1" applyBorder="1" applyAlignment="1">
      <alignment horizontal="left" vertical="center" indent="1"/>
    </xf>
    <xf numFmtId="0" fontId="246" fillId="49" borderId="179" xfId="1" applyFont="1" applyFill="1" applyBorder="1" applyAlignment="1" applyProtection="1">
      <alignment horizontal="left" vertical="center" wrapText="1" indent="2"/>
    </xf>
    <xf numFmtId="0" fontId="247" fillId="41" borderId="8" xfId="4" applyFont="1" applyFill="1" applyBorder="1" applyAlignment="1">
      <alignment vertical="center" wrapText="1"/>
    </xf>
    <xf numFmtId="3" fontId="247" fillId="41" borderId="8" xfId="4" applyNumberFormat="1" applyFont="1" applyFill="1" applyBorder="1" applyAlignment="1">
      <alignment horizontal="right" vertical="center"/>
    </xf>
    <xf numFmtId="0" fontId="247" fillId="0" borderId="0" xfId="4" applyFont="1" applyAlignment="1">
      <alignment vertical="center"/>
    </xf>
    <xf numFmtId="0" fontId="247" fillId="41" borderId="0" xfId="4" applyFont="1" applyFill="1" applyAlignment="1">
      <alignment vertical="center"/>
    </xf>
    <xf numFmtId="0" fontId="200" fillId="41" borderId="0" xfId="4" applyFont="1" applyFill="1" applyAlignment="1">
      <alignment vertical="top"/>
    </xf>
    <xf numFmtId="3" fontId="247" fillId="41" borderId="0" xfId="4" applyNumberFormat="1" applyFont="1" applyFill="1" applyAlignment="1">
      <alignment horizontal="right" vertical="center"/>
    </xf>
    <xf numFmtId="0" fontId="15" fillId="0" borderId="0" xfId="4" applyFont="1" applyAlignment="1">
      <alignment horizontal="left" indent="1"/>
    </xf>
    <xf numFmtId="3" fontId="15" fillId="0" borderId="0" xfId="4" applyNumberFormat="1" applyFont="1" applyAlignment="1">
      <alignment horizontal="right" vertical="center"/>
    </xf>
    <xf numFmtId="3" fontId="12" fillId="0" borderId="0" xfId="4" applyNumberFormat="1" applyAlignment="1">
      <alignment horizontal="right" vertical="center"/>
    </xf>
    <xf numFmtId="0" fontId="12" fillId="0" borderId="0" xfId="4" applyAlignment="1">
      <alignment vertical="center"/>
    </xf>
    <xf numFmtId="0" fontId="12" fillId="41" borderId="0" xfId="4" applyFill="1" applyAlignment="1">
      <alignment vertical="center"/>
    </xf>
    <xf numFmtId="0" fontId="12" fillId="0" borderId="0" xfId="4" applyAlignment="1">
      <alignment horizontal="left" indent="2"/>
    </xf>
    <xf numFmtId="0" fontId="202" fillId="41" borderId="8" xfId="4" applyFont="1" applyFill="1" applyBorder="1" applyAlignment="1">
      <alignment horizontal="center" vertical="center"/>
    </xf>
    <xf numFmtId="0" fontId="248" fillId="0" borderId="0" xfId="4" applyFont="1"/>
    <xf numFmtId="3" fontId="248" fillId="0" borderId="0" xfId="4" applyNumberFormat="1" applyFont="1" applyAlignment="1">
      <alignment horizontal="right" vertical="center"/>
    </xf>
    <xf numFmtId="0" fontId="249" fillId="0" borderId="8" xfId="4" applyFont="1" applyBorder="1" applyAlignment="1">
      <alignment horizontal="center"/>
    </xf>
    <xf numFmtId="14" fontId="213" fillId="0" borderId="202" xfId="0" applyNumberFormat="1" applyFont="1" applyBorder="1" applyAlignment="1">
      <alignment horizontal="center" vertical="center"/>
    </xf>
    <xf numFmtId="0" fontId="120" fillId="0" borderId="202" xfId="0" applyFont="1" applyBorder="1" applyAlignment="1">
      <alignment horizontal="left" vertical="center" indent="1"/>
    </xf>
    <xf numFmtId="0" fontId="213" fillId="0" borderId="28" xfId="0" applyFont="1" applyBorder="1" applyAlignment="1">
      <alignment horizontal="left" vertical="center" wrapText="1" indent="1"/>
    </xf>
    <xf numFmtId="0" fontId="213" fillId="0" borderId="43" xfId="0" applyFont="1" applyBorder="1" applyAlignment="1">
      <alignment horizontal="left" wrapText="1" indent="1"/>
    </xf>
    <xf numFmtId="0" fontId="1" fillId="0" borderId="233" xfId="48" applyBorder="1" applyAlignment="1">
      <alignment wrapText="1"/>
    </xf>
    <xf numFmtId="166" fontId="267" fillId="18" borderId="50" xfId="0" applyNumberFormat="1" applyFont="1" applyFill="1" applyBorder="1" applyAlignment="1">
      <alignment horizontal="left" vertical="center" indent="1"/>
    </xf>
    <xf numFmtId="0" fontId="268" fillId="3" borderId="0" xfId="1" applyFont="1" applyFill="1" applyAlignment="1" applyProtection="1">
      <alignment horizontal="centerContinuous" wrapText="1"/>
    </xf>
    <xf numFmtId="166" fontId="266" fillId="18" borderId="234" xfId="0" applyNumberFormat="1" applyFont="1" applyFill="1" applyBorder="1" applyAlignment="1">
      <alignment horizontal="left" vertical="center" indent="1"/>
    </xf>
    <xf numFmtId="166" fontId="154" fillId="18" borderId="228" xfId="0" applyNumberFormat="1" applyFont="1" applyFill="1" applyBorder="1" applyAlignment="1">
      <alignment horizontal="left" vertical="center" indent="2"/>
    </xf>
    <xf numFmtId="3" fontId="4" fillId="18" borderId="228" xfId="0" applyNumberFormat="1" applyFont="1" applyFill="1" applyBorder="1" applyAlignment="1">
      <alignment horizontal="left" vertical="center" wrapText="1" indent="3"/>
    </xf>
    <xf numFmtId="168" fontId="98" fillId="18" borderId="228" xfId="0" applyNumberFormat="1" applyFont="1" applyFill="1" applyBorder="1" applyAlignment="1" applyProtection="1">
      <alignment horizontal="right" vertical="center" shrinkToFit="1"/>
      <protection locked="0"/>
    </xf>
    <xf numFmtId="168" fontId="98" fillId="18" borderId="228" xfId="0" applyNumberFormat="1" applyFont="1" applyFill="1" applyBorder="1" applyAlignment="1" applyProtection="1">
      <alignment vertical="center" shrinkToFit="1"/>
      <protection locked="0"/>
    </xf>
    <xf numFmtId="168" fontId="143" fillId="29" borderId="228" xfId="0" applyNumberFormat="1" applyFont="1" applyFill="1" applyBorder="1" applyAlignment="1">
      <alignment horizontal="right" vertical="center" shrinkToFit="1"/>
    </xf>
    <xf numFmtId="168" fontId="98" fillId="0" borderId="228" xfId="0" applyNumberFormat="1" applyFont="1" applyBorder="1" applyAlignment="1" applyProtection="1">
      <alignment horizontal="right" vertical="center" shrinkToFit="1"/>
      <protection locked="0"/>
    </xf>
    <xf numFmtId="3" fontId="7" fillId="0" borderId="228" xfId="0" applyNumberFormat="1" applyFont="1" applyBorder="1" applyAlignment="1">
      <alignment horizontal="left" vertical="center" wrapText="1" indent="3"/>
    </xf>
    <xf numFmtId="168" fontId="145" fillId="29" borderId="228" xfId="0" applyNumberFormat="1" applyFont="1" applyFill="1" applyBorder="1" applyAlignment="1">
      <alignment vertical="center" shrinkToFit="1"/>
    </xf>
    <xf numFmtId="0" fontId="74" fillId="18" borderId="236" xfId="0" applyFont="1" applyFill="1" applyBorder="1" applyAlignment="1">
      <alignment vertical="center"/>
    </xf>
    <xf numFmtId="0" fontId="3" fillId="21" borderId="236" xfId="0" applyFont="1" applyFill="1" applyBorder="1" applyAlignment="1">
      <alignment horizontal="centerContinuous"/>
    </xf>
    <xf numFmtId="0" fontId="69" fillId="20" borderId="254" xfId="0" applyFont="1" applyFill="1" applyBorder="1" applyAlignment="1">
      <alignment horizontal="center" vertical="center"/>
    </xf>
    <xf numFmtId="0" fontId="61" fillId="18" borderId="254" xfId="0" applyFont="1" applyFill="1" applyBorder="1" applyAlignment="1">
      <alignment horizontal="center" vertical="center"/>
    </xf>
    <xf numFmtId="166" fontId="222" fillId="18" borderId="258" xfId="0" applyNumberFormat="1" applyFont="1" applyFill="1" applyBorder="1" applyAlignment="1">
      <alignment horizontal="left" vertical="center" indent="5"/>
    </xf>
    <xf numFmtId="168" fontId="233" fillId="18" borderId="256" xfId="0" applyNumberFormat="1" applyFont="1" applyFill="1" applyBorder="1" applyAlignment="1" applyProtection="1">
      <alignment horizontal="right" vertical="center" shrinkToFit="1"/>
      <protection locked="0"/>
    </xf>
    <xf numFmtId="168" fontId="233" fillId="18" borderId="257" xfId="0" applyNumberFormat="1" applyFont="1" applyFill="1" applyBorder="1" applyAlignment="1" applyProtection="1">
      <alignment horizontal="right" vertical="center" shrinkToFit="1"/>
      <protection locked="0"/>
    </xf>
    <xf numFmtId="166" fontId="222" fillId="18" borderId="258" xfId="0" applyNumberFormat="1" applyFont="1" applyFill="1" applyBorder="1" applyAlignment="1">
      <alignment horizontal="left" vertical="center" indent="9"/>
    </xf>
    <xf numFmtId="166" fontId="16" fillId="18" borderId="263" xfId="0" applyNumberFormat="1" applyFont="1" applyFill="1" applyBorder="1" applyAlignment="1">
      <alignment horizontal="left" vertical="center" indent="5"/>
    </xf>
    <xf numFmtId="168" fontId="233" fillId="18" borderId="261" xfId="0" applyNumberFormat="1" applyFont="1" applyFill="1" applyBorder="1" applyAlignment="1" applyProtection="1">
      <alignment horizontal="right" vertical="center" shrinkToFit="1"/>
      <protection locked="0"/>
    </xf>
    <xf numFmtId="168" fontId="233" fillId="18" borderId="262" xfId="0" applyNumberFormat="1" applyFont="1" applyFill="1" applyBorder="1" applyAlignment="1" applyProtection="1">
      <alignment horizontal="right" vertical="center" shrinkToFit="1"/>
      <protection locked="0"/>
    </xf>
    <xf numFmtId="0" fontId="62" fillId="18" borderId="256" xfId="0" applyFont="1" applyFill="1" applyBorder="1" applyAlignment="1">
      <alignment horizontal="left" vertical="center" indent="1"/>
    </xf>
    <xf numFmtId="166" fontId="16" fillId="18" borderId="258" xfId="0" applyNumberFormat="1" applyFont="1" applyFill="1" applyBorder="1" applyAlignment="1">
      <alignment horizontal="left" vertical="center" indent="5"/>
    </xf>
    <xf numFmtId="0" fontId="62" fillId="18" borderId="268" xfId="0" applyFont="1" applyFill="1" applyBorder="1" applyAlignment="1">
      <alignment horizontal="left" vertical="center" indent="1"/>
    </xf>
    <xf numFmtId="166" fontId="266" fillId="18" borderId="275" xfId="0" applyNumberFormat="1" applyFont="1" applyFill="1" applyBorder="1" applyAlignment="1">
      <alignment horizontal="left" vertical="center" indent="3"/>
    </xf>
    <xf numFmtId="0" fontId="96" fillId="18" borderId="256" xfId="0" applyFont="1" applyFill="1" applyBorder="1" applyAlignment="1">
      <alignment horizontal="left" vertical="center" indent="1"/>
    </xf>
    <xf numFmtId="166" fontId="154" fillId="18" borderId="258" xfId="0" applyNumberFormat="1" applyFont="1" applyFill="1" applyBorder="1" applyAlignment="1">
      <alignment horizontal="left" vertical="center" indent="4"/>
    </xf>
    <xf numFmtId="168" fontId="13" fillId="18" borderId="256" xfId="0" applyNumberFormat="1" applyFont="1" applyFill="1" applyBorder="1" applyAlignment="1" applyProtection="1">
      <alignment horizontal="right" vertical="center" shrinkToFit="1"/>
      <protection locked="0"/>
    </xf>
    <xf numFmtId="168" fontId="13" fillId="18" borderId="260" xfId="0" applyNumberFormat="1" applyFont="1" applyFill="1" applyBorder="1" applyAlignment="1" applyProtection="1">
      <alignment horizontal="right" vertical="center" shrinkToFit="1"/>
      <protection locked="0"/>
    </xf>
    <xf numFmtId="0" fontId="96" fillId="18" borderId="261" xfId="0" applyFont="1" applyFill="1" applyBorder="1" applyAlignment="1">
      <alignment horizontal="left" vertical="center" indent="1"/>
    </xf>
    <xf numFmtId="166" fontId="154" fillId="18" borderId="263" xfId="0" applyNumberFormat="1" applyFont="1" applyFill="1" applyBorder="1" applyAlignment="1">
      <alignment horizontal="left" vertical="center" indent="2"/>
    </xf>
    <xf numFmtId="168" fontId="13" fillId="18" borderId="261" xfId="0" applyNumberFormat="1" applyFont="1" applyFill="1" applyBorder="1" applyAlignment="1" applyProtection="1">
      <alignment horizontal="right" vertical="center" shrinkToFit="1"/>
      <protection locked="0"/>
    </xf>
    <xf numFmtId="168" fontId="13" fillId="18" borderId="274" xfId="0" applyNumberFormat="1" applyFont="1" applyFill="1" applyBorder="1" applyAlignment="1" applyProtection="1">
      <alignment horizontal="right" vertical="center" shrinkToFit="1"/>
      <protection locked="0"/>
    </xf>
    <xf numFmtId="166" fontId="154" fillId="18" borderId="258" xfId="0" applyNumberFormat="1" applyFont="1" applyFill="1" applyBorder="1" applyAlignment="1">
      <alignment horizontal="left" vertical="center" indent="2"/>
    </xf>
    <xf numFmtId="0" fontId="62" fillId="20" borderId="255" xfId="0" applyFont="1" applyFill="1" applyBorder="1" applyAlignment="1">
      <alignment horizontal="left" vertical="center" indent="1"/>
    </xf>
    <xf numFmtId="49" fontId="62" fillId="0" borderId="285" xfId="0" applyNumberFormat="1" applyFont="1" applyBorder="1" applyAlignment="1">
      <alignment horizontal="left" vertical="center" indent="1" shrinkToFit="1"/>
    </xf>
    <xf numFmtId="49" fontId="62" fillId="0" borderId="286" xfId="0" applyNumberFormat="1" applyFont="1" applyBorder="1" applyAlignment="1">
      <alignment horizontal="center" vertical="center"/>
    </xf>
    <xf numFmtId="49" fontId="62" fillId="0" borderId="287" xfId="0" applyNumberFormat="1" applyFont="1" applyBorder="1" applyAlignment="1">
      <alignment horizontal="left" vertical="center" indent="1" shrinkToFit="1"/>
    </xf>
    <xf numFmtId="0" fontId="61" fillId="18" borderId="288" xfId="0" quotePrefix="1" applyFont="1" applyFill="1" applyBorder="1" applyAlignment="1">
      <alignment horizontal="left" vertical="center" indent="1"/>
    </xf>
    <xf numFmtId="168" fontId="98" fillId="18" borderId="289" xfId="0" applyNumberFormat="1" applyFont="1" applyFill="1" applyBorder="1" applyAlignment="1" applyProtection="1">
      <alignment horizontal="right" vertical="center" shrinkToFit="1"/>
      <protection locked="0"/>
    </xf>
    <xf numFmtId="168" fontId="98" fillId="18" borderId="290" xfId="0" applyNumberFormat="1" applyFont="1" applyFill="1" applyBorder="1" applyAlignment="1" applyProtection="1">
      <alignment horizontal="right" vertical="center" shrinkToFit="1"/>
      <protection locked="0"/>
    </xf>
    <xf numFmtId="168" fontId="31" fillId="18" borderId="291" xfId="0" applyNumberFormat="1" applyFont="1" applyFill="1" applyBorder="1" applyAlignment="1">
      <alignment horizontal="right" vertical="center" shrinkToFit="1"/>
    </xf>
    <xf numFmtId="168" fontId="98" fillId="18" borderId="261" xfId="0" applyNumberFormat="1" applyFont="1" applyFill="1" applyBorder="1" applyAlignment="1" applyProtection="1">
      <alignment horizontal="right" vertical="center" shrinkToFit="1"/>
      <protection locked="0"/>
    </xf>
    <xf numFmtId="168" fontId="98" fillId="18" borderId="262" xfId="0" applyNumberFormat="1" applyFont="1" applyFill="1" applyBorder="1" applyAlignment="1" applyProtection="1">
      <alignment horizontal="right" vertical="center" shrinkToFit="1"/>
      <protection locked="0"/>
    </xf>
    <xf numFmtId="168" fontId="98" fillId="18" borderId="263" xfId="0" applyNumberFormat="1" applyFont="1" applyFill="1" applyBorder="1" applyAlignment="1" applyProtection="1">
      <alignment horizontal="right" vertical="center" shrinkToFit="1"/>
      <protection locked="0"/>
    </xf>
    <xf numFmtId="168" fontId="8" fillId="18" borderId="265" xfId="0" applyNumberFormat="1" applyFont="1" applyFill="1" applyBorder="1" applyAlignment="1">
      <alignment horizontal="right" vertical="center" shrinkToFit="1"/>
    </xf>
    <xf numFmtId="168" fontId="98" fillId="18" borderId="274" xfId="0" applyNumberFormat="1" applyFont="1" applyFill="1" applyBorder="1" applyAlignment="1" applyProtection="1">
      <alignment horizontal="right" vertical="center" shrinkToFit="1"/>
      <protection locked="0"/>
    </xf>
    <xf numFmtId="168" fontId="31" fillId="18" borderId="265" xfId="0" applyNumberFormat="1" applyFont="1" applyFill="1" applyBorder="1" applyAlignment="1">
      <alignment horizontal="right" vertical="center" shrinkToFit="1"/>
    </xf>
    <xf numFmtId="49" fontId="69" fillId="0" borderId="254" xfId="0" applyNumberFormat="1" applyFont="1" applyBorder="1" applyAlignment="1">
      <alignment horizontal="center" vertical="center"/>
    </xf>
    <xf numFmtId="49" fontId="62" fillId="0" borderId="255" xfId="0" applyNumberFormat="1" applyFont="1" applyBorder="1" applyAlignment="1">
      <alignment horizontal="left" vertical="center" indent="1" shrinkToFit="1"/>
    </xf>
    <xf numFmtId="0" fontId="66" fillId="18" borderId="294" xfId="0" quotePrefix="1" applyFont="1" applyFill="1" applyBorder="1" applyAlignment="1">
      <alignment horizontal="left" vertical="center" indent="1"/>
    </xf>
    <xf numFmtId="49" fontId="62" fillId="0" borderId="296" xfId="0" applyNumberFormat="1" applyFont="1" applyBorder="1" applyAlignment="1">
      <alignment horizontal="left" vertical="center" indent="1" shrinkToFit="1"/>
    </xf>
    <xf numFmtId="3" fontId="33" fillId="3" borderId="295" xfId="0" applyNumberFormat="1" applyFont="1" applyFill="1" applyBorder="1" applyAlignment="1">
      <alignment horizontal="center" vertical="center"/>
    </xf>
    <xf numFmtId="49" fontId="69" fillId="0" borderId="285" xfId="0" applyNumberFormat="1" applyFont="1" applyBorder="1" applyAlignment="1">
      <alignment horizontal="left" vertical="center" indent="1"/>
    </xf>
    <xf numFmtId="0" fontId="66" fillId="0" borderId="294" xfId="0" applyFont="1" applyBorder="1" applyAlignment="1">
      <alignment horizontal="left" vertical="center" indent="1"/>
    </xf>
    <xf numFmtId="3" fontId="7" fillId="0" borderId="263" xfId="0" applyNumberFormat="1" applyFont="1" applyBorder="1" applyAlignment="1">
      <alignment horizontal="left" vertical="center" wrapText="1" indent="3"/>
    </xf>
    <xf numFmtId="168" fontId="144" fillId="18" borderId="261" xfId="0" applyNumberFormat="1" applyFont="1" applyFill="1" applyBorder="1" applyAlignment="1" applyProtection="1">
      <alignment horizontal="right" vertical="center" shrinkToFit="1"/>
      <protection locked="0"/>
    </xf>
    <xf numFmtId="168" fontId="98" fillId="0" borderId="262" xfId="0" applyNumberFormat="1" applyFont="1" applyBorder="1" applyAlignment="1" applyProtection="1">
      <alignment horizontal="right" vertical="center" shrinkToFit="1"/>
      <protection locked="0"/>
    </xf>
    <xf numFmtId="168" fontId="98" fillId="0" borderId="263" xfId="0" applyNumberFormat="1" applyFont="1" applyBorder="1" applyAlignment="1" applyProtection="1">
      <alignment horizontal="right" vertical="center" shrinkToFit="1"/>
      <protection locked="0"/>
    </xf>
    <xf numFmtId="168" fontId="144" fillId="18" borderId="265" xfId="0" applyNumberFormat="1" applyFont="1" applyFill="1" applyBorder="1" applyAlignment="1">
      <alignment horizontal="right" vertical="center" shrinkToFit="1"/>
    </xf>
    <xf numFmtId="168" fontId="98" fillId="0" borderId="297" xfId="0" applyNumberFormat="1" applyFont="1" applyBorder="1" applyAlignment="1" applyProtection="1">
      <alignment horizontal="right" vertical="center" shrinkToFit="1"/>
      <protection locked="0"/>
    </xf>
    <xf numFmtId="49" fontId="165" fillId="0" borderId="255" xfId="0" applyNumberFormat="1" applyFont="1" applyBorder="1" applyAlignment="1">
      <alignment horizontal="left" vertical="center" indent="1"/>
    </xf>
    <xf numFmtId="3" fontId="33" fillId="3" borderId="254" xfId="0" applyNumberFormat="1" applyFont="1" applyFill="1" applyBorder="1" applyAlignment="1">
      <alignment horizontal="center" vertical="center"/>
    </xf>
    <xf numFmtId="168" fontId="98" fillId="0" borderId="279" xfId="0" applyNumberFormat="1" applyFont="1" applyBorder="1" applyAlignment="1" applyProtection="1">
      <alignment horizontal="right" vertical="center" shrinkToFit="1"/>
      <protection locked="0"/>
    </xf>
    <xf numFmtId="3" fontId="7" fillId="0" borderId="274" xfId="0" applyNumberFormat="1" applyFont="1" applyBorder="1" applyAlignment="1">
      <alignment horizontal="left" vertical="center" wrapText="1" indent="3"/>
    </xf>
    <xf numFmtId="168" fontId="98" fillId="0" borderId="278" xfId="0" applyNumberFormat="1" applyFont="1" applyBorder="1" applyAlignment="1" applyProtection="1">
      <alignment horizontal="right" vertical="center" shrinkToFit="1"/>
      <protection locked="0"/>
    </xf>
    <xf numFmtId="168" fontId="144" fillId="18" borderId="256" xfId="0" applyNumberFormat="1" applyFont="1" applyFill="1" applyBorder="1" applyAlignment="1" applyProtection="1">
      <alignment horizontal="right" vertical="center" shrinkToFit="1"/>
      <protection locked="0"/>
    </xf>
    <xf numFmtId="168" fontId="98" fillId="0" borderId="257" xfId="0" applyNumberFormat="1" applyFont="1" applyBorder="1" applyAlignment="1" applyProtection="1">
      <alignment horizontal="right" vertical="center" shrinkToFit="1"/>
      <protection locked="0"/>
    </xf>
    <xf numFmtId="168" fontId="98" fillId="0" borderId="258" xfId="0" applyNumberFormat="1" applyFont="1" applyBorder="1" applyAlignment="1" applyProtection="1">
      <alignment horizontal="right" vertical="center" shrinkToFit="1"/>
      <protection locked="0"/>
    </xf>
    <xf numFmtId="168" fontId="144" fillId="18" borderId="273" xfId="0" applyNumberFormat="1" applyFont="1" applyFill="1" applyBorder="1" applyAlignment="1">
      <alignment horizontal="right" vertical="center" shrinkToFit="1"/>
    </xf>
    <xf numFmtId="168" fontId="98" fillId="0" borderId="277" xfId="0" applyNumberFormat="1" applyFont="1" applyBorder="1" applyAlignment="1" applyProtection="1">
      <alignment horizontal="right" vertical="center" shrinkToFit="1"/>
      <protection locked="0"/>
    </xf>
    <xf numFmtId="0" fontId="66" fillId="29" borderId="293" xfId="0" applyFont="1" applyFill="1" applyBorder="1" applyAlignment="1">
      <alignment horizontal="left" vertical="center" indent="1"/>
    </xf>
    <xf numFmtId="0" fontId="7" fillId="29" borderId="260" xfId="0" applyFont="1" applyFill="1" applyBorder="1" applyAlignment="1">
      <alignment horizontal="left" vertical="center" indent="1"/>
    </xf>
    <xf numFmtId="3" fontId="69" fillId="3" borderId="255" xfId="0" applyNumberFormat="1" applyFont="1" applyFill="1" applyBorder="1" applyAlignment="1">
      <alignment horizontal="left" vertical="center" indent="1"/>
    </xf>
    <xf numFmtId="0" fontId="66" fillId="0" borderId="293" xfId="0" applyFont="1" applyBorder="1" applyAlignment="1">
      <alignment horizontal="left" vertical="center" indent="1"/>
    </xf>
    <xf numFmtId="3" fontId="69" fillId="3" borderId="285" xfId="0" applyNumberFormat="1" applyFont="1" applyFill="1" applyBorder="1" applyAlignment="1">
      <alignment horizontal="left" vertical="center" indent="1"/>
    </xf>
    <xf numFmtId="3" fontId="4" fillId="18" borderId="298" xfId="0" applyNumberFormat="1" applyFont="1" applyFill="1" applyBorder="1" applyAlignment="1">
      <alignment horizontal="left" vertical="center" wrapText="1" indent="3"/>
    </xf>
    <xf numFmtId="168" fontId="144" fillId="18" borderId="289" xfId="0" applyNumberFormat="1" applyFont="1" applyFill="1" applyBorder="1" applyAlignment="1" applyProtection="1">
      <alignment horizontal="right" vertical="center" shrinkToFit="1"/>
      <protection locked="0"/>
    </xf>
    <xf numFmtId="168" fontId="98" fillId="0" borderId="290" xfId="0" applyNumberFormat="1" applyFont="1" applyBorder="1" applyAlignment="1" applyProtection="1">
      <alignment horizontal="right" vertical="center" shrinkToFit="1"/>
      <protection locked="0"/>
    </xf>
    <xf numFmtId="168" fontId="98" fillId="0" borderId="298" xfId="0" applyNumberFormat="1" applyFont="1" applyBorder="1" applyAlignment="1" applyProtection="1">
      <alignment horizontal="right" vertical="center" shrinkToFit="1"/>
      <protection locked="0"/>
    </xf>
    <xf numFmtId="168" fontId="144" fillId="18" borderId="291" xfId="0" applyNumberFormat="1" applyFont="1" applyFill="1" applyBorder="1" applyAlignment="1">
      <alignment horizontal="right" vertical="center" shrinkToFit="1"/>
    </xf>
    <xf numFmtId="0" fontId="66" fillId="18" borderId="299" xfId="0" quotePrefix="1" applyFont="1" applyFill="1" applyBorder="1" applyAlignment="1">
      <alignment horizontal="left" vertical="center" indent="1"/>
    </xf>
    <xf numFmtId="3" fontId="4" fillId="18" borderId="270" xfId="0" applyNumberFormat="1" applyFont="1" applyFill="1" applyBorder="1" applyAlignment="1">
      <alignment horizontal="left" vertical="center" wrapText="1" indent="3"/>
    </xf>
    <xf numFmtId="168" fontId="144" fillId="18" borderId="268" xfId="0" applyNumberFormat="1" applyFont="1" applyFill="1" applyBorder="1" applyAlignment="1" applyProtection="1">
      <alignment horizontal="right" vertical="center" shrinkToFit="1"/>
      <protection locked="0"/>
    </xf>
    <xf numFmtId="168" fontId="98" fillId="0" borderId="269" xfId="0" applyNumberFormat="1" applyFont="1" applyBorder="1" applyAlignment="1" applyProtection="1">
      <alignment horizontal="right" vertical="center" shrinkToFit="1"/>
      <protection locked="0"/>
    </xf>
    <xf numFmtId="168" fontId="98" fillId="0" borderId="270" xfId="0" applyNumberFormat="1" applyFont="1" applyBorder="1" applyAlignment="1" applyProtection="1">
      <alignment horizontal="right" vertical="center" shrinkToFit="1"/>
      <protection locked="0"/>
    </xf>
    <xf numFmtId="168" fontId="144" fillId="18" borderId="300" xfId="0" applyNumberFormat="1" applyFont="1" applyFill="1" applyBorder="1" applyAlignment="1">
      <alignment horizontal="right" vertical="center" shrinkToFit="1"/>
    </xf>
    <xf numFmtId="49" fontId="61" fillId="0" borderId="294" xfId="0" applyNumberFormat="1" applyFont="1" applyBorder="1" applyAlignment="1">
      <alignment horizontal="left" vertical="center" indent="1"/>
    </xf>
    <xf numFmtId="168" fontId="98" fillId="18" borderId="264" xfId="0" applyNumberFormat="1" applyFont="1" applyFill="1" applyBorder="1" applyAlignment="1" applyProtection="1">
      <alignment vertical="center" shrinkToFit="1"/>
      <protection locked="0"/>
    </xf>
    <xf numFmtId="168" fontId="98" fillId="18" borderId="278" xfId="0" applyNumberFormat="1" applyFont="1" applyFill="1" applyBorder="1" applyAlignment="1" applyProtection="1">
      <alignment vertical="center" shrinkToFit="1"/>
      <protection locked="0"/>
    </xf>
    <xf numFmtId="168" fontId="98" fillId="18" borderId="301" xfId="0" applyNumberFormat="1" applyFont="1" applyFill="1" applyBorder="1" applyAlignment="1" applyProtection="1">
      <alignment horizontal="right" vertical="center" shrinkToFit="1"/>
      <protection locked="0"/>
    </xf>
    <xf numFmtId="0" fontId="61" fillId="0" borderId="294" xfId="0" applyFont="1" applyBorder="1" applyAlignment="1">
      <alignment horizontal="left" vertical="center" indent="1"/>
    </xf>
    <xf numFmtId="0" fontId="61" fillId="29" borderId="293" xfId="0" applyFont="1" applyFill="1" applyBorder="1" applyAlignment="1">
      <alignment horizontal="left" vertical="center" indent="1"/>
    </xf>
    <xf numFmtId="0" fontId="7" fillId="29" borderId="302" xfId="0" applyFont="1" applyFill="1" applyBorder="1" applyAlignment="1">
      <alignment horizontal="left" vertical="center" indent="1"/>
    </xf>
    <xf numFmtId="0" fontId="61" fillId="0" borderId="293" xfId="0" applyFont="1" applyBorder="1" applyAlignment="1">
      <alignment horizontal="left" vertical="center" indent="1"/>
    </xf>
    <xf numFmtId="49" fontId="61" fillId="0" borderId="285" xfId="0" applyNumberFormat="1" applyFont="1" applyBorder="1" applyAlignment="1">
      <alignment horizontal="left" vertical="center" indent="1"/>
    </xf>
    <xf numFmtId="168" fontId="98" fillId="0" borderId="257" xfId="0" applyNumberFormat="1" applyFont="1" applyBorder="1" applyAlignment="1">
      <alignment horizontal="right" vertical="center" shrinkToFit="1"/>
    </xf>
    <xf numFmtId="168" fontId="31" fillId="18" borderId="278" xfId="0" applyNumberFormat="1" applyFont="1" applyFill="1" applyBorder="1" applyAlignment="1">
      <alignment vertical="center" shrinkToFit="1"/>
    </xf>
    <xf numFmtId="168" fontId="31" fillId="0" borderId="265" xfId="0" applyNumberFormat="1" applyFont="1" applyBorder="1" applyAlignment="1">
      <alignment vertical="center" shrinkToFit="1"/>
    </xf>
    <xf numFmtId="49" fontId="61" fillId="0" borderId="255" xfId="0" applyNumberFormat="1" applyFont="1" applyBorder="1" applyAlignment="1">
      <alignment horizontal="left" vertical="center" indent="1"/>
    </xf>
    <xf numFmtId="49" fontId="61" fillId="0" borderId="267" xfId="0" applyNumberFormat="1" applyFont="1" applyBorder="1" applyAlignment="1">
      <alignment horizontal="left" vertical="center" indent="1"/>
    </xf>
    <xf numFmtId="168" fontId="31" fillId="18" borderId="278" xfId="0" applyNumberFormat="1" applyFont="1" applyFill="1" applyBorder="1" applyAlignment="1">
      <alignment horizontal="right" vertical="center" shrinkToFit="1"/>
    </xf>
    <xf numFmtId="3" fontId="61" fillId="29" borderId="255" xfId="0" applyNumberFormat="1" applyFont="1" applyFill="1" applyBorder="1" applyAlignment="1">
      <alignment horizontal="left" vertical="center" indent="1"/>
    </xf>
    <xf numFmtId="168" fontId="31" fillId="29" borderId="277" xfId="0" applyNumberFormat="1" applyFont="1" applyFill="1" applyBorder="1" applyAlignment="1">
      <alignment horizontal="right" vertical="center" shrinkToFit="1"/>
    </xf>
    <xf numFmtId="168" fontId="145" fillId="29" borderId="257" xfId="0" applyNumberFormat="1" applyFont="1" applyFill="1" applyBorder="1" applyAlignment="1">
      <alignment vertical="center" shrinkToFit="1"/>
    </xf>
    <xf numFmtId="168" fontId="145" fillId="29" borderId="258" xfId="0" applyNumberFormat="1" applyFont="1" applyFill="1" applyBorder="1" applyAlignment="1">
      <alignment vertical="center" shrinkToFit="1"/>
    </xf>
    <xf numFmtId="168" fontId="145" fillId="29" borderId="259" xfId="0" applyNumberFormat="1" applyFont="1" applyFill="1" applyBorder="1" applyAlignment="1">
      <alignment vertical="center" shrinkToFit="1"/>
    </xf>
    <xf numFmtId="168" fontId="31" fillId="29" borderId="273" xfId="0" applyNumberFormat="1" applyFont="1" applyFill="1" applyBorder="1" applyAlignment="1">
      <alignment vertical="center" shrinkToFit="1"/>
    </xf>
    <xf numFmtId="3" fontId="61" fillId="3" borderId="255" xfId="0" applyNumberFormat="1" applyFont="1" applyFill="1" applyBorder="1" applyAlignment="1">
      <alignment horizontal="left" vertical="center" indent="1"/>
    </xf>
    <xf numFmtId="168" fontId="31" fillId="18" borderId="277" xfId="0" applyNumberFormat="1" applyFont="1" applyFill="1" applyBorder="1" applyAlignment="1">
      <alignment horizontal="right" vertical="center" shrinkToFit="1"/>
    </xf>
    <xf numFmtId="168" fontId="31" fillId="0" borderId="273" xfId="0" applyNumberFormat="1" applyFont="1" applyBorder="1" applyAlignment="1">
      <alignment vertical="center" shrinkToFit="1"/>
    </xf>
    <xf numFmtId="168" fontId="31" fillId="18" borderId="278" xfId="0" applyNumberFormat="1" applyFont="1" applyFill="1" applyBorder="1" applyAlignment="1" applyProtection="1">
      <alignment vertical="center" shrinkToFit="1"/>
      <protection locked="0"/>
    </xf>
    <xf numFmtId="3" fontId="61" fillId="3" borderId="285" xfId="0" applyNumberFormat="1" applyFont="1" applyFill="1" applyBorder="1" applyAlignment="1">
      <alignment horizontal="left" vertical="center" indent="1"/>
    </xf>
    <xf numFmtId="3" fontId="33" fillId="3" borderId="266" xfId="0" applyNumberFormat="1" applyFont="1" applyFill="1" applyBorder="1" applyAlignment="1">
      <alignment horizontal="center" vertical="center"/>
    </xf>
    <xf numFmtId="3" fontId="61" fillId="3" borderId="267" xfId="0" applyNumberFormat="1" applyFont="1" applyFill="1" applyBorder="1" applyAlignment="1">
      <alignment horizontal="left" vertical="center" indent="1"/>
    </xf>
    <xf numFmtId="0" fontId="61" fillId="0" borderId="285" xfId="0" applyFont="1" applyBorder="1" applyAlignment="1">
      <alignment horizontal="left" vertical="center" indent="1"/>
    </xf>
    <xf numFmtId="3" fontId="33" fillId="29" borderId="254" xfId="0" applyNumberFormat="1" applyFont="1" applyFill="1" applyBorder="1" applyAlignment="1">
      <alignment horizontal="center" vertical="center"/>
    </xf>
    <xf numFmtId="0" fontId="61" fillId="29" borderId="255" xfId="0" applyFont="1" applyFill="1" applyBorder="1" applyAlignment="1">
      <alignment horizontal="left" vertical="center" indent="1"/>
    </xf>
    <xf numFmtId="168" fontId="31" fillId="29" borderId="277" xfId="0" applyNumberFormat="1" applyFont="1" applyFill="1" applyBorder="1" applyAlignment="1">
      <alignment vertical="center" shrinkToFit="1"/>
    </xf>
    <xf numFmtId="0" fontId="61" fillId="3" borderId="255" xfId="0" applyFont="1" applyFill="1" applyBorder="1" applyAlignment="1">
      <alignment horizontal="left" vertical="center" indent="1"/>
    </xf>
    <xf numFmtId="168" fontId="31" fillId="18" borderId="277" xfId="0" applyNumberFormat="1" applyFont="1" applyFill="1" applyBorder="1" applyAlignment="1" applyProtection="1">
      <alignment vertical="center" shrinkToFit="1"/>
      <protection locked="0"/>
    </xf>
    <xf numFmtId="3" fontId="33" fillId="0" borderId="254" xfId="0" applyNumberFormat="1" applyFont="1" applyBorder="1" applyAlignment="1">
      <alignment horizontal="center" vertical="center"/>
    </xf>
    <xf numFmtId="49" fontId="61" fillId="18" borderId="293" xfId="0" applyNumberFormat="1" applyFont="1" applyFill="1" applyBorder="1" applyAlignment="1">
      <alignment horizontal="left" vertical="center" indent="1"/>
    </xf>
    <xf numFmtId="3" fontId="132" fillId="18" borderId="260" xfId="0" applyNumberFormat="1" applyFont="1" applyFill="1" applyBorder="1" applyAlignment="1">
      <alignment horizontal="left" vertical="center" wrapText="1" indent="3"/>
    </xf>
    <xf numFmtId="168" fontId="144" fillId="18" borderId="277" xfId="0" applyNumberFormat="1" applyFont="1" applyFill="1" applyBorder="1" applyAlignment="1">
      <alignment vertical="center" shrinkToFit="1"/>
    </xf>
    <xf numFmtId="168" fontId="31" fillId="18" borderId="257" xfId="0" applyNumberFormat="1" applyFont="1" applyFill="1" applyBorder="1" applyAlignment="1" applyProtection="1">
      <alignment vertical="center" shrinkToFit="1"/>
      <protection locked="0"/>
    </xf>
    <xf numFmtId="168" fontId="31" fillId="18" borderId="258" xfId="0" applyNumberFormat="1" applyFont="1" applyFill="1" applyBorder="1" applyAlignment="1" applyProtection="1">
      <alignment vertical="center" shrinkToFit="1"/>
      <protection locked="0"/>
    </xf>
    <xf numFmtId="168" fontId="31" fillId="18" borderId="259" xfId="0" applyNumberFormat="1" applyFont="1" applyFill="1" applyBorder="1" applyAlignment="1" applyProtection="1">
      <alignment vertical="center" shrinkToFit="1"/>
      <protection locked="0"/>
    </xf>
    <xf numFmtId="168" fontId="8" fillId="18" borderId="273" xfId="0" applyNumberFormat="1" applyFont="1" applyFill="1" applyBorder="1" applyAlignment="1">
      <alignment vertical="center" shrinkToFit="1"/>
    </xf>
    <xf numFmtId="0" fontId="66" fillId="24" borderId="293" xfId="0" applyFont="1" applyFill="1" applyBorder="1" applyAlignment="1">
      <alignment horizontal="left" vertical="center" indent="1"/>
    </xf>
    <xf numFmtId="3" fontId="132" fillId="24" borderId="302" xfId="0" applyNumberFormat="1" applyFont="1" applyFill="1" applyBorder="1" applyAlignment="1">
      <alignment horizontal="left" vertical="center" wrapText="1" indent="1"/>
    </xf>
    <xf numFmtId="168" fontId="8" fillId="24" borderId="277" xfId="0" applyNumberFormat="1" applyFont="1" applyFill="1" applyBorder="1" applyAlignment="1">
      <alignment vertical="center" shrinkToFit="1"/>
    </xf>
    <xf numFmtId="168" fontId="8" fillId="24" borderId="257" xfId="0" applyNumberFormat="1" applyFont="1" applyFill="1" applyBorder="1" applyAlignment="1">
      <alignment vertical="center" shrinkToFit="1"/>
    </xf>
    <xf numFmtId="168" fontId="8" fillId="24" borderId="258" xfId="0" applyNumberFormat="1" applyFont="1" applyFill="1" applyBorder="1" applyAlignment="1">
      <alignment vertical="center" shrinkToFit="1"/>
    </xf>
    <xf numFmtId="168" fontId="8" fillId="24" borderId="259" xfId="0" applyNumberFormat="1" applyFont="1" applyFill="1" applyBorder="1" applyAlignment="1">
      <alignment vertical="center" shrinkToFit="1"/>
    </xf>
    <xf numFmtId="168" fontId="8" fillId="24" borderId="273" xfId="0" applyNumberFormat="1" applyFont="1" applyFill="1" applyBorder="1" applyAlignment="1">
      <alignment vertical="center" shrinkToFit="1"/>
    </xf>
    <xf numFmtId="0" fontId="66" fillId="18" borderId="293" xfId="0" applyFont="1" applyFill="1" applyBorder="1" applyAlignment="1">
      <alignment horizontal="left" vertical="center" indent="1"/>
    </xf>
    <xf numFmtId="3" fontId="132" fillId="24" borderId="260" xfId="0" applyNumberFormat="1" applyFont="1" applyFill="1" applyBorder="1" applyAlignment="1">
      <alignment horizontal="left" vertical="center" wrapText="1" indent="3"/>
    </xf>
    <xf numFmtId="3" fontId="132" fillId="18" borderId="260" xfId="0" applyNumberFormat="1" applyFont="1" applyFill="1" applyBorder="1" applyAlignment="1">
      <alignment horizontal="left" vertical="center" wrapText="1" indent="6"/>
    </xf>
    <xf numFmtId="0" fontId="62" fillId="3" borderId="254" xfId="0" applyFont="1" applyFill="1" applyBorder="1" applyAlignment="1">
      <alignment horizontal="center" vertical="center"/>
    </xf>
    <xf numFmtId="0" fontId="62" fillId="3" borderId="255" xfId="0" applyFont="1" applyFill="1" applyBorder="1" applyAlignment="1">
      <alignment horizontal="left" vertical="center" indent="1"/>
    </xf>
    <xf numFmtId="0" fontId="172" fillId="0" borderId="303" xfId="0" applyFont="1" applyBorder="1" applyAlignment="1">
      <alignment horizontal="left" vertical="center" indent="1"/>
    </xf>
    <xf numFmtId="0" fontId="173" fillId="0" borderId="304" xfId="0" applyFont="1" applyBorder="1" applyAlignment="1">
      <alignment horizontal="left" vertical="center" indent="4"/>
    </xf>
    <xf numFmtId="168" fontId="71" fillId="3" borderId="305" xfId="0" applyNumberFormat="1" applyFont="1" applyFill="1" applyBorder="1" applyAlignment="1" applyProtection="1">
      <alignment horizontal="right" vertical="center" shrinkToFit="1"/>
      <protection locked="0"/>
    </xf>
    <xf numFmtId="0" fontId="172" fillId="24" borderId="293" xfId="0" applyFont="1" applyFill="1" applyBorder="1" applyAlignment="1">
      <alignment horizontal="left" vertical="center" indent="1"/>
    </xf>
    <xf numFmtId="0" fontId="173" fillId="24" borderId="258" xfId="0" applyFont="1" applyFill="1" applyBorder="1" applyAlignment="1">
      <alignment horizontal="left" vertical="center" indent="2"/>
    </xf>
    <xf numFmtId="168" fontId="70" fillId="24" borderId="277" xfId="0" applyNumberFormat="1" applyFont="1" applyFill="1" applyBorder="1" applyAlignment="1">
      <alignment horizontal="right" vertical="center" shrinkToFit="1"/>
    </xf>
    <xf numFmtId="0" fontId="62" fillId="3" borderId="295" xfId="0" applyFont="1" applyFill="1" applyBorder="1" applyAlignment="1">
      <alignment horizontal="center" vertical="center"/>
    </xf>
    <xf numFmtId="0" fontId="62" fillId="3" borderId="285" xfId="0" applyFont="1" applyFill="1" applyBorder="1" applyAlignment="1">
      <alignment horizontal="left" vertical="center" indent="1"/>
    </xf>
    <xf numFmtId="0" fontId="62" fillId="3" borderId="266" xfId="0" applyFont="1" applyFill="1" applyBorder="1" applyAlignment="1">
      <alignment horizontal="center" vertical="center"/>
    </xf>
    <xf numFmtId="0" fontId="62" fillId="3" borderId="267" xfId="0" applyFont="1" applyFill="1" applyBorder="1" applyAlignment="1">
      <alignment horizontal="left" vertical="center" indent="1"/>
    </xf>
    <xf numFmtId="0" fontId="172" fillId="0" borderId="306" xfId="0" applyFont="1" applyBorder="1" applyAlignment="1">
      <alignment horizontal="left" vertical="center" indent="1"/>
    </xf>
    <xf numFmtId="0" fontId="173" fillId="0" borderId="307" xfId="0" applyFont="1" applyBorder="1" applyAlignment="1">
      <alignment horizontal="left" vertical="center" indent="4"/>
    </xf>
    <xf numFmtId="168" fontId="71" fillId="3" borderId="308" xfId="0" applyNumberFormat="1" applyFont="1" applyFill="1" applyBorder="1" applyAlignment="1" applyProtection="1">
      <alignment horizontal="right" vertical="center" shrinkToFit="1"/>
      <protection locked="0"/>
    </xf>
    <xf numFmtId="3" fontId="33" fillId="0" borderId="258" xfId="0" applyNumberFormat="1" applyFont="1" applyBorder="1" applyAlignment="1">
      <alignment horizontal="center"/>
    </xf>
    <xf numFmtId="0" fontId="33" fillId="0" borderId="255" xfId="0" applyFont="1" applyBorder="1" applyAlignment="1">
      <alignment horizontal="left" indent="1"/>
    </xf>
    <xf numFmtId="0" fontId="33" fillId="0" borderId="309" xfId="0" applyFont="1" applyBorder="1" applyAlignment="1">
      <alignment horizontal="left" indent="1"/>
    </xf>
    <xf numFmtId="0" fontId="178" fillId="3" borderId="277" xfId="0" applyFont="1" applyFill="1" applyBorder="1" applyAlignment="1">
      <alignment horizontal="left" indent="1"/>
    </xf>
    <xf numFmtId="170" fontId="111" fillId="3" borderId="256" xfId="0" applyNumberFormat="1" applyFont="1" applyFill="1" applyBorder="1" applyAlignment="1" applyProtection="1">
      <alignment horizontal="right" indent="2"/>
      <protection locked="0"/>
    </xf>
    <xf numFmtId="170" fontId="111" fillId="3" borderId="257" xfId="0" applyNumberFormat="1" applyFont="1" applyFill="1" applyBorder="1" applyAlignment="1" applyProtection="1">
      <alignment horizontal="right" indent="2"/>
      <protection locked="0"/>
    </xf>
    <xf numFmtId="170" fontId="111" fillId="3" borderId="260" xfId="0" applyNumberFormat="1" applyFont="1" applyFill="1" applyBorder="1" applyAlignment="1" applyProtection="1">
      <alignment horizontal="right" indent="2"/>
      <protection locked="0"/>
    </xf>
    <xf numFmtId="0" fontId="178" fillId="24" borderId="277" xfId="0" applyFont="1" applyFill="1" applyBorder="1" applyAlignment="1">
      <alignment horizontal="left" indent="1"/>
    </xf>
    <xf numFmtId="0" fontId="179" fillId="24" borderId="277" xfId="0" applyFont="1" applyFill="1" applyBorder="1" applyAlignment="1">
      <alignment horizontal="left" indent="1" shrinkToFit="1"/>
    </xf>
    <xf numFmtId="170" fontId="65" fillId="24" borderId="256" xfId="0" applyNumberFormat="1" applyFont="1" applyFill="1" applyBorder="1" applyAlignment="1">
      <alignment horizontal="right" indent="2"/>
    </xf>
    <xf numFmtId="170" fontId="65" fillId="24" borderId="257" xfId="0" applyNumberFormat="1" applyFont="1" applyFill="1" applyBorder="1" applyAlignment="1">
      <alignment horizontal="right" indent="2"/>
    </xf>
    <xf numFmtId="170" fontId="65" fillId="24" borderId="260" xfId="0" applyNumberFormat="1" applyFont="1" applyFill="1" applyBorder="1" applyAlignment="1">
      <alignment horizontal="right" indent="2"/>
    </xf>
    <xf numFmtId="0" fontId="113" fillId="3" borderId="277" xfId="0" applyFont="1" applyFill="1" applyBorder="1" applyAlignment="1">
      <alignment horizontal="left" indent="3" shrinkToFit="1"/>
    </xf>
    <xf numFmtId="3" fontId="33" fillId="0" borderId="298" xfId="0" applyNumberFormat="1" applyFont="1" applyBorder="1" applyAlignment="1">
      <alignment horizontal="center"/>
    </xf>
    <xf numFmtId="0" fontId="33" fillId="0" borderId="296" xfId="0" applyFont="1" applyBorder="1" applyAlignment="1">
      <alignment horizontal="left" indent="1"/>
    </xf>
    <xf numFmtId="0" fontId="33" fillId="0" borderId="310" xfId="0" applyFont="1" applyBorder="1" applyAlignment="1">
      <alignment horizontal="left" indent="1"/>
    </xf>
    <xf numFmtId="0" fontId="178" fillId="3" borderId="279" xfId="0" applyFont="1" applyFill="1" applyBorder="1" applyAlignment="1">
      <alignment horizontal="left" indent="1"/>
    </xf>
    <xf numFmtId="170" fontId="111" fillId="3" borderId="268" xfId="0" applyNumberFormat="1" applyFont="1" applyFill="1" applyBorder="1" applyAlignment="1" applyProtection="1">
      <alignment horizontal="right" indent="2"/>
      <protection locked="0"/>
    </xf>
    <xf numFmtId="170" fontId="111" fillId="3" borderId="269" xfId="0" applyNumberFormat="1" applyFont="1" applyFill="1" applyBorder="1" applyAlignment="1" applyProtection="1">
      <alignment horizontal="right" indent="2"/>
      <protection locked="0"/>
    </xf>
    <xf numFmtId="170" fontId="111" fillId="3" borderId="271" xfId="0" applyNumberFormat="1" applyFont="1" applyFill="1" applyBorder="1" applyAlignment="1" applyProtection="1">
      <alignment horizontal="right" indent="2"/>
      <protection locked="0"/>
    </xf>
    <xf numFmtId="3" fontId="33" fillId="0" borderId="311" xfId="0" applyNumberFormat="1" applyFont="1" applyBorder="1" applyAlignment="1">
      <alignment horizontal="center"/>
    </xf>
    <xf numFmtId="170" fontId="111" fillId="3" borderId="260" xfId="0" applyNumberFormat="1" applyFont="1" applyFill="1" applyBorder="1" applyAlignment="1" applyProtection="1">
      <alignment horizontal="center"/>
      <protection locked="0"/>
    </xf>
    <xf numFmtId="170" fontId="111" fillId="3" borderId="256" xfId="0" applyNumberFormat="1" applyFont="1" applyFill="1" applyBorder="1" applyAlignment="1" applyProtection="1">
      <alignment horizontal="center"/>
      <protection locked="0"/>
    </xf>
    <xf numFmtId="170" fontId="111" fillId="3" borderId="274" xfId="0" applyNumberFormat="1" applyFont="1" applyFill="1" applyBorder="1" applyAlignment="1" applyProtection="1">
      <alignment horizontal="center"/>
      <protection locked="0"/>
    </xf>
    <xf numFmtId="170" fontId="111" fillId="3" borderId="261" xfId="0" applyNumberFormat="1" applyFont="1" applyFill="1" applyBorder="1" applyAlignment="1" applyProtection="1">
      <alignment horizontal="center"/>
      <protection locked="0"/>
    </xf>
    <xf numFmtId="170" fontId="65" fillId="24" borderId="260" xfId="0" applyNumberFormat="1" applyFont="1" applyFill="1" applyBorder="1" applyAlignment="1">
      <alignment horizontal="center"/>
    </xf>
    <xf numFmtId="170" fontId="65" fillId="24" borderId="256" xfId="0" applyNumberFormat="1" applyFont="1" applyFill="1" applyBorder="1" applyAlignment="1">
      <alignment horizontal="center"/>
    </xf>
    <xf numFmtId="3" fontId="33" fillId="0" borderId="313" xfId="0" applyNumberFormat="1" applyFont="1" applyBorder="1" applyAlignment="1">
      <alignment horizontal="center"/>
    </xf>
    <xf numFmtId="0" fontId="33" fillId="0" borderId="267" xfId="0" applyFont="1" applyBorder="1" applyAlignment="1">
      <alignment horizontal="left" indent="1"/>
    </xf>
    <xf numFmtId="0" fontId="33" fillId="0" borderId="314" xfId="0" applyFont="1" applyBorder="1" applyAlignment="1">
      <alignment horizontal="left" indent="1"/>
    </xf>
    <xf numFmtId="170" fontId="111" fillId="3" borderId="271" xfId="0" applyNumberFormat="1" applyFont="1" applyFill="1" applyBorder="1" applyAlignment="1" applyProtection="1">
      <alignment horizontal="center"/>
      <protection locked="0"/>
    </xf>
    <xf numFmtId="170" fontId="111" fillId="3" borderId="268" xfId="0" applyNumberFormat="1" applyFont="1" applyFill="1" applyBorder="1" applyAlignment="1" applyProtection="1">
      <alignment horizontal="center"/>
      <protection locked="0"/>
    </xf>
    <xf numFmtId="170" fontId="111" fillId="3" borderId="260" xfId="0" applyNumberFormat="1" applyFont="1" applyFill="1" applyBorder="1" applyAlignment="1" applyProtection="1">
      <alignment horizontal="center" shrinkToFit="1"/>
      <protection locked="0"/>
    </xf>
    <xf numFmtId="170" fontId="111" fillId="3" borderId="256" xfId="0" applyNumberFormat="1" applyFont="1" applyFill="1" applyBorder="1" applyAlignment="1" applyProtection="1">
      <alignment horizontal="center" shrinkToFit="1"/>
      <protection locked="0"/>
    </xf>
    <xf numFmtId="170" fontId="65" fillId="24" borderId="260" xfId="0" applyNumberFormat="1" applyFont="1" applyFill="1" applyBorder="1" applyAlignment="1">
      <alignment horizontal="center" shrinkToFit="1"/>
    </xf>
    <xf numFmtId="170" fontId="65" fillId="24" borderId="256" xfId="0" applyNumberFormat="1" applyFont="1" applyFill="1" applyBorder="1" applyAlignment="1">
      <alignment horizontal="center" shrinkToFit="1"/>
    </xf>
    <xf numFmtId="0" fontId="69" fillId="18" borderId="254" xfId="0" applyFont="1" applyFill="1" applyBorder="1" applyAlignment="1">
      <alignment horizontal="center" vertical="center"/>
    </xf>
    <xf numFmtId="0" fontId="69" fillId="18" borderId="255" xfId="0" applyFont="1" applyFill="1" applyBorder="1" applyAlignment="1">
      <alignment horizontal="left" vertical="center" indent="1"/>
    </xf>
    <xf numFmtId="0" fontId="186" fillId="24" borderId="280" xfId="0" applyFont="1" applyFill="1" applyBorder="1" applyAlignment="1">
      <alignment horizontal="left" indent="3" shrinkToFit="1"/>
    </xf>
    <xf numFmtId="0" fontId="65" fillId="24" borderId="258" xfId="0" applyFont="1" applyFill="1" applyBorder="1" applyAlignment="1">
      <alignment horizontal="left" indent="3"/>
    </xf>
    <xf numFmtId="0" fontId="76" fillId="24" borderId="258" xfId="0" applyFont="1" applyFill="1" applyBorder="1"/>
    <xf numFmtId="0" fontId="76" fillId="24" borderId="260" xfId="0" applyFont="1" applyFill="1" applyBorder="1"/>
    <xf numFmtId="0" fontId="180" fillId="3" borderId="280" xfId="0" applyFont="1" applyFill="1" applyBorder="1" applyAlignment="1">
      <alignment horizontal="left" indent="5" shrinkToFit="1"/>
    </xf>
    <xf numFmtId="0" fontId="65" fillId="3" borderId="258" xfId="0" applyFont="1" applyFill="1" applyBorder="1" applyAlignment="1">
      <alignment horizontal="left" indent="3"/>
    </xf>
    <xf numFmtId="0" fontId="76" fillId="3" borderId="258" xfId="0" applyFont="1" applyFill="1" applyBorder="1"/>
    <xf numFmtId="0" fontId="76" fillId="3" borderId="260" xfId="0" applyFont="1" applyFill="1" applyBorder="1"/>
    <xf numFmtId="0" fontId="33" fillId="0" borderId="311" xfId="0" applyFont="1" applyBorder="1" applyAlignment="1">
      <alignment horizontal="center"/>
    </xf>
    <xf numFmtId="0" fontId="63" fillId="3" borderId="277" xfId="0" applyFont="1" applyFill="1" applyBorder="1" applyAlignment="1">
      <alignment horizontal="left" indent="1"/>
    </xf>
    <xf numFmtId="0" fontId="75" fillId="3" borderId="258" xfId="0" applyFont="1" applyFill="1" applyBorder="1"/>
    <xf numFmtId="0" fontId="75" fillId="3" borderId="260" xfId="0" applyFont="1" applyFill="1" applyBorder="1"/>
    <xf numFmtId="0" fontId="33" fillId="0" borderId="313" xfId="0" applyFont="1" applyBorder="1" applyAlignment="1">
      <alignment horizontal="center"/>
    </xf>
    <xf numFmtId="0" fontId="69" fillId="18" borderId="266" xfId="0" applyFont="1" applyFill="1" applyBorder="1" applyAlignment="1">
      <alignment horizontal="center" vertical="center"/>
    </xf>
    <xf numFmtId="0" fontId="69" fillId="18" borderId="267" xfId="0" applyFont="1" applyFill="1" applyBorder="1" applyAlignment="1">
      <alignment horizontal="left" vertical="center" indent="1"/>
    </xf>
    <xf numFmtId="0" fontId="63" fillId="3" borderId="279" xfId="0" applyFont="1" applyFill="1" applyBorder="1" applyAlignment="1">
      <alignment horizontal="left" indent="1"/>
    </xf>
    <xf numFmtId="0" fontId="180" fillId="3" borderId="276" xfId="0" applyFont="1" applyFill="1" applyBorder="1" applyAlignment="1">
      <alignment horizontal="left" indent="5" shrinkToFit="1"/>
    </xf>
    <xf numFmtId="0" fontId="65" fillId="3" borderId="270" xfId="0" applyFont="1" applyFill="1" applyBorder="1" applyAlignment="1">
      <alignment horizontal="left" indent="3"/>
    </xf>
    <xf numFmtId="0" fontId="75" fillId="3" borderId="270" xfId="0" applyFont="1" applyFill="1" applyBorder="1"/>
    <xf numFmtId="0" fontId="75" fillId="3" borderId="271" xfId="0" applyFont="1" applyFill="1" applyBorder="1"/>
    <xf numFmtId="0" fontId="229" fillId="3" borderId="280" xfId="4" applyFont="1" applyFill="1" applyBorder="1" applyAlignment="1">
      <alignment horizontal="left" vertical="center" indent="5" shrinkToFit="1"/>
    </xf>
    <xf numFmtId="170" fontId="14" fillId="3" borderId="277" xfId="4" applyNumberFormat="1" applyFont="1" applyFill="1" applyBorder="1" applyAlignment="1" applyProtection="1">
      <alignment horizontal="right" vertical="center" indent="4"/>
      <protection locked="0"/>
    </xf>
    <xf numFmtId="170" fontId="225" fillId="3" borderId="277" xfId="4" applyNumberFormat="1" applyFont="1" applyFill="1" applyBorder="1" applyAlignment="1">
      <alignment horizontal="right" vertical="center" indent="4"/>
    </xf>
    <xf numFmtId="0" fontId="227" fillId="3" borderId="278" xfId="4" applyFont="1" applyFill="1" applyBorder="1" applyAlignment="1">
      <alignment horizontal="left" vertical="center" indent="1"/>
    </xf>
    <xf numFmtId="0" fontId="229" fillId="3" borderId="301" xfId="4" applyFont="1" applyFill="1" applyBorder="1" applyAlignment="1">
      <alignment horizontal="left" vertical="center" indent="5" shrinkToFit="1"/>
    </xf>
    <xf numFmtId="170" fontId="14" fillId="3" borderId="278" xfId="4" applyNumberFormat="1" applyFont="1" applyFill="1" applyBorder="1" applyAlignment="1" applyProtection="1">
      <alignment horizontal="right" vertical="center" indent="4"/>
      <protection locked="0"/>
    </xf>
    <xf numFmtId="170" fontId="225" fillId="3" borderId="278" xfId="4" applyNumberFormat="1" applyFont="1" applyFill="1" applyBorder="1" applyAlignment="1">
      <alignment horizontal="right" vertical="center" indent="4"/>
    </xf>
    <xf numFmtId="0" fontId="227" fillId="3" borderId="279" xfId="4" applyFont="1" applyFill="1" applyBorder="1" applyAlignment="1">
      <alignment horizontal="left" vertical="center" indent="1"/>
    </xf>
    <xf numFmtId="0" fontId="229" fillId="3" borderId="276" xfId="4" applyFont="1" applyFill="1" applyBorder="1" applyAlignment="1">
      <alignment horizontal="left" vertical="center" indent="5" shrinkToFit="1"/>
    </xf>
    <xf numFmtId="170" fontId="14" fillId="3" borderId="279" xfId="4" applyNumberFormat="1" applyFont="1" applyFill="1" applyBorder="1" applyAlignment="1" applyProtection="1">
      <alignment horizontal="right" vertical="center" indent="4"/>
      <protection locked="0"/>
    </xf>
    <xf numFmtId="170" fontId="225" fillId="3" borderId="279" xfId="4" applyNumberFormat="1" applyFont="1" applyFill="1" applyBorder="1" applyAlignment="1">
      <alignment horizontal="right" vertical="center" indent="4"/>
    </xf>
    <xf numFmtId="167" fontId="6" fillId="32" borderId="315" xfId="0" applyNumberFormat="1" applyFont="1" applyFill="1" applyBorder="1" applyAlignment="1">
      <alignment vertical="center" shrinkToFit="1"/>
    </xf>
    <xf numFmtId="167" fontId="75" fillId="32" borderId="258" xfId="0" applyNumberFormat="1" applyFont="1" applyFill="1" applyBorder="1" applyAlignment="1" applyProtection="1">
      <alignment horizontal="right" vertical="center" shrinkToFit="1"/>
      <protection locked="0"/>
    </xf>
    <xf numFmtId="167" fontId="75" fillId="32" borderId="259" xfId="0" applyNumberFormat="1" applyFont="1" applyFill="1" applyBorder="1" applyAlignment="1" applyProtection="1">
      <alignment horizontal="right" vertical="center" shrinkToFit="1"/>
      <protection locked="0"/>
    </xf>
    <xf numFmtId="167" fontId="75" fillId="32" borderId="273" xfId="0" applyNumberFormat="1" applyFont="1" applyFill="1" applyBorder="1" applyAlignment="1" applyProtection="1">
      <alignment horizontal="right" vertical="center" shrinkToFit="1"/>
      <protection locked="0"/>
    </xf>
    <xf numFmtId="167" fontId="6" fillId="24" borderId="315" xfId="0" applyNumberFormat="1" applyFont="1" applyFill="1" applyBorder="1" applyAlignment="1">
      <alignment vertical="center" shrinkToFit="1"/>
    </xf>
    <xf numFmtId="167" fontId="52" fillId="24" borderId="258" xfId="0" applyNumberFormat="1" applyFont="1" applyFill="1" applyBorder="1" applyAlignment="1">
      <alignment horizontal="right" vertical="center" shrinkToFit="1"/>
    </xf>
    <xf numFmtId="167" fontId="52" fillId="24" borderId="259" xfId="0" applyNumberFormat="1" applyFont="1" applyFill="1" applyBorder="1" applyAlignment="1">
      <alignment horizontal="right" vertical="center" shrinkToFit="1"/>
    </xf>
    <xf numFmtId="167" fontId="52" fillId="24" borderId="273" xfId="0" applyNumberFormat="1" applyFont="1" applyFill="1" applyBorder="1" applyAlignment="1">
      <alignment horizontal="right" vertical="center" shrinkToFit="1"/>
    </xf>
    <xf numFmtId="167" fontId="6" fillId="32" borderId="315" xfId="0" applyNumberFormat="1" applyFont="1" applyFill="1" applyBorder="1" applyAlignment="1">
      <alignment horizontal="left" vertical="center" indent="3" shrinkToFit="1"/>
    </xf>
    <xf numFmtId="167" fontId="6" fillId="32" borderId="316" xfId="0" applyNumberFormat="1" applyFont="1" applyFill="1" applyBorder="1" applyAlignment="1">
      <alignment horizontal="left" vertical="center" indent="3" shrinkToFit="1"/>
    </xf>
    <xf numFmtId="0" fontId="7" fillId="18" borderId="258" xfId="0" applyFont="1" applyFill="1" applyBorder="1" applyAlignment="1">
      <alignment horizontal="left" vertical="center" wrapText="1" indent="4"/>
    </xf>
    <xf numFmtId="168" fontId="31" fillId="51" borderId="277" xfId="0" applyNumberFormat="1" applyFont="1" applyFill="1" applyBorder="1" applyAlignment="1" applyProtection="1">
      <alignment vertical="center" shrinkToFit="1"/>
      <protection locked="0"/>
    </xf>
    <xf numFmtId="168" fontId="31" fillId="51" borderId="258" xfId="0" applyNumberFormat="1" applyFont="1" applyFill="1" applyBorder="1" applyAlignment="1" applyProtection="1">
      <alignment vertical="center" shrinkToFit="1"/>
      <protection locked="0"/>
    </xf>
    <xf numFmtId="168" fontId="31" fillId="51" borderId="256" xfId="0" applyNumberFormat="1" applyFont="1" applyFill="1" applyBorder="1" applyAlignment="1" applyProtection="1">
      <alignment vertical="center" shrinkToFit="1"/>
      <protection locked="0"/>
    </xf>
    <xf numFmtId="168" fontId="31" fillId="51" borderId="260" xfId="0" applyNumberFormat="1" applyFont="1" applyFill="1" applyBorder="1" applyAlignment="1" applyProtection="1">
      <alignment vertical="center" shrinkToFit="1"/>
      <protection locked="0"/>
    </xf>
    <xf numFmtId="168" fontId="31" fillId="24" borderId="277" xfId="0" applyNumberFormat="1" applyFont="1" applyFill="1" applyBorder="1" applyAlignment="1">
      <alignment vertical="center" shrinkToFit="1"/>
    </xf>
    <xf numFmtId="0" fontId="7" fillId="18" borderId="302" xfId="0" applyFont="1" applyFill="1" applyBorder="1" applyAlignment="1">
      <alignment horizontal="left" vertical="center" wrapText="1" indent="4"/>
    </xf>
    <xf numFmtId="2" fontId="68" fillId="51" borderId="258" xfId="0" applyNumberFormat="1" applyFont="1" applyFill="1" applyBorder="1" applyAlignment="1" applyProtection="1">
      <alignment horizontal="right" vertical="center" indent="4" shrinkToFit="1"/>
      <protection locked="0"/>
    </xf>
    <xf numFmtId="168" fontId="14" fillId="24" borderId="277" xfId="0" applyNumberFormat="1" applyFont="1" applyFill="1" applyBorder="1" applyAlignment="1">
      <alignment vertical="center" shrinkToFit="1"/>
    </xf>
    <xf numFmtId="168" fontId="14" fillId="51" borderId="277" xfId="0" applyNumberFormat="1" applyFont="1" applyFill="1" applyBorder="1" applyAlignment="1" applyProtection="1">
      <alignment vertical="center" shrinkToFit="1"/>
      <protection locked="0"/>
    </xf>
    <xf numFmtId="2" fontId="68" fillId="51" borderId="277" xfId="0" applyNumberFormat="1" applyFont="1" applyFill="1" applyBorder="1" applyAlignment="1" applyProtection="1">
      <alignment horizontal="right" vertical="center" indent="4" shrinkToFit="1"/>
      <protection locked="0"/>
    </xf>
    <xf numFmtId="0" fontId="61" fillId="18" borderId="293" xfId="0" applyFont="1" applyFill="1" applyBorder="1" applyAlignment="1">
      <alignment horizontal="left" vertical="center" indent="1"/>
    </xf>
    <xf numFmtId="168" fontId="31" fillId="18" borderId="277" xfId="0" applyNumberFormat="1" applyFont="1" applyFill="1" applyBorder="1" applyAlignment="1" applyProtection="1">
      <alignment vertical="center"/>
      <protection locked="0"/>
    </xf>
    <xf numFmtId="49" fontId="61" fillId="18" borderId="266" xfId="0" applyNumberFormat="1" applyFont="1" applyFill="1" applyBorder="1" applyAlignment="1">
      <alignment horizontal="center" vertical="center"/>
    </xf>
    <xf numFmtId="49" fontId="61" fillId="18" borderId="267" xfId="0" applyNumberFormat="1" applyFont="1" applyFill="1" applyBorder="1" applyAlignment="1">
      <alignment horizontal="left" vertical="center" indent="1"/>
    </xf>
    <xf numFmtId="0" fontId="61" fillId="18" borderId="266" xfId="0" applyFont="1" applyFill="1" applyBorder="1" applyAlignment="1">
      <alignment horizontal="center" vertical="center"/>
    </xf>
    <xf numFmtId="49" fontId="61" fillId="18" borderId="267" xfId="0" applyNumberFormat="1" applyFont="1" applyFill="1" applyBorder="1" applyAlignment="1">
      <alignment horizontal="center" vertical="center"/>
    </xf>
    <xf numFmtId="49" fontId="61" fillId="18" borderId="299" xfId="0" applyNumberFormat="1" applyFont="1" applyFill="1" applyBorder="1" applyAlignment="1">
      <alignment horizontal="left" vertical="center" indent="1"/>
    </xf>
    <xf numFmtId="2" fontId="31" fillId="18" borderId="260" xfId="0" applyNumberFormat="1" applyFont="1" applyFill="1" applyBorder="1" applyAlignment="1" applyProtection="1">
      <alignment horizontal="right" vertical="center" indent="3"/>
      <protection locked="0"/>
    </xf>
    <xf numFmtId="3" fontId="130" fillId="18" borderId="302" xfId="0" applyNumberFormat="1" applyFont="1" applyFill="1" applyBorder="1" applyAlignment="1" applyProtection="1">
      <alignment horizontal="left" vertical="center" wrapText="1" indent="6"/>
      <protection locked="0"/>
    </xf>
    <xf numFmtId="3" fontId="130" fillId="18" borderId="260" xfId="0" applyNumberFormat="1" applyFont="1" applyFill="1" applyBorder="1" applyAlignment="1" applyProtection="1">
      <alignment horizontal="left" vertical="center" wrapText="1" indent="6"/>
      <protection locked="0"/>
    </xf>
    <xf numFmtId="0" fontId="61" fillId="18" borderId="299" xfId="0" applyFont="1" applyFill="1" applyBorder="1" applyAlignment="1">
      <alignment horizontal="left" vertical="center" indent="1"/>
    </xf>
    <xf numFmtId="0" fontId="130" fillId="18" borderId="302" xfId="0" applyFont="1" applyFill="1" applyBorder="1" applyAlignment="1" applyProtection="1">
      <alignment horizontal="left" vertical="center" wrapText="1" indent="6"/>
      <protection locked="0"/>
    </xf>
    <xf numFmtId="0" fontId="61" fillId="18" borderId="266" xfId="0" applyFont="1" applyFill="1" applyBorder="1" applyAlignment="1">
      <alignment horizontal="left" vertical="center" indent="1"/>
    </xf>
    <xf numFmtId="174" fontId="12" fillId="0" borderId="317" xfId="2" applyNumberFormat="1" applyFont="1" applyBorder="1"/>
    <xf numFmtId="166" fontId="20" fillId="0" borderId="279" xfId="0" quotePrefix="1" applyNumberFormat="1" applyFont="1" applyBorder="1" applyAlignment="1">
      <alignment horizontal="left" vertical="center"/>
    </xf>
    <xf numFmtId="0" fontId="12" fillId="0" borderId="254" xfId="5" quotePrefix="1" applyBorder="1" applyAlignment="1">
      <alignment horizontal="center"/>
    </xf>
    <xf numFmtId="0" fontId="12" fillId="0" borderId="257" xfId="5" applyBorder="1" applyAlignment="1">
      <alignment horizontal="left" indent="1"/>
    </xf>
    <xf numFmtId="0" fontId="12" fillId="0" borderId="258" xfId="5" applyBorder="1" applyAlignment="1">
      <alignment horizontal="left" indent="1"/>
    </xf>
    <xf numFmtId="0" fontId="12" fillId="0" borderId="259" xfId="5" applyBorder="1" applyAlignment="1">
      <alignment horizontal="left" indent="1"/>
    </xf>
    <xf numFmtId="0" fontId="152" fillId="0" borderId="257" xfId="5" applyFont="1" applyBorder="1" applyAlignment="1">
      <alignment horizontal="left" indent="1"/>
    </xf>
    <xf numFmtId="0" fontId="152" fillId="0" borderId="258" xfId="5" applyFont="1" applyBorder="1" applyAlignment="1">
      <alignment horizontal="left" indent="1"/>
    </xf>
    <xf numFmtId="0" fontId="12" fillId="0" borderId="292" xfId="5" applyBorder="1" applyAlignment="1">
      <alignment horizontal="left" indent="1"/>
    </xf>
    <xf numFmtId="0" fontId="12" fillId="0" borderId="257" xfId="5" applyBorder="1" applyAlignment="1">
      <alignment horizontal="left" vertical="center" wrapText="1" indent="1"/>
    </xf>
    <xf numFmtId="0" fontId="12" fillId="0" borderId="258" xfId="5" applyBorder="1" applyAlignment="1">
      <alignment horizontal="left" vertical="center" wrapText="1" indent="1"/>
    </xf>
    <xf numFmtId="0" fontId="12" fillId="0" borderId="259" xfId="5" applyBorder="1" applyAlignment="1">
      <alignment horizontal="left" vertical="center" wrapText="1" indent="1"/>
    </xf>
    <xf numFmtId="0" fontId="12" fillId="0" borderId="295" xfId="5" quotePrefix="1" applyBorder="1" applyAlignment="1">
      <alignment horizontal="center"/>
    </xf>
    <xf numFmtId="0" fontId="12" fillId="0" borderId="262" xfId="5" applyBorder="1" applyAlignment="1">
      <alignment horizontal="left" indent="1"/>
    </xf>
    <xf numFmtId="0" fontId="12" fillId="0" borderId="264" xfId="5" applyBorder="1" applyAlignment="1">
      <alignment horizontal="left" indent="1"/>
    </xf>
    <xf numFmtId="0" fontId="12" fillId="0" borderId="318" xfId="5" applyBorder="1" applyAlignment="1">
      <alignment horizontal="left" indent="1"/>
    </xf>
    <xf numFmtId="0" fontId="12" fillId="0" borderId="319" xfId="5" applyBorder="1" applyAlignment="1">
      <alignment horizontal="left" indent="1"/>
    </xf>
    <xf numFmtId="0" fontId="12" fillId="0" borderId="272" xfId="5" applyBorder="1" applyAlignment="1">
      <alignment horizontal="left" indent="1"/>
    </xf>
    <xf numFmtId="0" fontId="147" fillId="0" borderId="8" xfId="0" applyFont="1" applyBorder="1" applyAlignment="1">
      <alignment horizontal="center"/>
    </xf>
    <xf numFmtId="0" fontId="121" fillId="0" borderId="8" xfId="0" applyFont="1" applyBorder="1" applyAlignment="1">
      <alignment horizontal="left" indent="1"/>
    </xf>
    <xf numFmtId="0" fontId="230" fillId="0" borderId="8" xfId="0" applyFont="1" applyBorder="1" applyAlignment="1">
      <alignment horizontal="center"/>
    </xf>
    <xf numFmtId="0" fontId="12" fillId="0" borderId="8" xfId="0" quotePrefix="1" applyFont="1" applyBorder="1" applyAlignment="1">
      <alignment horizontal="center"/>
    </xf>
    <xf numFmtId="0" fontId="0" fillId="0" borderId="8" xfId="0" applyBorder="1" applyAlignment="1">
      <alignment horizontal="center"/>
    </xf>
    <xf numFmtId="0" fontId="72" fillId="0" borderId="8" xfId="0" applyFont="1" applyBorder="1" applyAlignment="1">
      <alignment horizontal="center"/>
    </xf>
    <xf numFmtId="0" fontId="0" fillId="0" borderId="8" xfId="0" applyBorder="1" applyAlignment="1">
      <alignment horizontal="center" vertical="center"/>
    </xf>
    <xf numFmtId="0" fontId="231" fillId="0" borderId="8" xfId="0" applyFont="1" applyBorder="1" applyAlignment="1">
      <alignment horizontal="center"/>
    </xf>
    <xf numFmtId="0" fontId="121" fillId="0" borderId="8" xfId="0" applyFont="1" applyBorder="1" applyAlignment="1">
      <alignment horizontal="center"/>
    </xf>
    <xf numFmtId="0" fontId="0" fillId="35" borderId="8" xfId="0" applyFill="1" applyBorder="1"/>
    <xf numFmtId="0" fontId="230" fillId="0" borderId="8" xfId="0" applyFont="1" applyBorder="1" applyAlignment="1">
      <alignment horizontal="left" indent="1"/>
    </xf>
    <xf numFmtId="0" fontId="147" fillId="0" borderId="8" xfId="0" quotePrefix="1" applyFont="1" applyBorder="1" applyAlignment="1">
      <alignment horizontal="center"/>
    </xf>
    <xf numFmtId="0" fontId="232" fillId="0" borderId="8" xfId="0" applyFont="1" applyBorder="1" applyAlignment="1">
      <alignment horizontal="center"/>
    </xf>
    <xf numFmtId="0" fontId="147" fillId="0" borderId="8" xfId="0" applyFont="1" applyBorder="1" applyAlignment="1">
      <alignment horizontal="center" vertical="center"/>
    </xf>
    <xf numFmtId="2" fontId="7" fillId="0" borderId="236" xfId="0" applyNumberFormat="1" applyFont="1" applyBorder="1" applyAlignment="1">
      <alignment horizontal="center" vertical="center" wrapText="1"/>
    </xf>
    <xf numFmtId="2" fontId="121" fillId="0" borderId="0" xfId="0" applyNumberFormat="1" applyFont="1" applyAlignment="1">
      <alignment wrapText="1"/>
    </xf>
    <xf numFmtId="2" fontId="230" fillId="0" borderId="0" xfId="0" applyNumberFormat="1" applyFont="1" applyAlignment="1">
      <alignment wrapText="1"/>
    </xf>
    <xf numFmtId="2" fontId="230" fillId="0" borderId="8" xfId="0" applyNumberFormat="1" applyFont="1" applyBorder="1" applyAlignment="1">
      <alignment wrapText="1"/>
    </xf>
    <xf numFmtId="2" fontId="121" fillId="0" borderId="8" xfId="0" applyNumberFormat="1" applyFont="1" applyBorder="1" applyAlignment="1">
      <alignment wrapText="1"/>
    </xf>
    <xf numFmtId="2" fontId="235" fillId="0" borderId="0" xfId="0" applyNumberFormat="1" applyFont="1" applyAlignment="1">
      <alignment wrapText="1"/>
    </xf>
    <xf numFmtId="2" fontId="0" fillId="35" borderId="0" xfId="0" applyNumberFormat="1" applyFill="1" applyAlignment="1">
      <alignment wrapText="1"/>
    </xf>
    <xf numFmtId="2" fontId="0" fillId="0" borderId="0" xfId="0" applyNumberFormat="1" applyAlignment="1">
      <alignment wrapText="1"/>
    </xf>
    <xf numFmtId="0" fontId="221" fillId="0" borderId="0" xfId="0" applyFont="1" applyAlignment="1">
      <alignment vertical="center" wrapText="1"/>
    </xf>
    <xf numFmtId="0" fontId="13" fillId="0" borderId="254" xfId="0" applyFont="1" applyBorder="1" applyAlignment="1">
      <alignment horizontal="center" vertical="center"/>
    </xf>
    <xf numFmtId="0" fontId="13" fillId="0" borderId="266" xfId="0" applyFont="1" applyBorder="1" applyAlignment="1">
      <alignment horizontal="center" vertical="center"/>
    </xf>
    <xf numFmtId="0" fontId="121" fillId="0" borderId="0" xfId="0" applyFont="1"/>
    <xf numFmtId="0" fontId="121" fillId="18" borderId="0" xfId="0" applyFont="1" applyFill="1"/>
    <xf numFmtId="0" fontId="269" fillId="25" borderId="39" xfId="0" applyFont="1" applyFill="1" applyBorder="1" applyAlignment="1">
      <alignment horizontal="center"/>
    </xf>
    <xf numFmtId="0" fontId="269" fillId="25" borderId="41" xfId="0" applyFont="1" applyFill="1" applyBorder="1"/>
    <xf numFmtId="0" fontId="269" fillId="25" borderId="30" xfId="0" applyFont="1" applyFill="1" applyBorder="1" applyAlignment="1">
      <alignment horizontal="center" vertical="center"/>
    </xf>
    <xf numFmtId="0" fontId="121" fillId="10" borderId="0" xfId="0" applyFont="1" applyFill="1"/>
    <xf numFmtId="0" fontId="121" fillId="0" borderId="4" xfId="0" applyFont="1" applyBorder="1" applyAlignment="1">
      <alignment horizontal="center" vertical="center"/>
    </xf>
    <xf numFmtId="0" fontId="121" fillId="0" borderId="64" xfId="0" applyFont="1" applyBorder="1" applyAlignment="1">
      <alignment horizontal="center" vertical="center"/>
    </xf>
    <xf numFmtId="3" fontId="121" fillId="13" borderId="119" xfId="0" applyNumberFormat="1" applyFont="1" applyFill="1" applyBorder="1" applyAlignment="1">
      <alignment horizontal="center" vertical="center"/>
    </xf>
    <xf numFmtId="3" fontId="121" fillId="13" borderId="120" xfId="0" applyNumberFormat="1" applyFont="1" applyFill="1" applyBorder="1" applyAlignment="1">
      <alignment horizontal="center" vertical="center"/>
    </xf>
    <xf numFmtId="0" fontId="269" fillId="25" borderId="40" xfId="0" applyFont="1" applyFill="1" applyBorder="1" applyAlignment="1">
      <alignment horizontal="center"/>
    </xf>
    <xf numFmtId="0" fontId="269" fillId="25" borderId="50" xfId="0" applyFont="1" applyFill="1" applyBorder="1"/>
    <xf numFmtId="0" fontId="269" fillId="25" borderId="179" xfId="0" applyFont="1" applyFill="1" applyBorder="1" applyAlignment="1">
      <alignment horizontal="center" vertical="center"/>
    </xf>
    <xf numFmtId="0" fontId="121" fillId="20" borderId="254" xfId="0" applyFont="1" applyFill="1" applyBorder="1" applyAlignment="1">
      <alignment horizontal="center" vertical="center"/>
    </xf>
    <xf numFmtId="0" fontId="121" fillId="20" borderId="255" xfId="0" applyFont="1" applyFill="1" applyBorder="1" applyAlignment="1">
      <alignment horizontal="left" vertical="center" indent="1"/>
    </xf>
    <xf numFmtId="0" fontId="121" fillId="24" borderId="87" xfId="0" applyFont="1" applyFill="1" applyBorder="1" applyAlignment="1">
      <alignment horizontal="left" vertical="center" indent="1"/>
    </xf>
    <xf numFmtId="166" fontId="269" fillId="24" borderId="23" xfId="0" applyNumberFormat="1" applyFont="1" applyFill="1" applyBorder="1" applyAlignment="1">
      <alignment horizontal="left" vertical="center" indent="1"/>
    </xf>
    <xf numFmtId="168" fontId="269" fillId="37" borderId="89" xfId="0" applyNumberFormat="1" applyFont="1" applyFill="1" applyBorder="1" applyAlignment="1">
      <alignment horizontal="right" vertical="center" shrinkToFit="1"/>
    </xf>
    <xf numFmtId="0" fontId="121" fillId="0" borderId="254" xfId="0" applyFont="1" applyBorder="1" applyAlignment="1">
      <alignment horizontal="center" vertical="center"/>
    </xf>
    <xf numFmtId="0" fontId="121" fillId="0" borderId="255" xfId="0" applyFont="1" applyBorder="1" applyAlignment="1">
      <alignment horizontal="left" vertical="center" indent="1"/>
    </xf>
    <xf numFmtId="0" fontId="121" fillId="0" borderId="256" xfId="0" applyFont="1" applyBorder="1" applyAlignment="1">
      <alignment horizontal="left" vertical="center" indent="1"/>
    </xf>
    <xf numFmtId="166" fontId="269" fillId="0" borderId="258" xfId="0" applyNumberFormat="1" applyFont="1" applyBorder="1" applyAlignment="1">
      <alignment horizontal="left" vertical="center" indent="3"/>
    </xf>
    <xf numFmtId="168" fontId="269" fillId="0" borderId="277" xfId="0" applyNumberFormat="1" applyFont="1" applyBorder="1" applyAlignment="1">
      <alignment horizontal="right" vertical="center" shrinkToFit="1"/>
    </xf>
    <xf numFmtId="0" fontId="269" fillId="0" borderId="258" xfId="0" applyFont="1" applyBorder="1" applyAlignment="1">
      <alignment horizontal="left" vertical="center" indent="6"/>
    </xf>
    <xf numFmtId="168" fontId="121" fillId="0" borderId="277" xfId="0" applyNumberFormat="1" applyFont="1" applyBorder="1" applyAlignment="1" applyProtection="1">
      <alignment horizontal="right" vertical="center" shrinkToFit="1"/>
      <protection locked="0"/>
    </xf>
    <xf numFmtId="0" fontId="121" fillId="0" borderId="261" xfId="0" applyFont="1" applyBorder="1" applyAlignment="1">
      <alignment horizontal="left" vertical="center" indent="1"/>
    </xf>
    <xf numFmtId="0" fontId="269" fillId="0" borderId="263" xfId="0" applyFont="1" applyBorder="1" applyAlignment="1">
      <alignment horizontal="left" vertical="center" indent="6"/>
    </xf>
    <xf numFmtId="168" fontId="121" fillId="0" borderId="278" xfId="0" applyNumberFormat="1" applyFont="1" applyBorder="1" applyAlignment="1" applyProtection="1">
      <alignment horizontal="right" vertical="center" shrinkToFit="1"/>
      <protection locked="0"/>
    </xf>
    <xf numFmtId="0" fontId="269" fillId="0" borderId="258" xfId="0" applyFont="1" applyBorder="1" applyAlignment="1">
      <alignment horizontal="left" vertical="center" indent="3"/>
    </xf>
    <xf numFmtId="0" fontId="121" fillId="24" borderId="80" xfId="0" applyFont="1" applyFill="1" applyBorder="1" applyAlignment="1">
      <alignment horizontal="left" vertical="center" indent="1"/>
    </xf>
    <xf numFmtId="166" fontId="269" fillId="24" borderId="4" xfId="0" applyNumberFormat="1" applyFont="1" applyFill="1" applyBorder="1" applyAlignment="1">
      <alignment horizontal="left" vertical="center" indent="1"/>
    </xf>
    <xf numFmtId="168" fontId="269" fillId="37" borderId="98" xfId="0" applyNumberFormat="1" applyFont="1" applyFill="1" applyBorder="1" applyAlignment="1">
      <alignment horizontal="right" vertical="center" shrinkToFit="1"/>
    </xf>
    <xf numFmtId="166" fontId="269" fillId="0" borderId="263" xfId="0" applyNumberFormat="1" applyFont="1" applyBorder="1" applyAlignment="1">
      <alignment horizontal="left" vertical="center" indent="6"/>
    </xf>
    <xf numFmtId="0" fontId="121" fillId="0" borderId="266" xfId="0" applyFont="1" applyBorder="1" applyAlignment="1">
      <alignment horizontal="center" vertical="center"/>
    </xf>
    <xf numFmtId="0" fontId="121" fillId="0" borderId="267" xfId="0" applyFont="1" applyBorder="1" applyAlignment="1">
      <alignment horizontal="left" vertical="center" indent="1"/>
    </xf>
    <xf numFmtId="0" fontId="121" fillId="0" borderId="268" xfId="0" applyFont="1" applyBorder="1" applyAlignment="1">
      <alignment horizontal="left" vertical="center" indent="1"/>
    </xf>
    <xf numFmtId="166" fontId="269" fillId="0" borderId="270" xfId="0" applyNumberFormat="1" applyFont="1" applyBorder="1" applyAlignment="1">
      <alignment horizontal="left" vertical="center" indent="3"/>
    </xf>
    <xf numFmtId="168" fontId="121" fillId="0" borderId="279" xfId="0" applyNumberFormat="1" applyFont="1" applyBorder="1" applyAlignment="1" applyProtection="1">
      <alignment horizontal="right" vertical="center" shrinkToFit="1"/>
      <protection locked="0"/>
    </xf>
    <xf numFmtId="0" fontId="121" fillId="18" borderId="0" xfId="0" applyFont="1" applyFill="1" applyAlignment="1">
      <alignment horizontal="left" vertical="center"/>
    </xf>
    <xf numFmtId="0" fontId="121" fillId="18" borderId="0" xfId="0" applyFont="1" applyFill="1" applyAlignment="1">
      <alignment horizontal="left" indent="2"/>
    </xf>
    <xf numFmtId="0" fontId="32" fillId="3" borderId="0" xfId="5" applyFont="1" applyFill="1" applyAlignment="1">
      <alignment vertical="center"/>
    </xf>
    <xf numFmtId="0" fontId="270" fillId="3" borderId="0" xfId="5" applyFont="1" applyFill="1" applyAlignment="1">
      <alignment horizontal="center" vertical="center"/>
    </xf>
    <xf numFmtId="0" fontId="32" fillId="0" borderId="0" xfId="5" applyFont="1" applyAlignment="1">
      <alignment vertical="center"/>
    </xf>
    <xf numFmtId="0" fontId="32" fillId="3" borderId="0" xfId="5" applyFont="1" applyFill="1"/>
    <xf numFmtId="0" fontId="270" fillId="3" borderId="0" xfId="5" applyFont="1" applyFill="1" applyAlignment="1">
      <alignment horizontal="center"/>
    </xf>
    <xf numFmtId="0" fontId="32" fillId="0" borderId="0" xfId="5" applyFont="1"/>
    <xf numFmtId="0" fontId="270" fillId="3" borderId="0" xfId="5" applyFont="1" applyFill="1"/>
    <xf numFmtId="0" fontId="270" fillId="3" borderId="0" xfId="5" applyFont="1" applyFill="1" applyAlignment="1">
      <alignment vertical="center"/>
    </xf>
    <xf numFmtId="0" fontId="32" fillId="0" borderId="50" xfId="5" applyFont="1" applyBorder="1" applyAlignment="1">
      <alignment vertical="center"/>
    </xf>
    <xf numFmtId="170" fontId="32" fillId="18" borderId="0" xfId="5" applyNumberFormat="1" applyFont="1" applyFill="1"/>
    <xf numFmtId="170" fontId="32" fillId="0" borderId="0" xfId="5" applyNumberFormat="1" applyFont="1"/>
    <xf numFmtId="170" fontId="19" fillId="0" borderId="281" xfId="5" applyNumberFormat="1" applyFont="1" applyBorder="1" applyAlignment="1">
      <alignment horizontal="right" vertical="center" indent="1"/>
    </xf>
    <xf numFmtId="170" fontId="19" fillId="0" borderId="257" xfId="5" applyNumberFormat="1" applyFont="1" applyBorder="1" applyAlignment="1">
      <alignment horizontal="right" vertical="center" indent="1"/>
    </xf>
    <xf numFmtId="0" fontId="32" fillId="0" borderId="258" xfId="5" applyFont="1" applyBorder="1" applyAlignment="1">
      <alignment horizontal="center" vertical="center"/>
    </xf>
    <xf numFmtId="0" fontId="32" fillId="0" borderId="258" xfId="5" applyFont="1" applyBorder="1" applyAlignment="1">
      <alignment vertical="center"/>
    </xf>
    <xf numFmtId="170" fontId="32" fillId="0" borderId="281" xfId="5" applyNumberFormat="1" applyFont="1" applyBorder="1" applyAlignment="1">
      <alignment horizontal="right" vertical="center" indent="1"/>
    </xf>
    <xf numFmtId="170" fontId="32" fillId="0" borderId="257" xfId="5" applyNumberFormat="1" applyFont="1" applyBorder="1" applyAlignment="1">
      <alignment horizontal="right" vertical="center" indent="1"/>
    </xf>
    <xf numFmtId="0" fontId="32" fillId="0" borderId="258" xfId="5" applyFont="1" applyBorder="1" applyAlignment="1">
      <alignment horizontal="left" vertical="center"/>
    </xf>
    <xf numFmtId="170" fontId="271" fillId="0" borderId="281" xfId="5" applyNumberFormat="1" applyFont="1" applyBorder="1" applyAlignment="1" applyProtection="1">
      <alignment horizontal="right" vertical="center" indent="1"/>
      <protection locked="0"/>
    </xf>
    <xf numFmtId="170" fontId="271" fillId="0" borderId="257" xfId="5" applyNumberFormat="1" applyFont="1" applyBorder="1" applyAlignment="1" applyProtection="1">
      <alignment horizontal="right" vertical="center" indent="1"/>
      <protection locked="0"/>
    </xf>
    <xf numFmtId="0" fontId="32" fillId="0" borderId="258" xfId="5" applyFont="1" applyBorder="1" applyAlignment="1">
      <alignment horizontal="left" vertical="center" shrinkToFit="1"/>
    </xf>
    <xf numFmtId="170" fontId="273" fillId="0" borderId="281" xfId="5" applyNumberFormat="1" applyFont="1" applyBorder="1" applyAlignment="1" applyProtection="1">
      <alignment horizontal="right" vertical="center" indent="1"/>
      <protection locked="0"/>
    </xf>
    <xf numFmtId="170" fontId="273" fillId="0" borderId="257" xfId="5" applyNumberFormat="1" applyFont="1" applyBorder="1" applyAlignment="1" applyProtection="1">
      <alignment horizontal="right" vertical="center" indent="1"/>
      <protection locked="0"/>
    </xf>
    <xf numFmtId="0" fontId="19" fillId="0" borderId="258" xfId="5" applyFont="1" applyBorder="1" applyAlignment="1">
      <alignment vertical="center"/>
    </xf>
    <xf numFmtId="0" fontId="271" fillId="0" borderId="258" xfId="5" applyFont="1" applyBorder="1" applyAlignment="1">
      <alignment vertical="center"/>
    </xf>
    <xf numFmtId="0" fontId="32" fillId="0" borderId="258" xfId="5" applyFont="1" applyBorder="1" applyAlignment="1">
      <alignment vertical="center" wrapText="1"/>
    </xf>
    <xf numFmtId="170" fontId="19" fillId="0" borderId="282" xfId="5" applyNumberFormat="1" applyFont="1" applyBorder="1" applyAlignment="1">
      <alignment horizontal="right" vertical="center" indent="1"/>
    </xf>
    <xf numFmtId="0" fontId="32" fillId="0" borderId="257" xfId="5" applyFont="1" applyBorder="1" applyAlignment="1">
      <alignment vertical="center"/>
    </xf>
    <xf numFmtId="170" fontId="275" fillId="0" borderId="281" xfId="5" applyNumberFormat="1" applyFont="1" applyBorder="1" applyAlignment="1">
      <alignment horizontal="right" vertical="center" indent="1"/>
    </xf>
    <xf numFmtId="170" fontId="275" fillId="0" borderId="257" xfId="5" applyNumberFormat="1" applyFont="1" applyBorder="1" applyAlignment="1">
      <alignment horizontal="right" vertical="center" indent="1"/>
    </xf>
    <xf numFmtId="0" fontId="32" fillId="0" borderId="258" xfId="5" applyFont="1" applyBorder="1" applyAlignment="1">
      <alignment horizontal="left" vertical="top" indent="1"/>
    </xf>
    <xf numFmtId="170" fontId="275" fillId="0" borderId="112" xfId="5" applyNumberFormat="1" applyFont="1" applyBorder="1" applyAlignment="1" applyProtection="1">
      <alignment horizontal="right" vertical="center" indent="1"/>
      <protection locked="0"/>
    </xf>
    <xf numFmtId="170" fontId="275" fillId="0" borderId="257" xfId="5" applyNumberFormat="1" applyFont="1" applyBorder="1" applyAlignment="1" applyProtection="1">
      <alignment horizontal="right" vertical="center" indent="1"/>
      <protection locked="0"/>
    </xf>
    <xf numFmtId="0" fontId="32" fillId="0" borderId="258" xfId="5" applyFont="1" applyBorder="1" applyAlignment="1">
      <alignment horizontal="left" vertical="center" indent="1"/>
    </xf>
    <xf numFmtId="170" fontId="275" fillId="0" borderId="281" xfId="5" applyNumberFormat="1" applyFont="1" applyBorder="1" applyAlignment="1" applyProtection="1">
      <alignment horizontal="right" vertical="center" indent="1"/>
      <protection locked="0"/>
    </xf>
    <xf numFmtId="0" fontId="32" fillId="0" borderId="258" xfId="5" applyFont="1" applyBorder="1" applyAlignment="1">
      <alignment horizontal="left" vertical="center" wrapText="1" indent="1"/>
    </xf>
    <xf numFmtId="0" fontId="19" fillId="0" borderId="228" xfId="5" applyFont="1" applyBorder="1" applyAlignment="1">
      <alignment vertical="center"/>
    </xf>
    <xf numFmtId="0" fontId="271" fillId="0" borderId="228" xfId="5" applyFont="1" applyBorder="1" applyAlignment="1">
      <alignment vertical="center"/>
    </xf>
    <xf numFmtId="170" fontId="19" fillId="0" borderId="112" xfId="5" applyNumberFormat="1" applyFont="1" applyBorder="1" applyAlignment="1">
      <alignment horizontal="right" vertical="center" indent="1"/>
    </xf>
    <xf numFmtId="170" fontId="19" fillId="0" borderId="69" xfId="5" applyNumberFormat="1" applyFont="1" applyBorder="1" applyAlignment="1">
      <alignment horizontal="right" vertical="center" indent="1"/>
    </xf>
    <xf numFmtId="0" fontId="32" fillId="0" borderId="258" xfId="5" applyFont="1" applyBorder="1" applyAlignment="1">
      <alignment horizontal="left" vertical="center" wrapText="1"/>
    </xf>
    <xf numFmtId="0" fontId="271" fillId="0" borderId="258" xfId="5" applyFont="1" applyBorder="1" applyAlignment="1">
      <alignment horizontal="left" vertical="center"/>
    </xf>
    <xf numFmtId="0" fontId="32" fillId="0" borderId="50" xfId="5" applyFont="1" applyBorder="1" applyAlignment="1">
      <alignment horizontal="left" vertical="center"/>
    </xf>
    <xf numFmtId="0" fontId="32" fillId="0" borderId="50" xfId="5" applyFont="1" applyBorder="1" applyAlignment="1">
      <alignment horizontal="left" vertical="center" indent="1"/>
    </xf>
    <xf numFmtId="170" fontId="271" fillId="0" borderId="109" xfId="5" applyNumberFormat="1" applyFont="1" applyBorder="1" applyAlignment="1" applyProtection="1">
      <alignment horizontal="right" vertical="center" indent="1"/>
      <protection locked="0"/>
    </xf>
    <xf numFmtId="170" fontId="271" fillId="0" borderId="71" xfId="5" applyNumberFormat="1" applyFont="1" applyBorder="1" applyAlignment="1" applyProtection="1">
      <alignment horizontal="right" vertical="center" indent="1"/>
      <protection locked="0"/>
    </xf>
    <xf numFmtId="0" fontId="32" fillId="0" borderId="0" xfId="5" applyFont="1" applyAlignment="1">
      <alignment horizontal="left" vertical="center"/>
    </xf>
    <xf numFmtId="0" fontId="32" fillId="3" borderId="263" xfId="5" applyFont="1" applyFill="1" applyBorder="1" applyAlignment="1">
      <alignment vertical="center"/>
    </xf>
    <xf numFmtId="0" fontId="32" fillId="3" borderId="257" xfId="5" applyFont="1" applyFill="1" applyBorder="1" applyAlignment="1">
      <alignment vertical="center"/>
    </xf>
    <xf numFmtId="0" fontId="19" fillId="10" borderId="0" xfId="5" applyFont="1" applyFill="1"/>
    <xf numFmtId="170" fontId="32" fillId="0" borderId="0" xfId="5" applyNumberFormat="1" applyFont="1" applyAlignment="1">
      <alignment horizontal="center"/>
    </xf>
    <xf numFmtId="170" fontId="19" fillId="0" borderId="111" xfId="5" applyNumberFormat="1" applyFont="1" applyBorder="1" applyAlignment="1">
      <alignment horizontal="right" vertical="center" wrapText="1"/>
    </xf>
    <xf numFmtId="170" fontId="19" fillId="0" borderId="6" xfId="5" applyNumberFormat="1" applyFont="1" applyBorder="1" applyAlignment="1">
      <alignment horizontal="right" vertical="center" wrapText="1"/>
    </xf>
    <xf numFmtId="0" fontId="19" fillId="0" borderId="2" xfId="5" applyFont="1" applyBorder="1" applyAlignment="1">
      <alignment vertical="center"/>
    </xf>
    <xf numFmtId="0" fontId="32" fillId="3" borderId="71" xfId="5" applyFont="1" applyFill="1" applyBorder="1" applyAlignment="1">
      <alignment vertical="center"/>
    </xf>
    <xf numFmtId="170" fontId="271" fillId="0" borderId="284" xfId="5" applyNumberFormat="1" applyFont="1" applyBorder="1" applyAlignment="1" applyProtection="1">
      <alignment horizontal="right" vertical="center" indent="1"/>
      <protection locked="0"/>
    </xf>
    <xf numFmtId="170" fontId="271" fillId="0" borderId="269" xfId="5" applyNumberFormat="1" applyFont="1" applyBorder="1" applyAlignment="1" applyProtection="1">
      <alignment horizontal="right" vertical="center" indent="1"/>
      <protection locked="0"/>
    </xf>
    <xf numFmtId="0" fontId="13" fillId="3" borderId="0" xfId="5" applyFont="1" applyFill="1" applyAlignment="1">
      <alignment vertical="center"/>
    </xf>
    <xf numFmtId="0" fontId="13" fillId="0" borderId="0" xfId="5" applyFont="1" applyAlignment="1">
      <alignment vertical="center"/>
    </xf>
    <xf numFmtId="1" fontId="42" fillId="3" borderId="0" xfId="5" applyNumberFormat="1" applyFont="1" applyFill="1"/>
    <xf numFmtId="1" fontId="80" fillId="3" borderId="0" xfId="1" applyNumberFormat="1" applyFont="1" applyFill="1" applyBorder="1" applyAlignment="1" applyProtection="1">
      <alignment horizontal="centerContinuous"/>
    </xf>
    <xf numFmtId="1" fontId="65" fillId="18" borderId="0" xfId="5" applyNumberFormat="1" applyFont="1" applyFill="1" applyAlignment="1">
      <alignment horizontal="centerContinuous"/>
    </xf>
    <xf numFmtId="1" fontId="19" fillId="0" borderId="280" xfId="5" applyNumberFormat="1" applyFont="1" applyBorder="1" applyAlignment="1">
      <alignment horizontal="center" vertical="center"/>
    </xf>
    <xf numFmtId="1" fontId="32" fillId="0" borderId="280" xfId="5" applyNumberFormat="1" applyFont="1" applyBorder="1" applyAlignment="1">
      <alignment horizontal="center"/>
    </xf>
    <xf numFmtId="1" fontId="32" fillId="0" borderId="280" xfId="5" applyNumberFormat="1" applyFont="1" applyBorder="1" applyAlignment="1">
      <alignment horizontal="center" vertical="center"/>
    </xf>
    <xf numFmtId="1" fontId="271" fillId="0" borderId="280" xfId="5" applyNumberFormat="1" applyFont="1" applyBorder="1" applyAlignment="1">
      <alignment horizontal="center" vertical="center"/>
    </xf>
    <xf numFmtId="1" fontId="19" fillId="0" borderId="280" xfId="5" applyNumberFormat="1" applyFont="1" applyBorder="1" applyAlignment="1">
      <alignment horizontal="left" vertical="center" indent="2"/>
    </xf>
    <xf numFmtId="1" fontId="32" fillId="0" borderId="280" xfId="5" applyNumberFormat="1" applyFont="1" applyBorder="1" applyAlignment="1">
      <alignment horizontal="left" vertical="center" indent="2"/>
    </xf>
    <xf numFmtId="1" fontId="19" fillId="0" borderId="113" xfId="5" applyNumberFormat="1" applyFont="1" applyBorder="1" applyAlignment="1">
      <alignment horizontal="center" vertical="center"/>
    </xf>
    <xf numFmtId="1" fontId="32" fillId="0" borderId="40" xfId="5" applyNumberFormat="1" applyFont="1" applyBorder="1" applyAlignment="1">
      <alignment horizontal="center" vertical="center"/>
    </xf>
    <xf numFmtId="1" fontId="19" fillId="0" borderId="39" xfId="5" applyNumberFormat="1" applyFont="1" applyBorder="1" applyAlignment="1">
      <alignment horizontal="center" vertical="center"/>
    </xf>
    <xf numFmtId="1" fontId="32" fillId="0" borderId="280" xfId="5" applyNumberFormat="1" applyFont="1" applyBorder="1" applyAlignment="1">
      <alignment vertical="center"/>
    </xf>
    <xf numFmtId="1" fontId="32" fillId="0" borderId="40" xfId="5" applyNumberFormat="1" applyFont="1" applyBorder="1" applyAlignment="1">
      <alignment vertical="center"/>
    </xf>
    <xf numFmtId="1" fontId="19" fillId="18" borderId="39" xfId="5" applyNumberFormat="1" applyFont="1" applyFill="1" applyBorder="1" applyAlignment="1">
      <alignment horizontal="center" vertical="center"/>
    </xf>
    <xf numFmtId="1" fontId="32" fillId="0" borderId="24" xfId="5" applyNumberFormat="1" applyFont="1" applyBorder="1"/>
    <xf numFmtId="1" fontId="19" fillId="0" borderId="24" xfId="5" applyNumberFormat="1" applyFont="1" applyBorder="1" applyAlignment="1">
      <alignment horizontal="left" vertical="center" indent="1"/>
    </xf>
    <xf numFmtId="1" fontId="32" fillId="0" borderId="0" xfId="5" applyNumberFormat="1" applyFont="1"/>
    <xf numFmtId="1" fontId="2" fillId="0" borderId="0" xfId="5" applyNumberFormat="1" applyFont="1"/>
    <xf numFmtId="0" fontId="153" fillId="22" borderId="0" xfId="5" applyFont="1" applyFill="1" applyAlignment="1">
      <alignment horizontal="center" vertical="center"/>
    </xf>
    <xf numFmtId="1" fontId="244" fillId="25" borderId="39" xfId="1" applyNumberFormat="1" applyFont="1" applyFill="1" applyBorder="1" applyAlignment="1" applyProtection="1">
      <alignment vertical="center"/>
    </xf>
    <xf numFmtId="0" fontId="244" fillId="25" borderId="41" xfId="1" applyFont="1" applyFill="1" applyBorder="1" applyAlignment="1" applyProtection="1">
      <alignment vertical="center"/>
    </xf>
    <xf numFmtId="1" fontId="13" fillId="25" borderId="40" xfId="5" applyNumberFormat="1" applyFont="1" applyFill="1" applyBorder="1" applyAlignment="1">
      <alignment vertical="center"/>
    </xf>
    <xf numFmtId="0" fontId="244" fillId="25" borderId="50" xfId="1" applyFont="1" applyFill="1" applyBorder="1" applyAlignment="1" applyProtection="1">
      <alignment vertical="center"/>
    </xf>
    <xf numFmtId="0" fontId="13" fillId="25" borderId="50" xfId="5" applyFont="1" applyFill="1" applyBorder="1" applyAlignment="1">
      <alignment vertical="center"/>
    </xf>
    <xf numFmtId="170" fontId="16" fillId="30" borderId="114" xfId="5" applyNumberFormat="1" applyFont="1" applyFill="1" applyBorder="1" applyAlignment="1">
      <alignment horizontal="right" vertical="center"/>
    </xf>
    <xf numFmtId="170" fontId="16" fillId="30" borderId="71" xfId="5" applyNumberFormat="1" applyFont="1" applyFill="1" applyBorder="1" applyAlignment="1">
      <alignment horizontal="right" vertical="center"/>
    </xf>
    <xf numFmtId="0" fontId="32" fillId="18" borderId="0" xfId="0" applyFont="1" applyFill="1" applyAlignment="1">
      <alignment horizontal="center"/>
    </xf>
    <xf numFmtId="0" fontId="32" fillId="18" borderId="0" xfId="0" applyFont="1" applyFill="1"/>
    <xf numFmtId="0" fontId="32" fillId="0" borderId="0" xfId="0" applyFont="1"/>
    <xf numFmtId="0" fontId="32" fillId="18" borderId="0" xfId="0" applyFont="1" applyFill="1" applyAlignment="1">
      <alignment vertical="center"/>
    </xf>
    <xf numFmtId="3" fontId="16" fillId="13" borderId="14" xfId="0" applyNumberFormat="1" applyFont="1" applyFill="1" applyBorder="1" applyAlignment="1">
      <alignment horizontal="center" vertical="center"/>
    </xf>
    <xf numFmtId="3" fontId="16" fillId="13" borderId="15" xfId="0" applyNumberFormat="1" applyFont="1" applyFill="1" applyBorder="1" applyAlignment="1">
      <alignment horizontal="center" vertical="center"/>
    </xf>
    <xf numFmtId="3" fontId="89" fillId="3" borderId="0" xfId="0" applyNumberFormat="1" applyFont="1" applyFill="1" applyAlignment="1">
      <alignment horizontal="center" vertical="center"/>
    </xf>
    <xf numFmtId="0" fontId="278" fillId="3" borderId="0" xfId="0" applyFont="1" applyFill="1" applyAlignment="1">
      <alignment horizontal="center" vertical="center"/>
    </xf>
    <xf numFmtId="0" fontId="16" fillId="27" borderId="0" xfId="0" applyFont="1" applyFill="1" applyAlignment="1">
      <alignment horizontal="center" vertical="center"/>
    </xf>
    <xf numFmtId="0" fontId="16" fillId="27" borderId="0" xfId="0" applyFont="1" applyFill="1" applyAlignment="1">
      <alignment horizontal="left" vertical="center" indent="1"/>
    </xf>
    <xf numFmtId="3" fontId="24" fillId="27" borderId="22" xfId="0" applyNumberFormat="1" applyFont="1" applyFill="1" applyBorder="1" applyAlignment="1">
      <alignment horizontal="center" vertical="center"/>
    </xf>
    <xf numFmtId="0" fontId="13" fillId="27" borderId="65" xfId="0" applyFont="1" applyFill="1" applyBorder="1" applyAlignment="1">
      <alignment horizontal="left" vertical="center" indent="1" shrinkToFit="1"/>
    </xf>
    <xf numFmtId="0" fontId="32" fillId="29" borderId="60" xfId="0" quotePrefix="1" applyFont="1" applyFill="1" applyBorder="1" applyAlignment="1">
      <alignment horizontal="left" vertical="center" indent="1"/>
    </xf>
    <xf numFmtId="0" fontId="24" fillId="29" borderId="52" xfId="0" applyFont="1" applyFill="1" applyBorder="1" applyAlignment="1">
      <alignment horizontal="left" vertical="center" indent="1" shrinkToFit="1"/>
    </xf>
    <xf numFmtId="3" fontId="24" fillId="29" borderId="73" xfId="0" applyNumberFormat="1" applyFont="1" applyFill="1" applyBorder="1" applyAlignment="1">
      <alignment horizontal="right" vertical="center" indent="2" shrinkToFit="1"/>
    </xf>
    <xf numFmtId="3" fontId="24" fillId="29" borderId="74" xfId="0" applyNumberFormat="1" applyFont="1" applyFill="1" applyBorder="1" applyAlignment="1">
      <alignment horizontal="right" vertical="center" indent="2" shrinkToFit="1"/>
    </xf>
    <xf numFmtId="3" fontId="24" fillId="29" borderId="52" xfId="0" applyNumberFormat="1" applyFont="1" applyFill="1" applyBorder="1" applyAlignment="1">
      <alignment horizontal="right" vertical="center" indent="2" shrinkToFit="1"/>
    </xf>
    <xf numFmtId="3" fontId="24" fillId="29" borderId="75" xfId="0" applyNumberFormat="1" applyFont="1" applyFill="1" applyBorder="1" applyAlignment="1">
      <alignment horizontal="right" vertical="center" indent="2" shrinkToFit="1"/>
    </xf>
    <xf numFmtId="3" fontId="24" fillId="29" borderId="76" xfId="0" applyNumberFormat="1" applyFont="1" applyFill="1" applyBorder="1" applyAlignment="1">
      <alignment horizontal="right" vertical="center" indent="2" shrinkToFit="1"/>
    </xf>
    <xf numFmtId="0" fontId="32" fillId="18" borderId="0" xfId="0" applyFont="1" applyFill="1" applyAlignment="1">
      <alignment horizontal="center" vertical="center"/>
    </xf>
    <xf numFmtId="0" fontId="13" fillId="18" borderId="40" xfId="0" applyFont="1" applyFill="1" applyBorder="1" applyAlignment="1">
      <alignment horizontal="left" vertical="center" indent="1"/>
    </xf>
    <xf numFmtId="49" fontId="19" fillId="24" borderId="58" xfId="0" quotePrefix="1" applyNumberFormat="1" applyFont="1" applyFill="1" applyBorder="1" applyAlignment="1">
      <alignment horizontal="left" vertical="center" indent="1"/>
    </xf>
    <xf numFmtId="0" fontId="19" fillId="24" borderId="8" xfId="0" applyFont="1" applyFill="1" applyBorder="1" applyAlignment="1">
      <alignment horizontal="left" vertical="center" wrapText="1" indent="1"/>
    </xf>
    <xf numFmtId="0" fontId="19" fillId="29" borderId="59" xfId="0" quotePrefix="1" applyFont="1" applyFill="1" applyBorder="1" applyAlignment="1">
      <alignment horizontal="left" vertical="center" indent="1"/>
    </xf>
    <xf numFmtId="0" fontId="19" fillId="29" borderId="228" xfId="0" applyFont="1" applyFill="1" applyBorder="1" applyAlignment="1">
      <alignment horizontal="left" vertical="center" indent="2"/>
    </xf>
    <xf numFmtId="0" fontId="19" fillId="18" borderId="59" xfId="0" quotePrefix="1" applyFont="1" applyFill="1" applyBorder="1" applyAlignment="1">
      <alignment horizontal="left" vertical="center" indent="1"/>
    </xf>
    <xf numFmtId="0" fontId="19" fillId="18" borderId="293" xfId="0" quotePrefix="1" applyFont="1" applyFill="1" applyBorder="1" applyAlignment="1">
      <alignment horizontal="left" vertical="center" indent="1"/>
    </xf>
    <xf numFmtId="0" fontId="19" fillId="24" borderId="58" xfId="0" quotePrefix="1" applyFont="1" applyFill="1" applyBorder="1" applyAlignment="1">
      <alignment horizontal="left" vertical="center" indent="1"/>
    </xf>
    <xf numFmtId="0" fontId="19" fillId="24" borderId="139" xfId="0" applyFont="1" applyFill="1" applyBorder="1" applyAlignment="1">
      <alignment horizontal="left" vertical="center" wrapText="1" indent="1"/>
    </xf>
    <xf numFmtId="0" fontId="19" fillId="18" borderId="294" xfId="0" quotePrefix="1" applyFont="1" applyFill="1" applyBorder="1" applyAlignment="1">
      <alignment horizontal="left" vertical="center" indent="1"/>
    </xf>
    <xf numFmtId="0" fontId="19" fillId="18" borderId="228" xfId="0" applyFont="1" applyFill="1" applyBorder="1" applyAlignment="1">
      <alignment horizontal="left" vertical="center" indent="2"/>
    </xf>
    <xf numFmtId="0" fontId="19" fillId="18" borderId="263" xfId="0" applyFont="1" applyFill="1" applyBorder="1" applyAlignment="1">
      <alignment horizontal="left" vertical="center" indent="2"/>
    </xf>
    <xf numFmtId="0" fontId="16" fillId="26" borderId="0" xfId="0" applyFont="1" applyFill="1" applyAlignment="1">
      <alignment horizontal="center" vertical="center"/>
    </xf>
    <xf numFmtId="0" fontId="16" fillId="26" borderId="0" xfId="0" applyFont="1" applyFill="1" applyAlignment="1">
      <alignment horizontal="left" vertical="center" indent="1"/>
    </xf>
    <xf numFmtId="49" fontId="16" fillId="26" borderId="22" xfId="0" applyNumberFormat="1" applyFont="1" applyFill="1" applyBorder="1" applyAlignment="1">
      <alignment horizontal="center" vertical="center"/>
    </xf>
    <xf numFmtId="49" fontId="16" fillId="26" borderId="125" xfId="0" applyNumberFormat="1" applyFont="1" applyFill="1" applyBorder="1" applyAlignment="1">
      <alignment horizontal="left" vertical="center" indent="1" shrinkToFit="1"/>
    </xf>
    <xf numFmtId="0" fontId="19" fillId="29" borderId="60" xfId="0" quotePrefix="1" applyFont="1" applyFill="1" applyBorder="1" applyAlignment="1">
      <alignment horizontal="left" vertical="center" indent="1"/>
    </xf>
    <xf numFmtId="168" fontId="24" fillId="29" borderId="73" xfId="0" applyNumberFormat="1" applyFont="1" applyFill="1" applyBorder="1" applyAlignment="1">
      <alignment vertical="center" shrinkToFit="1"/>
    </xf>
    <xf numFmtId="168" fontId="24" fillId="29" borderId="75" xfId="0" applyNumberFormat="1" applyFont="1" applyFill="1" applyBorder="1" applyAlignment="1">
      <alignment vertical="center" shrinkToFit="1"/>
    </xf>
    <xf numFmtId="0" fontId="13" fillId="18" borderId="0" xfId="0" applyFont="1" applyFill="1" applyAlignment="1">
      <alignment horizontal="center"/>
    </xf>
    <xf numFmtId="0" fontId="153" fillId="22" borderId="0" xfId="0" applyFont="1" applyFill="1" applyAlignment="1">
      <alignment horizontal="center" vertical="center"/>
    </xf>
    <xf numFmtId="0" fontId="13" fillId="18" borderId="0" xfId="0" applyFont="1" applyFill="1"/>
    <xf numFmtId="0" fontId="13" fillId="0" borderId="0" xfId="0" applyFont="1" applyAlignment="1">
      <alignment horizontal="center"/>
    </xf>
    <xf numFmtId="3" fontId="13" fillId="24" borderId="9" xfId="0" applyNumberFormat="1" applyFont="1" applyFill="1" applyBorder="1" applyAlignment="1">
      <alignment horizontal="center" vertical="center" wrapText="1" shrinkToFit="1"/>
    </xf>
    <xf numFmtId="3" fontId="16" fillId="24" borderId="9" xfId="0" applyNumberFormat="1" applyFont="1" applyFill="1" applyBorder="1" applyAlignment="1">
      <alignment horizontal="center" vertical="center" wrapText="1"/>
    </xf>
    <xf numFmtId="3" fontId="16" fillId="24" borderId="26" xfId="0" applyNumberFormat="1" applyFont="1" applyFill="1" applyBorder="1" applyAlignment="1">
      <alignment horizontal="center" vertical="center" wrapText="1" shrinkToFit="1"/>
    </xf>
    <xf numFmtId="3" fontId="16" fillId="29" borderId="54" xfId="0" applyNumberFormat="1" applyFont="1" applyFill="1" applyBorder="1" applyAlignment="1">
      <alignment horizontal="center" vertical="center"/>
    </xf>
    <xf numFmtId="3" fontId="16" fillId="29" borderId="137" xfId="0" applyNumberFormat="1" applyFont="1" applyFill="1" applyBorder="1" applyAlignment="1">
      <alignment horizontal="center" vertical="center"/>
    </xf>
    <xf numFmtId="3" fontId="16" fillId="29" borderId="46" xfId="0" applyNumberFormat="1" applyFont="1" applyFill="1" applyBorder="1" applyAlignment="1">
      <alignment horizontal="center" vertical="center"/>
    </xf>
    <xf numFmtId="3" fontId="16" fillId="29" borderId="48" xfId="0" applyNumberFormat="1" applyFont="1" applyFill="1" applyBorder="1" applyAlignment="1">
      <alignment horizontal="center" vertical="center"/>
    </xf>
    <xf numFmtId="3" fontId="16" fillId="29" borderId="29" xfId="0" applyNumberFormat="1" applyFont="1" applyFill="1" applyBorder="1" applyAlignment="1">
      <alignment horizontal="center" vertical="center"/>
    </xf>
    <xf numFmtId="0" fontId="19" fillId="20" borderId="0" xfId="0" applyFont="1" applyFill="1" applyAlignment="1">
      <alignment horizontal="center" vertical="center"/>
    </xf>
    <xf numFmtId="0" fontId="19" fillId="20" borderId="0" xfId="0" applyFont="1" applyFill="1" applyAlignment="1">
      <alignment horizontal="left" vertical="center" indent="1"/>
    </xf>
    <xf numFmtId="49" fontId="19" fillId="20" borderId="17" xfId="0" applyNumberFormat="1" applyFont="1" applyFill="1" applyBorder="1" applyAlignment="1">
      <alignment horizontal="center" vertical="center"/>
    </xf>
    <xf numFmtId="49" fontId="32" fillId="20" borderId="67" xfId="0" applyNumberFormat="1" applyFont="1" applyFill="1" applyBorder="1" applyAlignment="1">
      <alignment horizontal="left" vertical="center" indent="1" shrinkToFit="1"/>
    </xf>
    <xf numFmtId="3" fontId="32" fillId="3" borderId="0" xfId="0" applyNumberFormat="1" applyFont="1" applyFill="1" applyAlignment="1">
      <alignment horizontal="center" vertical="center"/>
    </xf>
    <xf numFmtId="168" fontId="19" fillId="24" borderId="77" xfId="0" applyNumberFormat="1" applyFont="1" applyFill="1" applyBorder="1" applyAlignment="1">
      <alignment vertical="center" shrinkToFit="1"/>
    </xf>
    <xf numFmtId="168" fontId="19" fillId="24" borderId="9" xfId="0" applyNumberFormat="1" applyFont="1" applyFill="1" applyBorder="1" applyAlignment="1">
      <alignment vertical="center" shrinkToFit="1"/>
    </xf>
    <xf numFmtId="168" fontId="19" fillId="24" borderId="8" xfId="0" applyNumberFormat="1" applyFont="1" applyFill="1" applyBorder="1" applyAlignment="1">
      <alignment vertical="center" shrinkToFit="1"/>
    </xf>
    <xf numFmtId="168" fontId="19" fillId="24" borderId="78" xfId="0" applyNumberFormat="1" applyFont="1" applyFill="1" applyBorder="1" applyAlignment="1">
      <alignment vertical="center" shrinkToFit="1"/>
    </xf>
    <xf numFmtId="168" fontId="19" fillId="24" borderId="26" xfId="0" applyNumberFormat="1" applyFont="1" applyFill="1" applyBorder="1" applyAlignment="1">
      <alignment vertical="center" shrinkToFit="1"/>
    </xf>
    <xf numFmtId="0" fontId="19" fillId="0" borderId="0" xfId="0" applyFont="1" applyAlignment="1">
      <alignment horizontal="center" vertical="center"/>
    </xf>
    <xf numFmtId="0" fontId="278" fillId="0" borderId="0" xfId="0" applyFont="1" applyAlignment="1">
      <alignment horizontal="left" vertical="center" indent="1"/>
    </xf>
    <xf numFmtId="49" fontId="19" fillId="39" borderId="254" xfId="0" applyNumberFormat="1" applyFont="1" applyFill="1" applyBorder="1" applyAlignment="1">
      <alignment horizontal="center" vertical="center"/>
    </xf>
    <xf numFmtId="49" fontId="279" fillId="29" borderId="255" xfId="0" applyNumberFormat="1" applyFont="1" applyFill="1" applyBorder="1" applyAlignment="1">
      <alignment horizontal="left" vertical="center" indent="1" shrinkToFit="1"/>
    </xf>
    <xf numFmtId="168" fontId="19" fillId="29" borderId="68" xfId="0" applyNumberFormat="1" applyFont="1" applyFill="1" applyBorder="1" applyAlignment="1">
      <alignment vertical="center" shrinkToFit="1"/>
    </xf>
    <xf numFmtId="168" fontId="19" fillId="29" borderId="69" xfId="0" applyNumberFormat="1" applyFont="1" applyFill="1" applyBorder="1" applyAlignment="1">
      <alignment vertical="center" shrinkToFit="1"/>
    </xf>
    <xf numFmtId="168" fontId="19" fillId="29" borderId="228" xfId="0" applyNumberFormat="1" applyFont="1" applyFill="1" applyBorder="1" applyAlignment="1">
      <alignment vertical="center" shrinkToFit="1"/>
    </xf>
    <xf numFmtId="168" fontId="19" fillId="29" borderId="79" xfId="0" applyNumberFormat="1" applyFont="1" applyFill="1" applyBorder="1" applyAlignment="1">
      <alignment vertical="center" shrinkToFit="1"/>
    </xf>
    <xf numFmtId="168" fontId="19" fillId="29" borderId="56" xfId="0" applyNumberFormat="1" applyFont="1" applyFill="1" applyBorder="1" applyAlignment="1">
      <alignment vertical="center" shrinkToFit="1"/>
    </xf>
    <xf numFmtId="0" fontId="19" fillId="0" borderId="0" xfId="0" applyFont="1" applyAlignment="1">
      <alignment horizontal="left" vertical="center" indent="1"/>
    </xf>
    <xf numFmtId="49" fontId="19" fillId="0" borderId="254" xfId="0" applyNumberFormat="1" applyFont="1" applyBorder="1" applyAlignment="1">
      <alignment horizontal="center" vertical="center"/>
    </xf>
    <xf numFmtId="49" fontId="32" fillId="0" borderId="255" xfId="0" applyNumberFormat="1" applyFont="1" applyBorder="1" applyAlignment="1">
      <alignment horizontal="left" vertical="center" indent="1" shrinkToFit="1"/>
    </xf>
    <xf numFmtId="3" fontId="19" fillId="18" borderId="228" xfId="0" applyNumberFormat="1" applyFont="1" applyFill="1" applyBorder="1" applyAlignment="1">
      <alignment horizontal="left" vertical="center" wrapText="1" indent="4"/>
    </xf>
    <xf numFmtId="168" fontId="271" fillId="18" borderId="68" xfId="0" applyNumberFormat="1" applyFont="1" applyFill="1" applyBorder="1" applyAlignment="1" applyProtection="1">
      <alignment vertical="center" shrinkToFit="1"/>
      <protection locked="0"/>
    </xf>
    <xf numFmtId="168" fontId="271" fillId="18" borderId="69" xfId="0" applyNumberFormat="1" applyFont="1" applyFill="1" applyBorder="1" applyAlignment="1" applyProtection="1">
      <alignment vertical="center" shrinkToFit="1"/>
      <protection locked="0"/>
    </xf>
    <xf numFmtId="168" fontId="19" fillId="18" borderId="79" xfId="0" applyNumberFormat="1" applyFont="1" applyFill="1" applyBorder="1" applyAlignment="1">
      <alignment vertical="center" shrinkToFit="1"/>
    </xf>
    <xf numFmtId="168" fontId="271" fillId="18" borderId="56" xfId="0" applyNumberFormat="1" applyFont="1" applyFill="1" applyBorder="1" applyAlignment="1" applyProtection="1">
      <alignment vertical="center" shrinkToFit="1"/>
      <protection locked="0"/>
    </xf>
    <xf numFmtId="49" fontId="19" fillId="0" borderId="20" xfId="0" applyNumberFormat="1" applyFont="1" applyBorder="1" applyAlignment="1">
      <alignment horizontal="center" vertical="center"/>
    </xf>
    <xf numFmtId="49" fontId="32" fillId="0" borderId="285" xfId="0" applyNumberFormat="1" applyFont="1" applyBorder="1" applyAlignment="1">
      <alignment horizontal="left" vertical="center" indent="1" shrinkToFit="1"/>
    </xf>
    <xf numFmtId="168" fontId="271" fillId="18" borderId="228" xfId="0" applyNumberFormat="1" applyFont="1" applyFill="1" applyBorder="1" applyAlignment="1" applyProtection="1">
      <alignment vertical="center" shrinkToFit="1"/>
      <protection locked="0"/>
    </xf>
    <xf numFmtId="49" fontId="279" fillId="29" borderId="292" xfId="0" applyNumberFormat="1" applyFont="1" applyFill="1" applyBorder="1" applyAlignment="1">
      <alignment horizontal="left" vertical="center" indent="1" shrinkToFit="1"/>
    </xf>
    <xf numFmtId="49" fontId="19" fillId="0" borderId="16" xfId="0" applyNumberFormat="1" applyFont="1" applyBorder="1" applyAlignment="1">
      <alignment horizontal="center" vertical="center"/>
    </xf>
    <xf numFmtId="49" fontId="32" fillId="20" borderId="64" xfId="0" applyNumberFormat="1" applyFont="1" applyFill="1" applyBorder="1" applyAlignment="1">
      <alignment horizontal="left" vertical="center" indent="1" shrinkToFit="1"/>
    </xf>
    <xf numFmtId="168" fontId="19" fillId="24" borderId="80" xfId="0" applyNumberFormat="1" applyFont="1" applyFill="1" applyBorder="1" applyAlignment="1">
      <alignment vertical="center" shrinkToFit="1"/>
    </xf>
    <xf numFmtId="168" fontId="19" fillId="24" borderId="6" xfId="0" applyNumberFormat="1" applyFont="1" applyFill="1" applyBorder="1" applyAlignment="1">
      <alignment vertical="center" shrinkToFit="1"/>
    </xf>
    <xf numFmtId="168" fontId="19" fillId="24" borderId="4" xfId="0" applyNumberFormat="1" applyFont="1" applyFill="1" applyBorder="1" applyAlignment="1">
      <alignment vertical="center" shrinkToFit="1"/>
    </xf>
    <xf numFmtId="168" fontId="19" fillId="24" borderId="81" xfId="0" applyNumberFormat="1" applyFont="1" applyFill="1" applyBorder="1" applyAlignment="1">
      <alignment vertical="center" shrinkToFit="1"/>
    </xf>
    <xf numFmtId="168" fontId="19" fillId="24" borderId="27" xfId="0" applyNumberFormat="1" applyFont="1" applyFill="1" applyBorder="1" applyAlignment="1">
      <alignment vertical="center" shrinkToFit="1"/>
    </xf>
    <xf numFmtId="49" fontId="32" fillId="0" borderId="254" xfId="0" applyNumberFormat="1" applyFont="1" applyBorder="1" applyAlignment="1">
      <alignment horizontal="center" vertical="center"/>
    </xf>
    <xf numFmtId="168" fontId="19" fillId="18" borderId="265" xfId="0" applyNumberFormat="1" applyFont="1" applyFill="1" applyBorder="1" applyAlignment="1">
      <alignment vertical="center" shrinkToFit="1"/>
    </xf>
    <xf numFmtId="49" fontId="32" fillId="0" borderId="295" xfId="0" applyNumberFormat="1" applyFont="1" applyBorder="1" applyAlignment="1">
      <alignment horizontal="center" vertical="center"/>
    </xf>
    <xf numFmtId="168" fontId="271" fillId="18" borderId="262" xfId="0" applyNumberFormat="1" applyFont="1" applyFill="1" applyBorder="1" applyAlignment="1" applyProtection="1">
      <alignment vertical="center" shrinkToFit="1"/>
      <protection locked="0"/>
    </xf>
    <xf numFmtId="168" fontId="271" fillId="18" borderId="274" xfId="0" applyNumberFormat="1" applyFont="1" applyFill="1" applyBorder="1" applyAlignment="1" applyProtection="1">
      <alignment vertical="center" shrinkToFit="1"/>
      <protection locked="0"/>
    </xf>
    <xf numFmtId="0" fontId="32" fillId="3" borderId="0" xfId="0" applyFont="1" applyFill="1" applyAlignment="1">
      <alignment horizontal="center" vertical="center"/>
    </xf>
    <xf numFmtId="0" fontId="277" fillId="3" borderId="39" xfId="0" applyFont="1" applyFill="1" applyBorder="1" applyAlignment="1">
      <alignment horizontal="left" vertical="center" indent="1"/>
    </xf>
    <xf numFmtId="0" fontId="32" fillId="3" borderId="41" xfId="0" applyFont="1" applyFill="1" applyBorder="1" applyAlignment="1">
      <alignment vertical="center" wrapText="1"/>
    </xf>
    <xf numFmtId="0" fontId="32" fillId="3" borderId="41" xfId="0" applyFont="1" applyFill="1" applyBorder="1" applyAlignment="1">
      <alignment horizontal="left"/>
    </xf>
    <xf numFmtId="0" fontId="32" fillId="3" borderId="42" xfId="0" applyFont="1" applyFill="1" applyBorder="1" applyAlignment="1">
      <alignment horizontal="left"/>
    </xf>
    <xf numFmtId="0" fontId="32" fillId="18" borderId="24" xfId="0" applyFont="1" applyFill="1" applyBorder="1" applyAlignment="1">
      <alignment horizontal="left" vertical="center" indent="1"/>
    </xf>
    <xf numFmtId="0" fontId="32" fillId="3" borderId="0" xfId="0" applyFont="1" applyFill="1" applyAlignment="1">
      <alignment vertical="center" wrapText="1"/>
    </xf>
    <xf numFmtId="0" fontId="32" fillId="3" borderId="0" xfId="0" applyFont="1" applyFill="1" applyAlignment="1">
      <alignment horizontal="left"/>
    </xf>
    <xf numFmtId="0" fontId="32" fillId="3" borderId="43" xfId="0" applyFont="1" applyFill="1" applyBorder="1" applyAlignment="1">
      <alignment horizontal="left"/>
    </xf>
    <xf numFmtId="0" fontId="32" fillId="18" borderId="24" xfId="0" applyFont="1" applyFill="1" applyBorder="1" applyAlignment="1">
      <alignment horizontal="left" vertical="center"/>
    </xf>
    <xf numFmtId="0" fontId="32" fillId="18" borderId="40" xfId="0" applyFont="1" applyFill="1" applyBorder="1" applyAlignment="1">
      <alignment horizontal="left" vertical="center" indent="1"/>
    </xf>
    <xf numFmtId="0" fontId="32" fillId="3" borderId="50" xfId="0" applyFont="1" applyFill="1" applyBorder="1" applyAlignment="1">
      <alignment vertical="center" wrapText="1"/>
    </xf>
    <xf numFmtId="0" fontId="32" fillId="3" borderId="50" xfId="0" applyFont="1" applyFill="1" applyBorder="1" applyAlignment="1">
      <alignment horizontal="left"/>
    </xf>
    <xf numFmtId="0" fontId="32" fillId="3" borderId="44" xfId="0" applyFont="1" applyFill="1" applyBorder="1" applyAlignment="1">
      <alignment horizontal="left"/>
    </xf>
    <xf numFmtId="0" fontId="13" fillId="18" borderId="0" xfId="0" applyFont="1" applyFill="1" applyAlignment="1">
      <alignment horizontal="center" vertical="center"/>
    </xf>
    <xf numFmtId="3" fontId="266" fillId="18" borderId="0" xfId="0" applyNumberFormat="1" applyFont="1" applyFill="1" applyAlignment="1">
      <alignment horizontal="center" vertical="center" wrapText="1"/>
    </xf>
    <xf numFmtId="3" fontId="13" fillId="13" borderId="119" xfId="0" applyNumberFormat="1" applyFont="1" applyFill="1" applyBorder="1" applyAlignment="1">
      <alignment horizontal="center" vertical="center"/>
    </xf>
    <xf numFmtId="3" fontId="13" fillId="13" borderId="120" xfId="0" applyNumberFormat="1" applyFont="1" applyFill="1" applyBorder="1" applyAlignment="1">
      <alignment horizontal="center" vertical="center"/>
    </xf>
    <xf numFmtId="0" fontId="16" fillId="20" borderId="20" xfId="0" applyFont="1" applyFill="1" applyBorder="1" applyAlignment="1">
      <alignment horizontal="center" vertical="center"/>
    </xf>
    <xf numFmtId="0" fontId="16" fillId="20" borderId="18" xfId="0" applyFont="1" applyFill="1" applyBorder="1" applyAlignment="1">
      <alignment horizontal="center" vertical="center"/>
    </xf>
    <xf numFmtId="0" fontId="16" fillId="24" borderId="87" xfId="0" applyFont="1" applyFill="1" applyBorder="1" applyAlignment="1">
      <alignment horizontal="center" vertical="center"/>
    </xf>
    <xf numFmtId="0" fontId="16" fillId="36" borderId="88" xfId="0" applyFont="1" applyFill="1" applyBorder="1" applyAlignment="1">
      <alignment horizontal="center" vertical="center"/>
    </xf>
    <xf numFmtId="0" fontId="16" fillId="24" borderId="23" xfId="0" applyFont="1" applyFill="1" applyBorder="1" applyAlignment="1">
      <alignment horizontal="left" vertical="center" indent="3"/>
    </xf>
    <xf numFmtId="1" fontId="32" fillId="24" borderId="92" xfId="0" applyNumberFormat="1" applyFont="1" applyFill="1" applyBorder="1" applyAlignment="1">
      <alignment horizontal="center" vertical="center"/>
    </xf>
    <xf numFmtId="2" fontId="16" fillId="24" borderId="49" xfId="0" applyNumberFormat="1" applyFont="1" applyFill="1" applyBorder="1" applyAlignment="1">
      <alignment horizontal="right" vertical="center" indent="4"/>
    </xf>
    <xf numFmtId="0" fontId="13" fillId="0" borderId="255" xfId="0" applyFont="1" applyBorder="1" applyAlignment="1">
      <alignment horizontal="center" vertical="center"/>
    </xf>
    <xf numFmtId="0" fontId="13" fillId="0" borderId="68" xfId="0" applyFont="1" applyBorder="1" applyAlignment="1">
      <alignment horizontal="center" vertical="center"/>
    </xf>
    <xf numFmtId="0" fontId="13" fillId="0" borderId="69" xfId="0" applyFont="1" applyBorder="1" applyAlignment="1" applyProtection="1">
      <alignment horizontal="center" vertical="center"/>
      <protection locked="0"/>
    </xf>
    <xf numFmtId="0" fontId="280" fillId="0" borderId="228" xfId="0" applyFont="1" applyBorder="1" applyAlignment="1" applyProtection="1">
      <alignment horizontal="left" vertical="center" indent="7"/>
      <protection locked="0"/>
    </xf>
    <xf numFmtId="1" fontId="281" fillId="0" borderId="106" xfId="0" applyNumberFormat="1" applyFont="1" applyBorder="1" applyAlignment="1">
      <alignment horizontal="center" vertical="center"/>
    </xf>
    <xf numFmtId="2" fontId="282" fillId="0" borderId="56" xfId="0" applyNumberFormat="1" applyFont="1" applyBorder="1" applyAlignment="1" applyProtection="1">
      <alignment horizontal="right" vertical="center" indent="4"/>
      <protection locked="0"/>
    </xf>
    <xf numFmtId="0" fontId="13" fillId="0" borderId="256" xfId="0" applyFont="1" applyBorder="1" applyAlignment="1">
      <alignment horizontal="center" vertical="center"/>
    </xf>
    <xf numFmtId="0" fontId="13" fillId="0" borderId="257" xfId="0" applyFont="1" applyBorder="1" applyAlignment="1" applyProtection="1">
      <alignment horizontal="center" vertical="center"/>
      <protection locked="0"/>
    </xf>
    <xf numFmtId="0" fontId="280" fillId="0" borderId="258" xfId="0" applyFont="1" applyBorder="1" applyAlignment="1" applyProtection="1">
      <alignment horizontal="left" vertical="center" indent="7"/>
      <protection locked="0"/>
    </xf>
    <xf numFmtId="1" fontId="281" fillId="0" borderId="259" xfId="0" applyNumberFormat="1" applyFont="1" applyBorder="1" applyAlignment="1">
      <alignment horizontal="center" vertical="center"/>
    </xf>
    <xf numFmtId="2" fontId="282" fillId="0" borderId="260" xfId="0" applyNumberFormat="1" applyFont="1" applyBorder="1" applyAlignment="1" applyProtection="1">
      <alignment horizontal="right" vertical="center" indent="4"/>
      <protection locked="0"/>
    </xf>
    <xf numFmtId="2" fontId="282" fillId="0" borderId="43" xfId="0" applyNumberFormat="1" applyFont="1" applyBorder="1" applyAlignment="1" applyProtection="1">
      <alignment horizontal="right" vertical="center" indent="4"/>
      <protection locked="0"/>
    </xf>
    <xf numFmtId="0" fontId="13" fillId="0" borderId="261" xfId="0" applyFont="1" applyBorder="1" applyAlignment="1">
      <alignment horizontal="center" vertical="center"/>
    </xf>
    <xf numFmtId="0" fontId="13" fillId="0" borderId="262" xfId="0" applyFont="1" applyBorder="1" applyAlignment="1" applyProtection="1">
      <alignment horizontal="center" vertical="center"/>
      <protection locked="0"/>
    </xf>
    <xf numFmtId="0" fontId="280" fillId="0" borderId="263" xfId="0" applyFont="1" applyBorder="1" applyAlignment="1" applyProtection="1">
      <alignment horizontal="left" vertical="center" indent="7"/>
      <protection locked="0"/>
    </xf>
    <xf numFmtId="1" fontId="281" fillId="0" borderId="264" xfId="0" applyNumberFormat="1" applyFont="1" applyBorder="1" applyAlignment="1">
      <alignment horizontal="center" vertical="center"/>
    </xf>
    <xf numFmtId="2" fontId="282" fillId="0" borderId="265" xfId="0" applyNumberFormat="1" applyFont="1" applyBorder="1" applyAlignment="1" applyProtection="1">
      <alignment horizontal="right" vertical="center" indent="4"/>
      <protection locked="0"/>
    </xf>
    <xf numFmtId="0" fontId="16" fillId="20" borderId="254" xfId="0" applyFont="1" applyFill="1" applyBorder="1" applyAlignment="1">
      <alignment horizontal="center" vertical="center"/>
    </xf>
    <xf numFmtId="0" fontId="19" fillId="18" borderId="0" xfId="0" applyFont="1" applyFill="1" applyAlignment="1">
      <alignment horizontal="center" vertical="center"/>
    </xf>
    <xf numFmtId="0" fontId="16" fillId="24" borderId="80" xfId="0" applyFont="1" applyFill="1" applyBorder="1" applyAlignment="1">
      <alignment horizontal="center" vertical="center"/>
    </xf>
    <xf numFmtId="0" fontId="16" fillId="37" borderId="6" xfId="0" applyFont="1" applyFill="1" applyBorder="1" applyAlignment="1">
      <alignment horizontal="center" vertical="center"/>
    </xf>
    <xf numFmtId="0" fontId="16" fillId="24" borderId="4" xfId="0" applyFont="1" applyFill="1" applyBorder="1" applyAlignment="1">
      <alignment horizontal="left" vertical="center" indent="3"/>
    </xf>
    <xf numFmtId="1" fontId="32" fillId="24" borderId="94" xfId="0" applyNumberFormat="1" applyFont="1" applyFill="1" applyBorder="1" applyAlignment="1">
      <alignment horizontal="center" vertical="center"/>
    </xf>
    <xf numFmtId="2" fontId="16" fillId="24" borderId="27" xfId="0" applyNumberFormat="1" applyFont="1" applyFill="1" applyBorder="1" applyAlignment="1">
      <alignment horizontal="right" vertical="center" indent="4"/>
    </xf>
    <xf numFmtId="0" fontId="13" fillId="1" borderId="69" xfId="0" applyFont="1" applyFill="1" applyBorder="1" applyAlignment="1">
      <alignment horizontal="center" vertical="center"/>
    </xf>
    <xf numFmtId="1" fontId="281" fillId="0" borderId="259" xfId="0" applyNumberFormat="1" applyFont="1" applyBorder="1" applyAlignment="1" applyProtection="1">
      <alignment horizontal="center" vertical="center"/>
      <protection locked="0"/>
    </xf>
    <xf numFmtId="0" fontId="13" fillId="1" borderId="257" xfId="0" applyFont="1" applyFill="1" applyBorder="1" applyAlignment="1">
      <alignment horizontal="center" vertical="center"/>
    </xf>
    <xf numFmtId="0" fontId="13" fillId="0" borderId="72" xfId="0" applyFont="1" applyBorder="1" applyAlignment="1">
      <alignment horizontal="center" vertical="center"/>
    </xf>
    <xf numFmtId="0" fontId="13" fillId="1" borderId="11" xfId="0" applyFont="1" applyFill="1" applyBorder="1" applyAlignment="1">
      <alignment horizontal="center" vertical="center"/>
    </xf>
    <xf numFmtId="0" fontId="280" fillId="0" borderId="0" xfId="0" applyFont="1" applyAlignment="1" applyProtection="1">
      <alignment horizontal="left" vertical="center" indent="7"/>
      <protection locked="0"/>
    </xf>
    <xf numFmtId="0" fontId="13" fillId="0" borderId="267" xfId="0" applyFont="1" applyBorder="1" applyAlignment="1">
      <alignment horizontal="center" vertical="center"/>
    </xf>
    <xf numFmtId="0" fontId="13" fillId="0" borderId="268" xfId="0" applyFont="1" applyBorder="1" applyAlignment="1">
      <alignment horizontal="center" vertical="center"/>
    </xf>
    <xf numFmtId="0" fontId="13" fillId="1" borderId="269" xfId="0" applyFont="1" applyFill="1" applyBorder="1" applyAlignment="1">
      <alignment horizontal="center" vertical="center"/>
    </xf>
    <xf numFmtId="0" fontId="280" fillId="0" borderId="270" xfId="0" applyFont="1" applyBorder="1" applyAlignment="1" applyProtection="1">
      <alignment horizontal="left" vertical="center" indent="7"/>
      <protection locked="0"/>
    </xf>
    <xf numFmtId="2" fontId="282" fillId="0" borderId="271" xfId="0" applyNumberFormat="1" applyFont="1" applyBorder="1" applyAlignment="1" applyProtection="1">
      <alignment horizontal="right" vertical="center" indent="4"/>
      <protection locked="0"/>
    </xf>
    <xf numFmtId="0" fontId="280" fillId="18" borderId="41" xfId="0" applyFont="1" applyFill="1" applyBorder="1" applyAlignment="1">
      <alignment horizontal="left" vertical="center" indent="7"/>
    </xf>
    <xf numFmtId="1" fontId="280" fillId="18" borderId="41" xfId="0" applyNumberFormat="1" applyFont="1" applyFill="1" applyBorder="1" applyAlignment="1">
      <alignment horizontal="center" vertical="center"/>
    </xf>
    <xf numFmtId="10" fontId="280" fillId="18" borderId="42" xfId="0" applyNumberFormat="1" applyFont="1" applyFill="1" applyBorder="1" applyAlignment="1">
      <alignment horizontal="right" vertical="center" indent="4"/>
    </xf>
    <xf numFmtId="0" fontId="280" fillId="18" borderId="0" xfId="0" applyFont="1" applyFill="1" applyAlignment="1">
      <alignment horizontal="left" vertical="center" indent="7"/>
    </xf>
    <xf numFmtId="1" fontId="280" fillId="18" borderId="0" xfId="0" applyNumberFormat="1" applyFont="1" applyFill="1" applyAlignment="1">
      <alignment horizontal="center" vertical="center"/>
    </xf>
    <xf numFmtId="10" fontId="280" fillId="18" borderId="43" xfId="0" applyNumberFormat="1" applyFont="1" applyFill="1" applyBorder="1" applyAlignment="1">
      <alignment horizontal="right" vertical="center" indent="4"/>
    </xf>
    <xf numFmtId="0" fontId="13" fillId="18" borderId="50" xfId="0" applyFont="1" applyFill="1" applyBorder="1" applyAlignment="1">
      <alignment horizontal="left" vertical="center" indent="1"/>
    </xf>
    <xf numFmtId="0" fontId="280" fillId="18" borderId="50" xfId="0" applyFont="1" applyFill="1" applyBorder="1" applyAlignment="1">
      <alignment horizontal="left" vertical="center" indent="7"/>
    </xf>
    <xf numFmtId="1" fontId="280" fillId="18" borderId="50" xfId="0" applyNumberFormat="1" applyFont="1" applyFill="1" applyBorder="1" applyAlignment="1">
      <alignment horizontal="center" vertical="center"/>
    </xf>
    <xf numFmtId="10" fontId="280" fillId="18" borderId="44" xfId="0" applyNumberFormat="1" applyFont="1" applyFill="1" applyBorder="1" applyAlignment="1">
      <alignment horizontal="right" vertical="center" indent="4"/>
    </xf>
    <xf numFmtId="10" fontId="280" fillId="18" borderId="0" xfId="0" applyNumberFormat="1" applyFont="1" applyFill="1" applyAlignment="1">
      <alignment horizontal="right" vertical="center" indent="4"/>
    </xf>
    <xf numFmtId="0" fontId="283" fillId="28" borderId="0" xfId="0" applyFont="1" applyFill="1" applyAlignment="1">
      <alignment horizontal="center" vertical="center"/>
    </xf>
    <xf numFmtId="0" fontId="280" fillId="28" borderId="0" xfId="0" applyFont="1" applyFill="1" applyAlignment="1">
      <alignment horizontal="left" vertical="center" indent="7"/>
    </xf>
    <xf numFmtId="1" fontId="280" fillId="28" borderId="0" xfId="0" applyNumberFormat="1" applyFont="1" applyFill="1" applyAlignment="1">
      <alignment horizontal="center" vertical="center"/>
    </xf>
    <xf numFmtId="10" fontId="280" fillId="28" borderId="0" xfId="0" applyNumberFormat="1" applyFont="1" applyFill="1" applyAlignment="1">
      <alignment horizontal="right" vertical="center" indent="4"/>
    </xf>
    <xf numFmtId="0" fontId="13" fillId="0" borderId="106" xfId="0" applyFont="1" applyBorder="1" applyAlignment="1" applyProtection="1">
      <alignment horizontal="center" vertical="center"/>
      <protection locked="0"/>
    </xf>
    <xf numFmtId="0" fontId="13" fillId="0" borderId="259" xfId="0" applyFont="1" applyBorder="1" applyAlignment="1" applyProtection="1">
      <alignment horizontal="center" vertical="center"/>
      <protection locked="0"/>
    </xf>
    <xf numFmtId="0" fontId="13" fillId="0" borderId="264" xfId="0" applyFont="1" applyBorder="1" applyAlignment="1" applyProtection="1">
      <alignment horizontal="center" vertical="center"/>
      <protection locked="0"/>
    </xf>
    <xf numFmtId="0" fontId="13" fillId="0" borderId="16" xfId="0" applyFont="1" applyBorder="1" applyAlignment="1">
      <alignment horizontal="center" vertical="center"/>
    </xf>
    <xf numFmtId="0" fontId="13" fillId="0" borderId="272" xfId="0" applyFont="1" applyBorder="1" applyAlignment="1">
      <alignment horizontal="center" vertical="center"/>
    </xf>
    <xf numFmtId="0" fontId="283" fillId="18" borderId="0" xfId="0" applyFont="1" applyFill="1" applyAlignment="1">
      <alignment horizontal="center" vertical="center"/>
    </xf>
    <xf numFmtId="0" fontId="284" fillId="3" borderId="0" xfId="1" applyFont="1" applyFill="1" applyAlignment="1" applyProtection="1"/>
    <xf numFmtId="1" fontId="32" fillId="24" borderId="82" xfId="0" applyNumberFormat="1" applyFont="1" applyFill="1" applyBorder="1" applyAlignment="1">
      <alignment horizontal="center" vertical="center"/>
    </xf>
    <xf numFmtId="1" fontId="281" fillId="0" borderId="79" xfId="0" applyNumberFormat="1" applyFont="1" applyBorder="1" applyAlignment="1">
      <alignment horizontal="center" vertical="center"/>
    </xf>
    <xf numFmtId="1" fontId="281" fillId="0" borderId="273" xfId="0" applyNumberFormat="1" applyFont="1" applyBorder="1" applyAlignment="1">
      <alignment horizontal="center" vertical="center"/>
    </xf>
    <xf numFmtId="1" fontId="281" fillId="0" borderId="265" xfId="0" applyNumberFormat="1" applyFont="1" applyBorder="1" applyAlignment="1">
      <alignment horizontal="center" vertical="center"/>
    </xf>
    <xf numFmtId="1" fontId="32" fillId="24" borderId="81" xfId="0" applyNumberFormat="1" applyFont="1" applyFill="1" applyBorder="1" applyAlignment="1">
      <alignment horizontal="center" vertical="center"/>
    </xf>
    <xf numFmtId="1" fontId="281" fillId="0" borderId="79" xfId="0" applyNumberFormat="1" applyFont="1" applyBorder="1" applyAlignment="1" applyProtection="1">
      <alignment horizontal="center" vertical="center"/>
      <protection locked="0"/>
    </xf>
    <xf numFmtId="1" fontId="281" fillId="0" borderId="273" xfId="0" applyNumberFormat="1" applyFont="1" applyBorder="1" applyAlignment="1" applyProtection="1">
      <alignment horizontal="center" vertical="center"/>
      <protection locked="0"/>
    </xf>
    <xf numFmtId="1" fontId="281" fillId="0" borderId="265" xfId="0" applyNumberFormat="1" applyFont="1" applyBorder="1" applyAlignment="1" applyProtection="1">
      <alignment horizontal="center" vertical="center"/>
      <protection locked="0"/>
    </xf>
    <xf numFmtId="1" fontId="280" fillId="18" borderId="42" xfId="0" applyNumberFormat="1" applyFont="1" applyFill="1" applyBorder="1" applyAlignment="1">
      <alignment horizontal="center" vertical="center"/>
    </xf>
    <xf numFmtId="1" fontId="280" fillId="18" borderId="43" xfId="0" applyNumberFormat="1" applyFont="1" applyFill="1" applyBorder="1" applyAlignment="1">
      <alignment horizontal="center" vertical="center"/>
    </xf>
    <xf numFmtId="1" fontId="280" fillId="18" borderId="44" xfId="0" applyNumberFormat="1" applyFont="1" applyFill="1" applyBorder="1" applyAlignment="1">
      <alignment horizontal="center" vertical="center"/>
    </xf>
    <xf numFmtId="166" fontId="16" fillId="18" borderId="228" xfId="0" applyNumberFormat="1" applyFont="1" applyFill="1" applyBorder="1" applyAlignment="1">
      <alignment horizontal="left" vertical="center" indent="5"/>
    </xf>
    <xf numFmtId="166" fontId="16" fillId="18" borderId="258" xfId="0" applyNumberFormat="1" applyFont="1" applyFill="1" applyBorder="1" applyAlignment="1">
      <alignment horizontal="left" vertical="center" indent="9"/>
    </xf>
    <xf numFmtId="0" fontId="24" fillId="0" borderId="0" xfId="0" applyFont="1" applyAlignment="1">
      <alignment vertical="center"/>
    </xf>
    <xf numFmtId="175" fontId="72" fillId="10" borderId="193" xfId="2" applyNumberFormat="1" applyFont="1" applyFill="1" applyBorder="1" applyAlignment="1">
      <alignment vertical="center"/>
    </xf>
    <xf numFmtId="175" fontId="72" fillId="10" borderId="152" xfId="2" applyNumberFormat="1" applyFont="1" applyFill="1" applyBorder="1" applyAlignment="1">
      <alignment vertical="center"/>
    </xf>
    <xf numFmtId="175" fontId="72" fillId="10" borderId="71" xfId="2" applyNumberFormat="1" applyFont="1" applyFill="1" applyBorder="1" applyAlignment="1">
      <alignment vertical="center"/>
    </xf>
    <xf numFmtId="175" fontId="72" fillId="10" borderId="44" xfId="2" applyNumberFormat="1" applyFont="1" applyFill="1" applyBorder="1" applyAlignment="1">
      <alignment vertical="center"/>
    </xf>
    <xf numFmtId="176" fontId="0" fillId="0" borderId="0" xfId="0" applyNumberFormat="1"/>
    <xf numFmtId="0" fontId="12" fillId="0" borderId="0" xfId="0" applyFont="1" applyAlignment="1">
      <alignment horizontal="center" vertical="center" wrapText="1"/>
    </xf>
    <xf numFmtId="0" fontId="287" fillId="0" borderId="0" xfId="0" applyFont="1" applyAlignment="1">
      <alignment horizontal="center" vertical="center"/>
    </xf>
    <xf numFmtId="3" fontId="0" fillId="33" borderId="0" xfId="0" applyNumberFormat="1" applyFill="1" applyAlignment="1">
      <alignment horizontal="center" vertical="center"/>
    </xf>
    <xf numFmtId="0" fontId="12" fillId="33" borderId="0" xfId="0" quotePrefix="1" applyFont="1" applyFill="1" applyAlignment="1">
      <alignment vertical="center"/>
    </xf>
    <xf numFmtId="0" fontId="61" fillId="33" borderId="254" xfId="0" applyFont="1" applyFill="1" applyBorder="1" applyAlignment="1">
      <alignment horizontal="center" vertical="center"/>
    </xf>
    <xf numFmtId="0" fontId="61" fillId="33" borderId="19" xfId="0" applyFont="1" applyFill="1" applyBorder="1" applyAlignment="1">
      <alignment horizontal="left" vertical="center" indent="1"/>
    </xf>
    <xf numFmtId="0" fontId="13" fillId="33" borderId="0" xfId="0" applyFont="1" applyFill="1" applyAlignment="1">
      <alignment horizontal="center" vertical="center"/>
    </xf>
    <xf numFmtId="0" fontId="62" fillId="33" borderId="68" xfId="0" applyFont="1" applyFill="1" applyBorder="1" applyAlignment="1">
      <alignment horizontal="left" vertical="center" indent="1"/>
    </xf>
    <xf numFmtId="168" fontId="233" fillId="33" borderId="256" xfId="0" applyNumberFormat="1" applyFont="1" applyFill="1" applyBorder="1" applyAlignment="1" applyProtection="1">
      <alignment horizontal="right" vertical="center" shrinkToFit="1"/>
      <protection locked="0"/>
    </xf>
    <xf numFmtId="168" fontId="233" fillId="33" borderId="257" xfId="0" applyNumberFormat="1" applyFont="1" applyFill="1" applyBorder="1" applyAlignment="1" applyProtection="1">
      <alignment horizontal="right" vertical="center" shrinkToFit="1"/>
      <protection locked="0"/>
    </xf>
    <xf numFmtId="0" fontId="0" fillId="33" borderId="0" xfId="0" applyFill="1"/>
    <xf numFmtId="166" fontId="222" fillId="33" borderId="258" xfId="0" applyNumberFormat="1" applyFont="1" applyFill="1" applyBorder="1" applyAlignment="1">
      <alignment horizontal="left" vertical="center" indent="9"/>
    </xf>
    <xf numFmtId="0" fontId="62" fillId="33" borderId="256" xfId="0" applyFont="1" applyFill="1" applyBorder="1" applyAlignment="1">
      <alignment horizontal="left" vertical="center" indent="1"/>
    </xf>
    <xf numFmtId="0" fontId="12" fillId="33" borderId="0" xfId="0" applyFont="1" applyFill="1" applyAlignment="1">
      <alignment vertical="center"/>
    </xf>
    <xf numFmtId="0" fontId="61" fillId="33" borderId="20" xfId="0" applyFont="1" applyFill="1" applyBorder="1" applyAlignment="1">
      <alignment horizontal="center" vertical="center"/>
    </xf>
    <xf numFmtId="0" fontId="61" fillId="33" borderId="18" xfId="0" applyFont="1" applyFill="1" applyBorder="1" applyAlignment="1">
      <alignment horizontal="left" vertical="center" indent="1"/>
    </xf>
    <xf numFmtId="166" fontId="16" fillId="33" borderId="258" xfId="0" applyNumberFormat="1" applyFont="1" applyFill="1" applyBorder="1" applyAlignment="1">
      <alignment horizontal="left" vertical="center" indent="9"/>
    </xf>
    <xf numFmtId="168" fontId="238" fillId="18" borderId="56" xfId="0" applyNumberFormat="1" applyFont="1" applyFill="1" applyBorder="1" applyAlignment="1">
      <alignment horizontal="right" vertical="center" shrinkToFit="1"/>
    </xf>
    <xf numFmtId="177" fontId="0" fillId="0" borderId="233" xfId="0" applyNumberFormat="1" applyBorder="1" applyAlignment="1">
      <alignment wrapText="1"/>
    </xf>
    <xf numFmtId="177" fontId="0" fillId="0" borderId="0" xfId="0" applyNumberFormat="1"/>
    <xf numFmtId="168" fontId="238" fillId="54" borderId="56" xfId="0" applyNumberFormat="1" applyFont="1" applyFill="1" applyBorder="1" applyAlignment="1">
      <alignment horizontal="right" vertical="center" shrinkToFit="1"/>
    </xf>
    <xf numFmtId="168" fontId="238" fillId="24" borderId="54" xfId="0" applyNumberFormat="1" applyFont="1" applyFill="1" applyBorder="1" applyAlignment="1" applyProtection="1">
      <alignment horizontal="right" vertical="center" shrinkToFit="1"/>
      <protection locked="0"/>
    </xf>
    <xf numFmtId="168" fontId="238" fillId="24" borderId="137" xfId="0" applyNumberFormat="1" applyFont="1" applyFill="1" applyBorder="1" applyAlignment="1" applyProtection="1">
      <alignment horizontal="right" vertical="center" shrinkToFit="1"/>
      <protection locked="0"/>
    </xf>
    <xf numFmtId="0" fontId="202" fillId="34" borderId="39" xfId="0" applyFont="1" applyFill="1" applyBorder="1" applyAlignment="1">
      <alignment horizontal="center"/>
    </xf>
    <xf numFmtId="0" fontId="202" fillId="34" borderId="42" xfId="0" applyFont="1" applyFill="1" applyBorder="1" applyAlignment="1">
      <alignment horizontal="center"/>
    </xf>
    <xf numFmtId="0" fontId="202" fillId="34" borderId="40" xfId="0" applyFont="1" applyFill="1" applyBorder="1" applyAlignment="1">
      <alignment horizontal="center"/>
    </xf>
    <xf numFmtId="0" fontId="202" fillId="34" borderId="44" xfId="0" applyFont="1" applyFill="1" applyBorder="1" applyAlignment="1">
      <alignment horizontal="center"/>
    </xf>
    <xf numFmtId="0" fontId="239" fillId="38" borderId="24" xfId="1" applyFont="1" applyFill="1" applyBorder="1" applyAlignment="1" applyProtection="1">
      <alignment horizontal="center" vertical="center"/>
    </xf>
    <xf numFmtId="0" fontId="239" fillId="38" borderId="0" xfId="1" applyFont="1" applyFill="1" applyBorder="1" applyAlignment="1" applyProtection="1">
      <alignment horizontal="center" vertical="center"/>
    </xf>
    <xf numFmtId="0" fontId="239" fillId="38" borderId="43" xfId="1" applyFont="1" applyFill="1" applyBorder="1" applyAlignment="1" applyProtection="1">
      <alignment horizontal="center" vertical="center"/>
    </xf>
    <xf numFmtId="0" fontId="24" fillId="30" borderId="40" xfId="0" applyFont="1" applyFill="1" applyBorder="1" applyAlignment="1">
      <alignment horizontal="center" vertical="center" wrapText="1"/>
    </xf>
    <xf numFmtId="0" fontId="24" fillId="30" borderId="50" xfId="0" applyFont="1" applyFill="1" applyBorder="1" applyAlignment="1">
      <alignment horizontal="center" vertical="center" wrapText="1"/>
    </xf>
    <xf numFmtId="0" fontId="24" fillId="30" borderId="44" xfId="0" applyFont="1" applyFill="1" applyBorder="1" applyAlignment="1">
      <alignment horizontal="center" vertical="center" wrapText="1"/>
    </xf>
    <xf numFmtId="0" fontId="93" fillId="38" borderId="205" xfId="0" applyFont="1" applyFill="1" applyBorder="1" applyAlignment="1">
      <alignment horizontal="center" wrapText="1"/>
    </xf>
    <xf numFmtId="0" fontId="191" fillId="38" borderId="33" xfId="0" applyFont="1" applyFill="1" applyBorder="1" applyAlignment="1">
      <alignment horizontal="center" wrapText="1"/>
    </xf>
    <xf numFmtId="0" fontId="191" fillId="38" borderId="15" xfId="0" applyFont="1" applyFill="1" applyBorder="1" applyAlignment="1">
      <alignment horizontal="center" wrapText="1"/>
    </xf>
    <xf numFmtId="0" fontId="242" fillId="3" borderId="246" xfId="0" applyFont="1" applyFill="1" applyBorder="1" applyAlignment="1">
      <alignment horizontal="left" vertical="center" indent="1"/>
    </xf>
    <xf numFmtId="0" fontId="242" fillId="3" borderId="247" xfId="0" applyFont="1" applyFill="1" applyBorder="1" applyAlignment="1">
      <alignment horizontal="left" vertical="center" indent="1"/>
    </xf>
    <xf numFmtId="0" fontId="242" fillId="3" borderId="250" xfId="0" applyFont="1" applyFill="1" applyBorder="1" applyAlignment="1">
      <alignment horizontal="left" vertical="center" indent="1"/>
    </xf>
    <xf numFmtId="0" fontId="242" fillId="3" borderId="251" xfId="0" applyFont="1" applyFill="1" applyBorder="1" applyAlignment="1">
      <alignment horizontal="left" vertical="center" indent="1"/>
    </xf>
    <xf numFmtId="0" fontId="242" fillId="3" borderId="24" xfId="0" applyFont="1" applyFill="1" applyBorder="1" applyAlignment="1">
      <alignment horizontal="left" vertical="center" indent="1"/>
    </xf>
    <xf numFmtId="0" fontId="242" fillId="3" borderId="0" xfId="0" applyFont="1" applyFill="1" applyAlignment="1">
      <alignment horizontal="left" vertical="center" indent="1"/>
    </xf>
    <xf numFmtId="0" fontId="244" fillId="3" borderId="248" xfId="1" applyFont="1" applyFill="1" applyBorder="1" applyAlignment="1" applyProtection="1">
      <alignment horizontal="left" vertical="center" indent="1"/>
      <protection locked="0"/>
    </xf>
    <xf numFmtId="0" fontId="244" fillId="3" borderId="247" xfId="1" applyFont="1" applyFill="1" applyBorder="1" applyAlignment="1" applyProtection="1">
      <alignment horizontal="left" vertical="center" indent="1"/>
      <protection locked="0"/>
    </xf>
    <xf numFmtId="0" fontId="244" fillId="3" borderId="249" xfId="1" applyFont="1" applyFill="1" applyBorder="1" applyAlignment="1" applyProtection="1">
      <alignment horizontal="left" vertical="center" indent="1"/>
      <protection locked="0"/>
    </xf>
    <xf numFmtId="0" fontId="89" fillId="34" borderId="206" xfId="0" applyFont="1" applyFill="1" applyBorder="1" applyAlignment="1">
      <alignment horizontal="left" vertical="center" indent="1" shrinkToFit="1"/>
    </xf>
    <xf numFmtId="0" fontId="89" fillId="34" borderId="134" xfId="0" applyFont="1" applyFill="1" applyBorder="1" applyAlignment="1">
      <alignment horizontal="left" vertical="center" indent="1" shrinkToFit="1"/>
    </xf>
    <xf numFmtId="0" fontId="89" fillId="34" borderId="207" xfId="0" applyFont="1" applyFill="1" applyBorder="1" applyAlignment="1">
      <alignment horizontal="left" vertical="center" indent="1" shrinkToFit="1"/>
    </xf>
    <xf numFmtId="0" fontId="89" fillId="34" borderId="136" xfId="0" applyFont="1" applyFill="1" applyBorder="1" applyAlignment="1">
      <alignment horizontal="left" vertical="center" indent="1" shrinkToFit="1"/>
    </xf>
    <xf numFmtId="0" fontId="239" fillId="38" borderId="55" xfId="0" applyFont="1" applyFill="1" applyBorder="1" applyAlignment="1">
      <alignment horizontal="center" vertical="center" wrapText="1"/>
    </xf>
    <xf numFmtId="0" fontId="240" fillId="38" borderId="52" xfId="0" applyFont="1" applyFill="1" applyBorder="1" applyAlignment="1">
      <alignment horizontal="center" vertical="center"/>
    </xf>
    <xf numFmtId="0" fontId="240" fillId="38" borderId="76" xfId="0" applyFont="1" applyFill="1" applyBorder="1" applyAlignment="1">
      <alignment horizontal="center" vertical="center"/>
    </xf>
    <xf numFmtId="0" fontId="244" fillId="3" borderId="248" xfId="0" applyFont="1" applyFill="1" applyBorder="1" applyAlignment="1" applyProtection="1">
      <alignment horizontal="left" vertical="center" indent="1"/>
      <protection locked="0"/>
    </xf>
    <xf numFmtId="0" fontId="244" fillId="3" borderId="247" xfId="0" applyFont="1" applyFill="1" applyBorder="1" applyAlignment="1" applyProtection="1">
      <alignment horizontal="left" vertical="center" indent="1"/>
      <protection locked="0"/>
    </xf>
    <xf numFmtId="0" fontId="244" fillId="3" borderId="249" xfId="0" applyFont="1" applyFill="1" applyBorder="1" applyAlignment="1" applyProtection="1">
      <alignment horizontal="left" vertical="center" indent="1"/>
      <protection locked="0"/>
    </xf>
    <xf numFmtId="0" fontId="244" fillId="3" borderId="252" xfId="0" applyFont="1" applyFill="1" applyBorder="1" applyAlignment="1" applyProtection="1">
      <alignment horizontal="left" vertical="center" indent="1"/>
      <protection locked="0"/>
    </xf>
    <xf numFmtId="0" fontId="244" fillId="3" borderId="251" xfId="0" applyFont="1" applyFill="1" applyBorder="1" applyAlignment="1" applyProtection="1">
      <alignment horizontal="left" vertical="center" indent="1"/>
      <protection locked="0"/>
    </xf>
    <xf numFmtId="0" fontId="244" fillId="3" borderId="253" xfId="0" applyFont="1" applyFill="1" applyBorder="1" applyAlignment="1" applyProtection="1">
      <alignment horizontal="left" vertical="center" indent="1"/>
      <protection locked="0"/>
    </xf>
    <xf numFmtId="0" fontId="89" fillId="34" borderId="208" xfId="0" applyFont="1" applyFill="1" applyBorder="1" applyAlignment="1">
      <alignment horizontal="left" vertical="center" indent="1" shrinkToFit="1"/>
    </xf>
    <xf numFmtId="0" fontId="89" fillId="34" borderId="133" xfId="0" applyFont="1" applyFill="1" applyBorder="1" applyAlignment="1">
      <alignment horizontal="left" vertical="center" indent="1" shrinkToFit="1"/>
    </xf>
    <xf numFmtId="49" fontId="243" fillId="3" borderId="104" xfId="0" applyNumberFormat="1" applyFont="1" applyFill="1" applyBorder="1" applyAlignment="1" applyProtection="1">
      <alignment horizontal="left" vertical="center" indent="1"/>
      <protection locked="0"/>
    </xf>
    <xf numFmtId="49" fontId="243" fillId="3" borderId="0" xfId="0" applyNumberFormat="1" applyFont="1" applyFill="1" applyAlignment="1" applyProtection="1">
      <alignment horizontal="left" vertical="center" indent="1"/>
      <protection locked="0"/>
    </xf>
    <xf numFmtId="49" fontId="243" fillId="3" borderId="43" xfId="0" applyNumberFormat="1" applyFont="1" applyFill="1" applyBorder="1" applyAlignment="1" applyProtection="1">
      <alignment horizontal="left" vertical="center" indent="1"/>
      <protection locked="0"/>
    </xf>
    <xf numFmtId="165" fontId="244" fillId="3" borderId="248" xfId="0" applyNumberFormat="1" applyFont="1" applyFill="1" applyBorder="1" applyAlignment="1" applyProtection="1">
      <alignment horizontal="left" vertical="center" indent="1"/>
      <protection locked="0"/>
    </xf>
    <xf numFmtId="165" fontId="244" fillId="3" borderId="247" xfId="0" applyNumberFormat="1" applyFont="1" applyFill="1" applyBorder="1" applyAlignment="1" applyProtection="1">
      <alignment horizontal="left" vertical="center" indent="1"/>
      <protection locked="0"/>
    </xf>
    <xf numFmtId="165" fontId="244" fillId="3" borderId="249" xfId="0" applyNumberFormat="1" applyFont="1" applyFill="1" applyBorder="1" applyAlignment="1" applyProtection="1">
      <alignment horizontal="left" vertical="center" indent="1"/>
      <protection locked="0"/>
    </xf>
    <xf numFmtId="0" fontId="39" fillId="16" borderId="5" xfId="0" applyFont="1" applyFill="1" applyBorder="1" applyAlignment="1">
      <alignment horizontal="center" vertical="center"/>
    </xf>
    <xf numFmtId="0" fontId="39" fillId="16" borderId="4" xfId="0" applyFont="1" applyFill="1" applyBorder="1" applyAlignment="1">
      <alignment horizontal="center" vertical="center"/>
    </xf>
    <xf numFmtId="0" fontId="39" fillId="16" borderId="6" xfId="0" applyFont="1" applyFill="1" applyBorder="1" applyAlignment="1">
      <alignment horizontal="center" vertical="center"/>
    </xf>
    <xf numFmtId="0" fontId="0" fillId="11" borderId="0" xfId="0" applyFill="1" applyAlignment="1">
      <alignment horizontal="center" vertical="center"/>
    </xf>
    <xf numFmtId="0" fontId="45" fillId="16" borderId="5" xfId="0" applyFont="1" applyFill="1" applyBorder="1" applyAlignment="1">
      <alignment horizontal="center" vertical="center"/>
    </xf>
    <xf numFmtId="0" fontId="45" fillId="16" borderId="4" xfId="0" applyFont="1" applyFill="1" applyBorder="1" applyAlignment="1">
      <alignment horizontal="center" vertical="center"/>
    </xf>
    <xf numFmtId="0" fontId="45" fillId="16" borderId="6" xfId="0" applyFont="1" applyFill="1" applyBorder="1" applyAlignment="1">
      <alignment horizontal="center" vertical="center"/>
    </xf>
    <xf numFmtId="0" fontId="12" fillId="11" borderId="0" xfId="0" applyFont="1" applyFill="1" applyAlignment="1">
      <alignment horizontal="left" vertical="center" wrapText="1" indent="3"/>
    </xf>
    <xf numFmtId="0" fontId="12" fillId="11" borderId="0" xfId="0" applyFont="1" applyFill="1" applyAlignment="1">
      <alignment horizontal="left" vertical="center" indent="3"/>
    </xf>
    <xf numFmtId="0" fontId="40" fillId="16" borderId="5" xfId="0" applyFont="1" applyFill="1" applyBorder="1" applyAlignment="1">
      <alignment horizontal="center" vertical="center"/>
    </xf>
    <xf numFmtId="0" fontId="40" fillId="16" borderId="4" xfId="0" applyFont="1" applyFill="1" applyBorder="1" applyAlignment="1">
      <alignment horizontal="center" vertical="center"/>
    </xf>
    <xf numFmtId="0" fontId="40" fillId="16" borderId="6" xfId="0" applyFont="1" applyFill="1" applyBorder="1" applyAlignment="1">
      <alignment horizontal="center" vertical="center"/>
    </xf>
    <xf numFmtId="0" fontId="39" fillId="17" borderId="5" xfId="0" applyFont="1" applyFill="1" applyBorder="1" applyAlignment="1">
      <alignment horizontal="center" vertical="center"/>
    </xf>
    <xf numFmtId="0" fontId="39" fillId="17" borderId="4" xfId="0" applyFont="1" applyFill="1" applyBorder="1" applyAlignment="1">
      <alignment horizontal="center" vertical="center"/>
    </xf>
    <xf numFmtId="0" fontId="39" fillId="17" borderId="6" xfId="0" applyFont="1" applyFill="1" applyBorder="1" applyAlignment="1">
      <alignment horizontal="center" vertical="center"/>
    </xf>
    <xf numFmtId="0" fontId="24" fillId="25" borderId="210" xfId="0" applyFont="1" applyFill="1" applyBorder="1" applyAlignment="1">
      <alignment horizontal="center" vertical="center" wrapText="1"/>
    </xf>
    <xf numFmtId="0" fontId="24" fillId="25" borderId="211" xfId="0" applyFont="1" applyFill="1" applyBorder="1" applyAlignment="1">
      <alignment horizontal="center" vertical="center" wrapText="1"/>
    </xf>
    <xf numFmtId="0" fontId="13" fillId="10" borderId="24" xfId="0" applyFont="1" applyFill="1" applyBorder="1" applyAlignment="1">
      <alignment horizontal="left" wrapText="1"/>
    </xf>
    <xf numFmtId="0" fontId="13" fillId="10" borderId="0" xfId="0" applyFont="1" applyFill="1" applyAlignment="1">
      <alignment horizontal="left" wrapText="1"/>
    </xf>
    <xf numFmtId="0" fontId="13" fillId="10" borderId="43" xfId="0" applyFont="1" applyFill="1" applyBorder="1" applyAlignment="1">
      <alignment horizontal="left" wrapText="1"/>
    </xf>
    <xf numFmtId="3" fontId="24" fillId="4" borderId="209" xfId="0" applyNumberFormat="1" applyFont="1" applyFill="1" applyBorder="1" applyAlignment="1">
      <alignment horizontal="center" vertical="center" wrapText="1"/>
    </xf>
    <xf numFmtId="3" fontId="24" fillId="4" borderId="122" xfId="0" applyNumberFormat="1" applyFont="1" applyFill="1" applyBorder="1" applyAlignment="1">
      <alignment horizontal="center" vertical="center" wrapText="1"/>
    </xf>
    <xf numFmtId="0" fontId="24" fillId="25" borderId="194" xfId="0" applyFont="1" applyFill="1" applyBorder="1" applyAlignment="1">
      <alignment horizontal="center" vertical="center" wrapText="1"/>
    </xf>
    <xf numFmtId="0" fontId="24" fillId="25" borderId="70" xfId="0" applyFont="1" applyFill="1" applyBorder="1" applyAlignment="1">
      <alignment horizontal="center" vertical="center" wrapText="1"/>
    </xf>
    <xf numFmtId="0" fontId="24" fillId="25" borderId="41" xfId="0" applyFont="1" applyFill="1" applyBorder="1" applyAlignment="1">
      <alignment horizontal="center" vertical="center"/>
    </xf>
    <xf numFmtId="0" fontId="24" fillId="25" borderId="50" xfId="0" applyFont="1" applyFill="1" applyBorder="1" applyAlignment="1">
      <alignment horizontal="center" vertical="center"/>
    </xf>
    <xf numFmtId="0" fontId="24" fillId="25" borderId="212" xfId="0" applyFont="1" applyFill="1" applyBorder="1" applyAlignment="1">
      <alignment horizontal="center" vertical="center" wrapText="1"/>
    </xf>
    <xf numFmtId="0" fontId="24" fillId="25" borderId="141" xfId="0" applyFont="1" applyFill="1" applyBorder="1" applyAlignment="1">
      <alignment horizontal="center" vertical="center" wrapText="1"/>
    </xf>
    <xf numFmtId="0" fontId="238" fillId="3" borderId="0" xfId="1" applyFont="1" applyFill="1" applyBorder="1" applyAlignment="1" applyProtection="1">
      <alignment horizontal="center" wrapText="1"/>
    </xf>
    <xf numFmtId="0" fontId="24" fillId="25" borderId="213" xfId="0" applyFont="1" applyFill="1" applyBorder="1" applyAlignment="1">
      <alignment horizontal="center" vertical="center" wrapText="1"/>
    </xf>
    <xf numFmtId="0" fontId="24" fillId="25" borderId="71" xfId="0" applyFont="1" applyFill="1" applyBorder="1" applyAlignment="1">
      <alignment horizontal="center" vertical="center" wrapText="1"/>
    </xf>
    <xf numFmtId="0" fontId="78" fillId="3" borderId="0" xfId="1" applyFont="1" applyFill="1" applyAlignment="1" applyProtection="1">
      <alignment horizontal="center" wrapText="1"/>
    </xf>
    <xf numFmtId="0" fontId="78" fillId="3" borderId="0" xfId="1" applyFont="1" applyFill="1" applyAlignment="1" applyProtection="1">
      <alignment horizontal="center"/>
    </xf>
    <xf numFmtId="3" fontId="249" fillId="4" borderId="209" xfId="0" applyNumberFormat="1" applyFont="1" applyFill="1" applyBorder="1" applyAlignment="1">
      <alignment horizontal="center" vertical="center" wrapText="1"/>
    </xf>
    <xf numFmtId="3" fontId="249" fillId="4" borderId="122" xfId="0" applyNumberFormat="1" applyFont="1" applyFill="1" applyBorder="1" applyAlignment="1">
      <alignment horizontal="center" vertical="center" wrapText="1"/>
    </xf>
    <xf numFmtId="0" fontId="16" fillId="25" borderId="212" xfId="1" applyFont="1" applyFill="1" applyBorder="1" applyAlignment="1" applyProtection="1">
      <alignment horizontal="center" vertical="center" wrapText="1"/>
    </xf>
    <xf numFmtId="0" fontId="16" fillId="25" borderId="141" xfId="0" applyFont="1" applyFill="1" applyBorder="1"/>
    <xf numFmtId="0" fontId="32" fillId="3" borderId="0" xfId="0" applyFont="1" applyFill="1" applyAlignment="1">
      <alignment horizontal="left"/>
    </xf>
    <xf numFmtId="0" fontId="266" fillId="24" borderId="55" xfId="0" applyFont="1" applyFill="1" applyBorder="1" applyAlignment="1">
      <alignment horizontal="center" vertical="center" wrapText="1"/>
    </xf>
    <xf numFmtId="0" fontId="266" fillId="24" borderId="52" xfId="0" applyFont="1" applyFill="1" applyBorder="1" applyAlignment="1">
      <alignment horizontal="center" vertical="center" wrapText="1"/>
    </xf>
    <xf numFmtId="0" fontId="266" fillId="24" borderId="76" xfId="0" applyFont="1" applyFill="1" applyBorder="1" applyAlignment="1">
      <alignment horizontal="center" vertical="center" wrapText="1"/>
    </xf>
    <xf numFmtId="168" fontId="233" fillId="18" borderId="235" xfId="0" applyNumberFormat="1" applyFont="1" applyFill="1" applyBorder="1" applyAlignment="1" applyProtection="1">
      <alignment horizontal="right" vertical="center" indent="19" shrinkToFit="1"/>
      <protection locked="0"/>
    </xf>
    <xf numFmtId="168" fontId="233" fillId="18" borderId="162" xfId="0" applyNumberFormat="1" applyFont="1" applyFill="1" applyBorder="1" applyAlignment="1" applyProtection="1">
      <alignment horizontal="right" vertical="center" indent="19" shrinkToFit="1"/>
      <protection locked="0"/>
    </xf>
    <xf numFmtId="168" fontId="233" fillId="18" borderId="192" xfId="0" applyNumberFormat="1" applyFont="1" applyFill="1" applyBorder="1" applyAlignment="1" applyProtection="1">
      <alignment horizontal="right" vertical="center" indent="19" shrinkToFit="1"/>
      <protection locked="0"/>
    </xf>
    <xf numFmtId="168" fontId="233" fillId="18" borderId="276" xfId="0" applyNumberFormat="1" applyFont="1" applyFill="1" applyBorder="1" applyAlignment="1" applyProtection="1">
      <alignment horizontal="right" vertical="center" indent="19" shrinkToFit="1"/>
      <protection locked="0"/>
    </xf>
    <xf numFmtId="168" fontId="233" fillId="18" borderId="270" xfId="0" applyNumberFormat="1" applyFont="1" applyFill="1" applyBorder="1" applyAlignment="1" applyProtection="1">
      <alignment horizontal="right" vertical="center" indent="19" shrinkToFit="1"/>
      <protection locked="0"/>
    </xf>
    <xf numFmtId="168" fontId="233" fillId="18" borderId="271" xfId="0" applyNumberFormat="1" applyFont="1" applyFill="1" applyBorder="1" applyAlignment="1" applyProtection="1">
      <alignment horizontal="right" vertical="center" indent="19" shrinkToFit="1"/>
      <protection locked="0"/>
    </xf>
    <xf numFmtId="0" fontId="266" fillId="30" borderId="91" xfId="0" applyFont="1" applyFill="1" applyBorder="1" applyAlignment="1">
      <alignment horizontal="center" vertical="center" wrapText="1"/>
    </xf>
    <xf numFmtId="0" fontId="266" fillId="30" borderId="23" xfId="0" applyFont="1" applyFill="1" applyBorder="1" applyAlignment="1">
      <alignment horizontal="center" vertical="center"/>
    </xf>
    <xf numFmtId="0" fontId="266" fillId="30" borderId="49" xfId="0" applyFont="1" applyFill="1" applyBorder="1" applyAlignment="1">
      <alignment horizontal="center" vertical="center"/>
    </xf>
    <xf numFmtId="0" fontId="266" fillId="30" borderId="23" xfId="0" applyFont="1" applyFill="1" applyBorder="1" applyAlignment="1">
      <alignment horizontal="center" vertical="center" wrapText="1"/>
    </xf>
    <xf numFmtId="3" fontId="73" fillId="4" borderId="209" xfId="0" applyNumberFormat="1" applyFont="1" applyFill="1" applyBorder="1" applyAlignment="1">
      <alignment horizontal="center" vertical="center" wrapText="1"/>
    </xf>
    <xf numFmtId="3" fontId="73" fillId="4" borderId="122" xfId="0" applyNumberFormat="1" applyFont="1" applyFill="1" applyBorder="1" applyAlignment="1">
      <alignment horizontal="center" vertical="center" wrapText="1"/>
    </xf>
    <xf numFmtId="168" fontId="36" fillId="47" borderId="217" xfId="0" applyNumberFormat="1" applyFont="1" applyFill="1" applyBorder="1" applyAlignment="1">
      <alignment horizontal="center" vertical="center"/>
    </xf>
    <xf numFmtId="168" fontId="36" fillId="47" borderId="46" xfId="0" applyNumberFormat="1" applyFont="1" applyFill="1" applyBorder="1" applyAlignment="1">
      <alignment horizontal="center" vertical="center"/>
    </xf>
    <xf numFmtId="168" fontId="36" fillId="47" borderId="29" xfId="0" applyNumberFormat="1" applyFont="1" applyFill="1" applyBorder="1" applyAlignment="1">
      <alignment horizontal="center" vertical="center"/>
    </xf>
    <xf numFmtId="168" fontId="237" fillId="25" borderId="91" xfId="0" applyNumberFormat="1" applyFont="1" applyFill="1" applyBorder="1" applyAlignment="1">
      <alignment horizontal="center" vertical="center"/>
    </xf>
    <xf numFmtId="168" fontId="237" fillId="25" borderId="23" xfId="0" applyNumberFormat="1" applyFont="1" applyFill="1" applyBorder="1" applyAlignment="1">
      <alignment horizontal="center" vertical="center"/>
    </xf>
    <xf numFmtId="168" fontId="237" fillId="25" borderId="49" xfId="0" applyNumberFormat="1" applyFont="1" applyFill="1" applyBorder="1" applyAlignment="1">
      <alignment horizontal="center" vertical="center"/>
    </xf>
    <xf numFmtId="0" fontId="7" fillId="25" borderId="39" xfId="0" applyFont="1" applyFill="1" applyBorder="1" applyAlignment="1">
      <alignment horizontal="center" vertical="center"/>
    </xf>
    <xf numFmtId="0" fontId="7" fillId="25" borderId="42" xfId="0" applyFont="1" applyFill="1" applyBorder="1" applyAlignment="1">
      <alignment horizontal="center" vertical="center"/>
    </xf>
    <xf numFmtId="0" fontId="7" fillId="25" borderId="24" xfId="0" applyFont="1" applyFill="1" applyBorder="1" applyAlignment="1">
      <alignment horizontal="center" vertical="center"/>
    </xf>
    <xf numFmtId="0" fontId="7" fillId="25" borderId="43" xfId="0" applyFont="1" applyFill="1" applyBorder="1" applyAlignment="1">
      <alignment horizontal="center" vertical="center"/>
    </xf>
    <xf numFmtId="0" fontId="7" fillId="25" borderId="40" xfId="0" applyFont="1" applyFill="1" applyBorder="1" applyAlignment="1">
      <alignment horizontal="center" vertical="center"/>
    </xf>
    <xf numFmtId="0" fontId="7" fillId="25" borderId="44" xfId="0" applyFont="1" applyFill="1" applyBorder="1" applyAlignment="1">
      <alignment horizontal="center" vertical="center"/>
    </xf>
    <xf numFmtId="168" fontId="27" fillId="25" borderId="91" xfId="0" applyNumberFormat="1" applyFont="1" applyFill="1" applyBorder="1" applyAlignment="1">
      <alignment horizontal="center" vertical="center"/>
    </xf>
    <xf numFmtId="168" fontId="27" fillId="25" borderId="49" xfId="0" applyNumberFormat="1" applyFont="1" applyFill="1" applyBorder="1" applyAlignment="1">
      <alignment horizontal="center" vertical="center"/>
    </xf>
    <xf numFmtId="3" fontId="269" fillId="4" borderId="209" xfId="0" applyNumberFormat="1" applyFont="1" applyFill="1" applyBorder="1" applyAlignment="1">
      <alignment horizontal="center" vertical="center" wrapText="1"/>
    </xf>
    <xf numFmtId="3" fontId="269" fillId="4" borderId="122" xfId="0" applyNumberFormat="1" applyFont="1" applyFill="1" applyBorder="1" applyAlignment="1">
      <alignment horizontal="center" vertical="center" wrapText="1"/>
    </xf>
    <xf numFmtId="170" fontId="32" fillId="0" borderId="275" xfId="5" applyNumberFormat="1" applyFont="1" applyBorder="1" applyAlignment="1">
      <alignment horizontal="center" vertical="center"/>
    </xf>
    <xf numFmtId="170" fontId="32" fillId="0" borderId="269" xfId="5" applyNumberFormat="1" applyFont="1" applyBorder="1" applyAlignment="1">
      <alignment horizontal="center" vertical="center"/>
    </xf>
    <xf numFmtId="170" fontId="19" fillId="30" borderId="1" xfId="5" applyNumberFormat="1" applyFont="1" applyFill="1" applyBorder="1" applyAlignment="1">
      <alignment horizontal="center" vertical="center" wrapText="1"/>
    </xf>
    <xf numFmtId="170" fontId="19" fillId="30" borderId="3" xfId="5" applyNumberFormat="1" applyFont="1" applyFill="1" applyBorder="1" applyAlignment="1">
      <alignment horizontal="center" vertical="center" wrapText="1"/>
    </xf>
    <xf numFmtId="0" fontId="32" fillId="25" borderId="201" xfId="5" applyFont="1" applyFill="1" applyBorder="1" applyAlignment="1">
      <alignment horizontal="center"/>
    </xf>
    <xf numFmtId="0" fontId="32" fillId="25" borderId="2" xfId="5" applyFont="1" applyFill="1" applyBorder="1" applyAlignment="1">
      <alignment horizontal="center"/>
    </xf>
    <xf numFmtId="0" fontId="32" fillId="25" borderId="3" xfId="5" applyFont="1" applyFill="1" applyBorder="1" applyAlignment="1">
      <alignment horizontal="center"/>
    </xf>
    <xf numFmtId="0" fontId="32" fillId="25" borderId="178" xfId="5" applyFont="1" applyFill="1" applyBorder="1" applyAlignment="1">
      <alignment horizontal="center"/>
    </xf>
    <xf numFmtId="0" fontId="32" fillId="25" borderId="8" xfId="5" applyFont="1" applyFill="1" applyBorder="1" applyAlignment="1">
      <alignment horizontal="center"/>
    </xf>
    <xf numFmtId="0" fontId="32" fillId="25" borderId="9" xfId="5" applyFont="1" applyFill="1" applyBorder="1" applyAlignment="1">
      <alignment horizontal="center"/>
    </xf>
    <xf numFmtId="0" fontId="19" fillId="0" borderId="23" xfId="5" applyFont="1" applyBorder="1" applyAlignment="1">
      <alignment horizontal="left" vertical="center" wrapText="1"/>
    </xf>
    <xf numFmtId="0" fontId="32" fillId="0" borderId="23" xfId="5" applyFont="1" applyBorder="1" applyAlignment="1">
      <alignment horizontal="left" wrapText="1"/>
    </xf>
    <xf numFmtId="0" fontId="32" fillId="25" borderId="201" xfId="5" applyFont="1" applyFill="1" applyBorder="1" applyAlignment="1">
      <alignment horizontal="center" vertical="center"/>
    </xf>
    <xf numFmtId="0" fontId="32" fillId="25" borderId="2" xfId="5" applyFont="1" applyFill="1" applyBorder="1" applyAlignment="1">
      <alignment horizontal="center" vertical="center"/>
    </xf>
    <xf numFmtId="0" fontId="32" fillId="25" borderId="3" xfId="5" applyFont="1" applyFill="1" applyBorder="1" applyAlignment="1">
      <alignment horizontal="center" vertical="center"/>
    </xf>
    <xf numFmtId="0" fontId="19" fillId="18" borderId="41" xfId="5" applyFont="1" applyFill="1" applyBorder="1" applyAlignment="1">
      <alignment horizontal="left" vertical="center" wrapText="1"/>
    </xf>
    <xf numFmtId="0" fontId="32" fillId="18" borderId="41" xfId="5" applyFont="1" applyFill="1" applyBorder="1" applyAlignment="1">
      <alignment horizontal="left" wrapText="1"/>
    </xf>
    <xf numFmtId="170" fontId="32" fillId="0" borderId="283" xfId="5" applyNumberFormat="1" applyFont="1" applyBorder="1" applyAlignment="1" applyProtection="1">
      <alignment horizontal="center" vertical="center"/>
      <protection locked="0"/>
    </xf>
    <xf numFmtId="170" fontId="32" fillId="0" borderId="257" xfId="5" applyNumberFormat="1" applyFont="1" applyBorder="1" applyAlignment="1" applyProtection="1">
      <alignment horizontal="center" vertical="center"/>
      <protection locked="0"/>
    </xf>
    <xf numFmtId="170" fontId="16" fillId="25" borderId="214" xfId="5" applyNumberFormat="1" applyFont="1" applyFill="1" applyBorder="1" applyAlignment="1">
      <alignment horizontal="center" vertical="center"/>
    </xf>
    <xf numFmtId="170" fontId="16" fillId="25" borderId="88" xfId="5" applyNumberFormat="1" applyFont="1" applyFill="1" applyBorder="1" applyAlignment="1">
      <alignment horizontal="center" vertical="center"/>
    </xf>
    <xf numFmtId="0" fontId="19" fillId="0" borderId="258" xfId="5" applyFont="1" applyBorder="1" applyAlignment="1">
      <alignment vertical="center" wrapText="1"/>
    </xf>
    <xf numFmtId="170" fontId="32" fillId="0" borderId="215" xfId="5" applyNumberFormat="1" applyFont="1" applyBorder="1" applyAlignment="1" applyProtection="1">
      <alignment horizontal="center" vertical="center"/>
      <protection locked="0"/>
    </xf>
    <xf numFmtId="170" fontId="32" fillId="0" borderId="216" xfId="5" applyNumberFormat="1" applyFont="1" applyBorder="1" applyAlignment="1" applyProtection="1">
      <alignment horizontal="center" vertical="center"/>
      <protection locked="0"/>
    </xf>
    <xf numFmtId="3" fontId="212" fillId="52" borderId="0" xfId="0" applyNumberFormat="1" applyFont="1" applyFill="1" applyAlignment="1">
      <alignment horizontal="center" vertical="center"/>
    </xf>
    <xf numFmtId="3" fontId="16" fillId="29" borderId="55" xfId="0" applyNumberFormat="1" applyFont="1" applyFill="1" applyBorder="1" applyAlignment="1">
      <alignment horizontal="center" vertical="center"/>
    </xf>
    <xf numFmtId="3" fontId="16" fillId="29" borderId="76" xfId="0" applyNumberFormat="1" applyFont="1" applyFill="1" applyBorder="1" applyAlignment="1">
      <alignment horizontal="center" vertical="center"/>
    </xf>
    <xf numFmtId="3" fontId="16" fillId="24" borderId="210" xfId="0" quotePrefix="1" applyNumberFormat="1" applyFont="1" applyFill="1" applyBorder="1" applyAlignment="1">
      <alignment horizontal="center" vertical="center" wrapText="1"/>
    </xf>
    <xf numFmtId="3" fontId="16" fillId="24" borderId="13" xfId="0" quotePrefix="1" applyNumberFormat="1" applyFont="1" applyFill="1" applyBorder="1" applyAlignment="1">
      <alignment horizontal="center" vertical="center" wrapText="1"/>
    </xf>
    <xf numFmtId="3" fontId="16" fillId="18" borderId="55" xfId="0" applyNumberFormat="1" applyFont="1" applyFill="1" applyBorder="1" applyAlignment="1">
      <alignment horizontal="center" vertical="center" wrapText="1"/>
    </xf>
    <xf numFmtId="3" fontId="16" fillId="18" borderId="76" xfId="0" applyNumberFormat="1" applyFont="1" applyFill="1" applyBorder="1" applyAlignment="1">
      <alignment horizontal="center" vertical="center" wrapText="1"/>
    </xf>
    <xf numFmtId="3" fontId="16" fillId="25" borderId="212" xfId="0" applyNumberFormat="1" applyFont="1" applyFill="1" applyBorder="1" applyAlignment="1">
      <alignment horizontal="center" vertical="center" wrapText="1"/>
    </xf>
    <xf numFmtId="3" fontId="16" fillId="25" borderId="78" xfId="0" applyNumberFormat="1" applyFont="1" applyFill="1" applyBorder="1" applyAlignment="1">
      <alignment horizontal="center" vertical="center" wrapText="1"/>
    </xf>
    <xf numFmtId="3" fontId="16" fillId="29" borderId="52" xfId="0" applyNumberFormat="1" applyFont="1" applyFill="1" applyBorder="1" applyAlignment="1">
      <alignment horizontal="center" vertical="center"/>
    </xf>
    <xf numFmtId="3" fontId="16" fillId="4" borderId="182" xfId="0" applyNumberFormat="1" applyFont="1" applyFill="1" applyBorder="1" applyAlignment="1">
      <alignment horizontal="center" vertical="center" wrapText="1"/>
    </xf>
    <xf numFmtId="3" fontId="16" fillId="4" borderId="158" xfId="0" applyNumberFormat="1" applyFont="1" applyFill="1" applyBorder="1" applyAlignment="1">
      <alignment horizontal="center" vertical="center" wrapText="1"/>
    </xf>
    <xf numFmtId="3" fontId="16" fillId="4" borderId="204" xfId="0" applyNumberFormat="1" applyFont="1" applyFill="1" applyBorder="1" applyAlignment="1">
      <alignment horizontal="center" vertical="center" wrapText="1"/>
    </xf>
    <xf numFmtId="3" fontId="16" fillId="4" borderId="120" xfId="0" applyNumberFormat="1" applyFont="1" applyFill="1" applyBorder="1" applyAlignment="1">
      <alignment horizontal="center" vertical="center" wrapText="1"/>
    </xf>
    <xf numFmtId="3" fontId="16" fillId="25" borderId="194" xfId="0" quotePrefix="1" applyNumberFormat="1" applyFont="1" applyFill="1" applyBorder="1" applyAlignment="1">
      <alignment horizontal="center" vertical="center" wrapText="1"/>
    </xf>
    <xf numFmtId="3" fontId="16" fillId="25" borderId="77" xfId="0" quotePrefix="1" applyNumberFormat="1" applyFont="1" applyFill="1" applyBorder="1" applyAlignment="1">
      <alignment horizontal="center" vertical="center" wrapText="1"/>
    </xf>
    <xf numFmtId="3" fontId="16" fillId="18" borderId="166" xfId="0" applyNumberFormat="1" applyFont="1" applyFill="1" applyBorder="1" applyAlignment="1">
      <alignment horizontal="center" vertical="center" wrapText="1"/>
    </xf>
    <xf numFmtId="3" fontId="16" fillId="18" borderId="74" xfId="0" applyNumberFormat="1" applyFont="1" applyFill="1" applyBorder="1" applyAlignment="1">
      <alignment horizontal="center" vertical="center" wrapText="1"/>
    </xf>
    <xf numFmtId="0" fontId="82" fillId="25" borderId="39" xfId="0" applyFont="1" applyFill="1" applyBorder="1" applyAlignment="1">
      <alignment horizontal="center" vertical="center" wrapText="1"/>
    </xf>
    <xf numFmtId="0" fontId="82" fillId="25" borderId="42" xfId="0" applyFont="1" applyFill="1" applyBorder="1" applyAlignment="1">
      <alignment horizontal="center" vertical="center" wrapText="1"/>
    </xf>
    <xf numFmtId="0" fontId="82" fillId="25" borderId="24" xfId="0" applyFont="1" applyFill="1" applyBorder="1" applyAlignment="1">
      <alignment horizontal="center" vertical="center" wrapText="1"/>
    </xf>
    <xf numFmtId="0" fontId="82" fillId="25" borderId="43" xfId="0" applyFont="1" applyFill="1" applyBorder="1" applyAlignment="1">
      <alignment horizontal="center" vertical="center" wrapText="1"/>
    </xf>
    <xf numFmtId="0" fontId="82" fillId="25" borderId="40" xfId="0" applyFont="1" applyFill="1" applyBorder="1" applyAlignment="1">
      <alignment horizontal="center" vertical="center" wrapText="1"/>
    </xf>
    <xf numFmtId="0" fontId="82" fillId="25" borderId="44" xfId="0" applyFont="1" applyFill="1" applyBorder="1" applyAlignment="1">
      <alignment horizontal="center" vertical="center" wrapText="1"/>
    </xf>
    <xf numFmtId="0" fontId="110" fillId="18" borderId="0" xfId="0" quotePrefix="1" applyFont="1" applyFill="1" applyAlignment="1">
      <alignment horizontal="center" vertical="center"/>
    </xf>
    <xf numFmtId="3" fontId="55" fillId="25" borderId="39" xfId="1" applyNumberFormat="1" applyFont="1" applyFill="1" applyBorder="1" applyAlignment="1" applyProtection="1">
      <alignment horizontal="center" vertical="center" wrapText="1"/>
    </xf>
    <xf numFmtId="3" fontId="55" fillId="25" borderId="42" xfId="1" applyNumberFormat="1" applyFont="1" applyFill="1" applyBorder="1" applyAlignment="1" applyProtection="1">
      <alignment horizontal="center" vertical="center"/>
    </xf>
    <xf numFmtId="3" fontId="55" fillId="25" borderId="24" xfId="1" applyNumberFormat="1" applyFont="1" applyFill="1" applyBorder="1" applyAlignment="1" applyProtection="1">
      <alignment horizontal="center" vertical="center"/>
    </xf>
    <xf numFmtId="3" fontId="55" fillId="25" borderId="43" xfId="1" applyNumberFormat="1" applyFont="1" applyFill="1" applyBorder="1" applyAlignment="1" applyProtection="1">
      <alignment horizontal="center" vertical="center"/>
    </xf>
    <xf numFmtId="3" fontId="55" fillId="25" borderId="40" xfId="1" applyNumberFormat="1" applyFont="1" applyFill="1" applyBorder="1" applyAlignment="1" applyProtection="1">
      <alignment horizontal="center" vertical="center"/>
    </xf>
    <xf numFmtId="3" fontId="55" fillId="25" borderId="44" xfId="1" applyNumberFormat="1" applyFont="1" applyFill="1" applyBorder="1" applyAlignment="1" applyProtection="1">
      <alignment horizontal="center" vertical="center"/>
    </xf>
    <xf numFmtId="3" fontId="166" fillId="29" borderId="55" xfId="0" applyNumberFormat="1" applyFont="1" applyFill="1" applyBorder="1" applyAlignment="1">
      <alignment horizontal="center" vertical="center"/>
    </xf>
    <xf numFmtId="3" fontId="166" fillId="29" borderId="52" xfId="0" applyNumberFormat="1" applyFont="1" applyFill="1" applyBorder="1" applyAlignment="1">
      <alignment horizontal="center" vertical="center"/>
    </xf>
    <xf numFmtId="3" fontId="166" fillId="29" borderId="76" xfId="0" applyNumberFormat="1" applyFont="1" applyFill="1" applyBorder="1" applyAlignment="1">
      <alignment horizontal="center" vertical="center"/>
    </xf>
    <xf numFmtId="3" fontId="6" fillId="4" borderId="182" xfId="0" applyNumberFormat="1" applyFont="1" applyFill="1" applyBorder="1" applyAlignment="1">
      <alignment horizontal="center" vertical="center" wrapText="1"/>
    </xf>
    <xf numFmtId="3" fontId="6" fillId="4" borderId="158" xfId="0" applyNumberFormat="1" applyFont="1" applyFill="1" applyBorder="1" applyAlignment="1">
      <alignment horizontal="center" vertical="center" wrapText="1"/>
    </xf>
    <xf numFmtId="3" fontId="6" fillId="4" borderId="204" xfId="0" applyNumberFormat="1" applyFont="1" applyFill="1" applyBorder="1" applyAlignment="1">
      <alignment horizontal="center" vertical="center" wrapText="1"/>
    </xf>
    <xf numFmtId="3" fontId="6" fillId="4" borderId="120" xfId="0" applyNumberFormat="1" applyFont="1" applyFill="1" applyBorder="1" applyAlignment="1">
      <alignment horizontal="center" vertical="center" wrapText="1"/>
    </xf>
    <xf numFmtId="3" fontId="129" fillId="25" borderId="72" xfId="0" quotePrefix="1" applyNumberFormat="1" applyFont="1" applyFill="1" applyBorder="1" applyAlignment="1">
      <alignment horizontal="center" vertical="center" wrapText="1"/>
    </xf>
    <xf numFmtId="3" fontId="129" fillId="25" borderId="77" xfId="0" quotePrefix="1" applyNumberFormat="1" applyFont="1" applyFill="1" applyBorder="1" applyAlignment="1">
      <alignment horizontal="center" vertical="center" wrapText="1"/>
    </xf>
    <xf numFmtId="3" fontId="129" fillId="18" borderId="214" xfId="0" applyNumberFormat="1" applyFont="1" applyFill="1" applyBorder="1" applyAlignment="1">
      <alignment horizontal="center" vertical="center" wrapText="1"/>
    </xf>
    <xf numFmtId="3" fontId="129" fillId="18" borderId="88" xfId="0" quotePrefix="1" applyNumberFormat="1" applyFont="1" applyFill="1" applyBorder="1" applyAlignment="1">
      <alignment horizontal="center" vertical="center" wrapText="1"/>
    </xf>
    <xf numFmtId="3" fontId="129" fillId="24" borderId="210" xfId="0" quotePrefix="1" applyNumberFormat="1" applyFont="1" applyFill="1" applyBorder="1" applyAlignment="1">
      <alignment horizontal="center" vertical="center" wrapText="1"/>
    </xf>
    <xf numFmtId="3" fontId="129" fillId="24" borderId="13" xfId="0" quotePrefix="1" applyNumberFormat="1" applyFont="1" applyFill="1" applyBorder="1" applyAlignment="1">
      <alignment horizontal="center" vertical="center" wrapText="1"/>
    </xf>
    <xf numFmtId="3" fontId="129" fillId="25" borderId="102" xfId="0" applyNumberFormat="1" applyFont="1" applyFill="1" applyBorder="1" applyAlignment="1">
      <alignment horizontal="center" vertical="center" wrapText="1"/>
    </xf>
    <xf numFmtId="3" fontId="129" fillId="25" borderId="78" xfId="0" applyNumberFormat="1" applyFont="1" applyFill="1" applyBorder="1" applyAlignment="1">
      <alignment horizontal="center" vertical="center" wrapText="1"/>
    </xf>
    <xf numFmtId="3" fontId="52" fillId="25" borderId="39" xfId="1" applyNumberFormat="1" applyFont="1" applyFill="1" applyBorder="1" applyAlignment="1" applyProtection="1">
      <alignment horizontal="center" vertical="center"/>
    </xf>
    <xf numFmtId="3" fontId="52" fillId="25" borderId="42" xfId="1" applyNumberFormat="1" applyFont="1" applyFill="1" applyBorder="1" applyAlignment="1" applyProtection="1">
      <alignment horizontal="center" vertical="center"/>
    </xf>
    <xf numFmtId="3" fontId="52" fillId="25" borderId="24" xfId="1" applyNumberFormat="1" applyFont="1" applyFill="1" applyBorder="1" applyAlignment="1" applyProtection="1">
      <alignment horizontal="center" vertical="center"/>
    </xf>
    <xf numFmtId="3" fontId="52" fillId="25" borderId="43" xfId="1" applyNumberFormat="1" applyFont="1" applyFill="1" applyBorder="1" applyAlignment="1" applyProtection="1">
      <alignment horizontal="center" vertical="center"/>
    </xf>
    <xf numFmtId="3" fontId="52" fillId="25" borderId="40" xfId="1" applyNumberFormat="1" applyFont="1" applyFill="1" applyBorder="1" applyAlignment="1" applyProtection="1">
      <alignment horizontal="center" vertical="center"/>
    </xf>
    <xf numFmtId="3" fontId="52" fillId="25" borderId="44" xfId="1" applyNumberFormat="1" applyFont="1" applyFill="1" applyBorder="1" applyAlignment="1" applyProtection="1">
      <alignment horizontal="center" vertical="center"/>
    </xf>
    <xf numFmtId="3" fontId="131" fillId="25" borderId="72" xfId="0" quotePrefix="1" applyNumberFormat="1" applyFont="1" applyFill="1" applyBorder="1" applyAlignment="1">
      <alignment horizontal="center" vertical="center" wrapText="1"/>
    </xf>
    <xf numFmtId="3" fontId="131" fillId="25" borderId="77" xfId="0" quotePrefix="1" applyNumberFormat="1" applyFont="1" applyFill="1" applyBorder="1" applyAlignment="1">
      <alignment horizontal="center" vertical="center" wrapText="1"/>
    </xf>
    <xf numFmtId="3" fontId="129" fillId="24" borderId="0" xfId="0" quotePrefix="1" applyNumberFormat="1" applyFont="1" applyFill="1" applyAlignment="1">
      <alignment horizontal="center" vertical="center" wrapText="1"/>
    </xf>
    <xf numFmtId="3" fontId="129" fillId="24" borderId="8" xfId="0" quotePrefix="1" applyNumberFormat="1" applyFont="1" applyFill="1" applyBorder="1" applyAlignment="1">
      <alignment horizontal="center" vertical="center" wrapText="1"/>
    </xf>
    <xf numFmtId="3" fontId="131" fillId="25" borderId="102" xfId="0" applyNumberFormat="1" applyFont="1" applyFill="1" applyBorder="1" applyAlignment="1">
      <alignment horizontal="center" vertical="center" wrapText="1"/>
    </xf>
    <xf numFmtId="3" fontId="131" fillId="25" borderId="78" xfId="0" applyNumberFormat="1" applyFont="1" applyFill="1" applyBorder="1" applyAlignment="1">
      <alignment horizontal="center" vertical="center" wrapText="1"/>
    </xf>
    <xf numFmtId="3" fontId="131" fillId="18" borderId="194" xfId="0" applyNumberFormat="1" applyFont="1" applyFill="1" applyBorder="1" applyAlignment="1">
      <alignment horizontal="center" vertical="center" wrapText="1"/>
    </xf>
    <xf numFmtId="3" fontId="131" fillId="18" borderId="77" xfId="0" applyNumberFormat="1" applyFont="1" applyFill="1" applyBorder="1" applyAlignment="1">
      <alignment horizontal="center" vertical="center" wrapText="1"/>
    </xf>
    <xf numFmtId="0" fontId="192" fillId="25" borderId="39" xfId="0" applyFont="1" applyFill="1" applyBorder="1" applyAlignment="1">
      <alignment horizontal="left" vertical="center" wrapText="1" indent="6"/>
    </xf>
    <xf numFmtId="0" fontId="192" fillId="25" borderId="41" xfId="0" applyFont="1" applyFill="1" applyBorder="1" applyAlignment="1">
      <alignment horizontal="left" vertical="center" indent="6"/>
    </xf>
    <xf numFmtId="0" fontId="192" fillId="25" borderId="24" xfId="0" applyFont="1" applyFill="1" applyBorder="1" applyAlignment="1">
      <alignment horizontal="left" vertical="center" indent="6"/>
    </xf>
    <xf numFmtId="0" fontId="192" fillId="25" borderId="0" xfId="0" applyFont="1" applyFill="1" applyAlignment="1">
      <alignment horizontal="left" vertical="center" indent="6"/>
    </xf>
    <xf numFmtId="0" fontId="192" fillId="25" borderId="40" xfId="0" applyFont="1" applyFill="1" applyBorder="1" applyAlignment="1">
      <alignment horizontal="left" vertical="center" indent="6"/>
    </xf>
    <xf numFmtId="0" fontId="192" fillId="25" borderId="50" xfId="0" applyFont="1" applyFill="1" applyBorder="1" applyAlignment="1">
      <alignment horizontal="left" vertical="center" indent="6"/>
    </xf>
    <xf numFmtId="3" fontId="129" fillId="25" borderId="30" xfId="0" applyNumberFormat="1" applyFont="1" applyFill="1" applyBorder="1" applyAlignment="1">
      <alignment horizontal="center" vertical="center" wrapText="1"/>
    </xf>
    <xf numFmtId="3" fontId="129" fillId="25" borderId="25" xfId="0" applyNumberFormat="1" applyFont="1" applyFill="1" applyBorder="1" applyAlignment="1">
      <alignment horizontal="center" vertical="center" wrapText="1"/>
    </xf>
    <xf numFmtId="3" fontId="4" fillId="25" borderId="30" xfId="0" applyNumberFormat="1" applyFont="1" applyFill="1" applyBorder="1" applyAlignment="1">
      <alignment horizontal="center" vertical="center" wrapText="1"/>
    </xf>
    <xf numFmtId="3" fontId="4" fillId="25" borderId="100" xfId="0" applyNumberFormat="1" applyFont="1" applyFill="1" applyBorder="1" applyAlignment="1">
      <alignment horizontal="center" vertical="center" wrapText="1"/>
    </xf>
    <xf numFmtId="3" fontId="4" fillId="29" borderId="91" xfId="0" applyNumberFormat="1" applyFont="1" applyFill="1" applyBorder="1" applyAlignment="1">
      <alignment horizontal="center" vertical="center" wrapText="1"/>
    </xf>
    <xf numFmtId="3" fontId="4" fillId="29" borderId="23" xfId="0" applyNumberFormat="1" applyFont="1" applyFill="1" applyBorder="1" applyAlignment="1">
      <alignment horizontal="center" vertical="center" wrapText="1"/>
    </xf>
    <xf numFmtId="3" fontId="4" fillId="29" borderId="49" xfId="0" applyNumberFormat="1" applyFont="1" applyFill="1" applyBorder="1" applyAlignment="1">
      <alignment horizontal="center" vertical="center" wrapText="1"/>
    </xf>
    <xf numFmtId="3" fontId="4" fillId="4" borderId="205" xfId="0" applyNumberFormat="1" applyFont="1" applyFill="1" applyBorder="1" applyAlignment="1">
      <alignment horizontal="center" vertical="center" wrapText="1"/>
    </xf>
    <xf numFmtId="3" fontId="4" fillId="4" borderId="15" xfId="0" applyNumberFormat="1" applyFont="1" applyFill="1" applyBorder="1" applyAlignment="1">
      <alignment horizontal="center" vertical="center" wrapText="1"/>
    </xf>
    <xf numFmtId="0" fontId="74" fillId="25" borderId="39" xfId="0" applyFont="1" applyFill="1" applyBorder="1" applyAlignment="1">
      <alignment horizontal="left" vertical="center" indent="7"/>
    </xf>
    <xf numFmtId="0" fontId="74" fillId="25" borderId="41" xfId="0" applyFont="1" applyFill="1" applyBorder="1" applyAlignment="1">
      <alignment horizontal="left" vertical="center" indent="7"/>
    </xf>
    <xf numFmtId="0" fontId="74" fillId="25" borderId="178" xfId="0" applyFont="1" applyFill="1" applyBorder="1" applyAlignment="1">
      <alignment horizontal="left" vertical="center" indent="7"/>
    </xf>
    <xf numFmtId="0" fontId="74" fillId="25" borderId="8" xfId="0" applyFont="1" applyFill="1" applyBorder="1" applyAlignment="1">
      <alignment horizontal="left" vertical="center" indent="7"/>
    </xf>
    <xf numFmtId="0" fontId="78" fillId="3" borderId="50" xfId="1" applyFont="1" applyFill="1" applyBorder="1" applyAlignment="1" applyProtection="1">
      <alignment horizontal="center" vertical="center"/>
    </xf>
    <xf numFmtId="0" fontId="193" fillId="25" borderId="87" xfId="0" applyFont="1" applyFill="1" applyBorder="1" applyAlignment="1">
      <alignment horizontal="center" vertical="center" wrapText="1"/>
    </xf>
    <xf numFmtId="0" fontId="193" fillId="25" borderId="82" xfId="0" applyFont="1" applyFill="1" applyBorder="1" applyAlignment="1">
      <alignment horizontal="center" vertical="center" wrapText="1"/>
    </xf>
    <xf numFmtId="170" fontId="65" fillId="24" borderId="39" xfId="0" applyNumberFormat="1" applyFont="1" applyFill="1" applyBorder="1" applyAlignment="1">
      <alignment horizontal="center"/>
    </xf>
    <xf numFmtId="170" fontId="65" fillId="24" borderId="213" xfId="0" applyNumberFormat="1" applyFont="1" applyFill="1" applyBorder="1" applyAlignment="1">
      <alignment horizontal="center"/>
    </xf>
    <xf numFmtId="0" fontId="76" fillId="18" borderId="46" xfId="0" applyFont="1" applyFill="1" applyBorder="1" applyAlignment="1">
      <alignment horizontal="center"/>
    </xf>
    <xf numFmtId="0" fontId="76" fillId="18" borderId="29" xfId="0" applyFont="1" applyFill="1" applyBorder="1" applyAlignment="1">
      <alignment horizontal="center"/>
    </xf>
    <xf numFmtId="0" fontId="76" fillId="29" borderId="55" xfId="0" applyFont="1" applyFill="1" applyBorder="1" applyAlignment="1">
      <alignment horizontal="center"/>
    </xf>
    <xf numFmtId="0" fontId="76" fillId="29" borderId="74" xfId="0" applyFont="1" applyFill="1" applyBorder="1" applyAlignment="1">
      <alignment horizontal="center"/>
    </xf>
    <xf numFmtId="0" fontId="193" fillId="25" borderId="87" xfId="0" applyFont="1" applyFill="1" applyBorder="1" applyAlignment="1">
      <alignment horizontal="center" vertical="center"/>
    </xf>
    <xf numFmtId="0" fontId="193" fillId="25" borderId="214" xfId="0" applyFont="1" applyFill="1" applyBorder="1" applyAlignment="1">
      <alignment horizontal="center" vertical="center"/>
    </xf>
    <xf numFmtId="0" fontId="193" fillId="25" borderId="92" xfId="0" applyFont="1" applyFill="1" applyBorder="1" applyAlignment="1">
      <alignment horizontal="center" vertical="center" wrapText="1"/>
    </xf>
    <xf numFmtId="0" fontId="193" fillId="25" borderId="73" xfId="0" applyFont="1" applyFill="1" applyBorder="1" applyAlignment="1">
      <alignment horizontal="center" vertical="center" wrapText="1"/>
    </xf>
    <xf numFmtId="0" fontId="193" fillId="25" borderId="95" xfId="0" applyFont="1" applyFill="1" applyBorder="1" applyAlignment="1">
      <alignment horizontal="center" vertical="center" wrapText="1"/>
    </xf>
    <xf numFmtId="0" fontId="193" fillId="25" borderId="75" xfId="0" applyFont="1" applyFill="1" applyBorder="1" applyAlignment="1">
      <alignment horizontal="center" vertical="center" wrapText="1"/>
    </xf>
    <xf numFmtId="0" fontId="193" fillId="25" borderId="74" xfId="0" applyFont="1" applyFill="1" applyBorder="1" applyAlignment="1">
      <alignment horizontal="center" vertical="center" wrapText="1"/>
    </xf>
    <xf numFmtId="170" fontId="111" fillId="3" borderId="280" xfId="0" applyNumberFormat="1" applyFont="1" applyFill="1" applyBorder="1" applyAlignment="1" applyProtection="1">
      <alignment horizontal="center"/>
      <protection locked="0"/>
    </xf>
    <xf numFmtId="170" fontId="111" fillId="3" borderId="257" xfId="0" applyNumberFormat="1" applyFont="1" applyFill="1" applyBorder="1" applyAlignment="1" applyProtection="1">
      <alignment horizontal="center"/>
      <protection locked="0"/>
    </xf>
    <xf numFmtId="170" fontId="111" fillId="3" borderId="276" xfId="0" applyNumberFormat="1" applyFont="1" applyFill="1" applyBorder="1" applyAlignment="1" applyProtection="1">
      <alignment horizontal="center"/>
      <protection locked="0"/>
    </xf>
    <xf numFmtId="170" fontId="111" fillId="3" borderId="269" xfId="0" applyNumberFormat="1" applyFont="1" applyFill="1" applyBorder="1" applyAlignment="1" applyProtection="1">
      <alignment horizontal="center"/>
      <protection locked="0"/>
    </xf>
    <xf numFmtId="170" fontId="111" fillId="3" borderId="283" xfId="0" applyNumberFormat="1" applyFont="1" applyFill="1" applyBorder="1" applyAlignment="1" applyProtection="1">
      <alignment horizontal="center"/>
      <protection locked="0"/>
    </xf>
    <xf numFmtId="170" fontId="111" fillId="3" borderId="260" xfId="0" applyNumberFormat="1" applyFont="1" applyFill="1" applyBorder="1" applyAlignment="1" applyProtection="1">
      <alignment horizontal="center"/>
      <protection locked="0"/>
    </xf>
    <xf numFmtId="170" fontId="111" fillId="3" borderId="275" xfId="0" applyNumberFormat="1" applyFont="1" applyFill="1" applyBorder="1" applyAlignment="1" applyProtection="1">
      <alignment horizontal="center"/>
      <protection locked="0"/>
    </xf>
    <xf numFmtId="170" fontId="111" fillId="3" borderId="271" xfId="0" applyNumberFormat="1" applyFont="1" applyFill="1" applyBorder="1" applyAlignment="1" applyProtection="1">
      <alignment horizontal="center"/>
      <protection locked="0"/>
    </xf>
    <xf numFmtId="0" fontId="193" fillId="25" borderId="88" xfId="0" applyFont="1" applyFill="1" applyBorder="1" applyAlignment="1">
      <alignment horizontal="center" vertical="center" wrapText="1"/>
    </xf>
    <xf numFmtId="170" fontId="65" fillId="24" borderId="41" xfId="0" applyNumberFormat="1" applyFont="1" applyFill="1" applyBorder="1" applyAlignment="1">
      <alignment horizontal="center"/>
    </xf>
    <xf numFmtId="170" fontId="65" fillId="24" borderId="42" xfId="0" applyNumberFormat="1" applyFont="1" applyFill="1" applyBorder="1" applyAlignment="1">
      <alignment horizontal="center"/>
    </xf>
    <xf numFmtId="170" fontId="111" fillId="3" borderId="301" xfId="0" applyNumberFormat="1" applyFont="1" applyFill="1" applyBorder="1" applyAlignment="1" applyProtection="1">
      <alignment horizontal="center"/>
      <protection locked="0"/>
    </xf>
    <xf numFmtId="170" fontId="111" fillId="3" borderId="262" xfId="0" applyNumberFormat="1" applyFont="1" applyFill="1" applyBorder="1" applyAlignment="1" applyProtection="1">
      <alignment horizontal="center"/>
      <protection locked="0"/>
    </xf>
    <xf numFmtId="170" fontId="65" fillId="24" borderId="280" xfId="0" applyNumberFormat="1" applyFont="1" applyFill="1" applyBorder="1" applyAlignment="1">
      <alignment horizontal="center"/>
    </xf>
    <xf numFmtId="170" fontId="65" fillId="24" borderId="257" xfId="0" applyNumberFormat="1" applyFont="1" applyFill="1" applyBorder="1" applyAlignment="1">
      <alignment horizontal="center"/>
    </xf>
    <xf numFmtId="170" fontId="65" fillId="24" borderId="258" xfId="0" applyNumberFormat="1" applyFont="1" applyFill="1" applyBorder="1" applyAlignment="1">
      <alignment horizontal="center"/>
    </xf>
    <xf numFmtId="170" fontId="65" fillId="24" borderId="260" xfId="0" applyNumberFormat="1" applyFont="1" applyFill="1" applyBorder="1" applyAlignment="1">
      <alignment horizontal="center"/>
    </xf>
    <xf numFmtId="170" fontId="111" fillId="3" borderId="312" xfId="0" applyNumberFormat="1" applyFont="1" applyFill="1" applyBorder="1" applyAlignment="1" applyProtection="1">
      <alignment horizontal="center"/>
      <protection locked="0"/>
    </xf>
    <xf numFmtId="170" fontId="111" fillId="3" borderId="274" xfId="0" applyNumberFormat="1" applyFont="1" applyFill="1" applyBorder="1" applyAlignment="1" applyProtection="1">
      <alignment horizontal="center"/>
      <protection locked="0"/>
    </xf>
    <xf numFmtId="0" fontId="76" fillId="18" borderId="217" xfId="0" applyFont="1" applyFill="1" applyBorder="1" applyAlignment="1">
      <alignment horizontal="center"/>
    </xf>
    <xf numFmtId="0" fontId="76" fillId="18" borderId="137" xfId="0" applyFont="1" applyFill="1" applyBorder="1" applyAlignment="1">
      <alignment horizontal="center"/>
    </xf>
    <xf numFmtId="0" fontId="76" fillId="29" borderId="52" xfId="0" applyFont="1" applyFill="1" applyBorder="1" applyAlignment="1">
      <alignment horizontal="center"/>
    </xf>
    <xf numFmtId="0" fontId="76" fillId="29" borderId="76" xfId="0" applyFont="1" applyFill="1" applyBorder="1" applyAlignment="1">
      <alignment horizontal="center"/>
    </xf>
    <xf numFmtId="170" fontId="111" fillId="3" borderId="283" xfId="0" applyNumberFormat="1" applyFont="1" applyFill="1" applyBorder="1" applyAlignment="1" applyProtection="1">
      <alignment horizontal="center" shrinkToFit="1"/>
      <protection locked="0"/>
    </xf>
    <xf numFmtId="170" fontId="111" fillId="3" borderId="260" xfId="0" applyNumberFormat="1" applyFont="1" applyFill="1" applyBorder="1" applyAlignment="1" applyProtection="1">
      <alignment horizontal="center" shrinkToFit="1"/>
      <protection locked="0"/>
    </xf>
    <xf numFmtId="170" fontId="111" fillId="3" borderId="275" xfId="0" applyNumberFormat="1" applyFont="1" applyFill="1" applyBorder="1" applyAlignment="1" applyProtection="1">
      <alignment horizontal="center" shrinkToFit="1"/>
      <protection locked="0"/>
    </xf>
    <xf numFmtId="170" fontId="111" fillId="3" borderId="271" xfId="0" applyNumberFormat="1" applyFont="1" applyFill="1" applyBorder="1" applyAlignment="1" applyProtection="1">
      <alignment horizontal="center" shrinkToFit="1"/>
      <protection locked="0"/>
    </xf>
    <xf numFmtId="0" fontId="76" fillId="29" borderId="220" xfId="0" applyFont="1" applyFill="1" applyBorder="1" applyAlignment="1">
      <alignment horizontal="center"/>
    </xf>
    <xf numFmtId="0" fontId="76" fillId="29" borderId="44" xfId="0" applyFont="1" applyFill="1" applyBorder="1" applyAlignment="1">
      <alignment horizontal="center"/>
    </xf>
    <xf numFmtId="170" fontId="111" fillId="3" borderId="280" xfId="0" applyNumberFormat="1" applyFont="1" applyFill="1" applyBorder="1" applyAlignment="1" applyProtection="1">
      <alignment horizontal="center" shrinkToFit="1"/>
      <protection locked="0"/>
    </xf>
    <xf numFmtId="170" fontId="111" fillId="3" borderId="257" xfId="0" applyNumberFormat="1" applyFont="1" applyFill="1" applyBorder="1" applyAlignment="1" applyProtection="1">
      <alignment horizontal="center" shrinkToFit="1"/>
      <protection locked="0"/>
    </xf>
    <xf numFmtId="170" fontId="111" fillId="3" borderId="258" xfId="0" applyNumberFormat="1" applyFont="1" applyFill="1" applyBorder="1" applyAlignment="1" applyProtection="1">
      <alignment horizontal="center"/>
      <protection locked="0"/>
    </xf>
    <xf numFmtId="170" fontId="65" fillId="25" borderId="280" xfId="0" applyNumberFormat="1" applyFont="1" applyFill="1" applyBorder="1" applyAlignment="1">
      <alignment horizontal="center"/>
    </xf>
    <xf numFmtId="170" fontId="65" fillId="25" borderId="258" xfId="0" applyNumberFormat="1" applyFont="1" applyFill="1" applyBorder="1" applyAlignment="1">
      <alignment horizontal="center"/>
    </xf>
    <xf numFmtId="170" fontId="65" fillId="25" borderId="260" xfId="0" applyNumberFormat="1" applyFont="1" applyFill="1" applyBorder="1" applyAlignment="1">
      <alignment horizontal="center"/>
    </xf>
    <xf numFmtId="0" fontId="76" fillId="29" borderId="55" xfId="0" applyFont="1" applyFill="1" applyBorder="1" applyAlignment="1">
      <alignment horizontal="center" vertical="center"/>
    </xf>
    <xf numFmtId="0" fontId="76" fillId="29" borderId="52" xfId="0" applyFont="1" applyFill="1" applyBorder="1" applyAlignment="1">
      <alignment horizontal="center" vertical="center"/>
    </xf>
    <xf numFmtId="0" fontId="76" fillId="29" borderId="76" xfId="0" applyFont="1" applyFill="1" applyBorder="1" applyAlignment="1">
      <alignment horizontal="center" vertical="center"/>
    </xf>
    <xf numFmtId="170" fontId="65" fillId="25" borderId="219" xfId="0" applyNumberFormat="1" applyFont="1" applyFill="1" applyBorder="1" applyAlignment="1">
      <alignment horizontal="center"/>
    </xf>
    <xf numFmtId="170" fontId="65" fillId="25" borderId="154" xfId="0" applyNumberFormat="1" applyFont="1" applyFill="1" applyBorder="1" applyAlignment="1">
      <alignment horizontal="center"/>
    </xf>
    <xf numFmtId="170" fontId="65" fillId="25" borderId="152" xfId="0" applyNumberFormat="1" applyFont="1" applyFill="1" applyBorder="1" applyAlignment="1">
      <alignment horizontal="center"/>
    </xf>
    <xf numFmtId="170" fontId="111" fillId="3" borderId="270" xfId="0" applyNumberFormat="1" applyFont="1" applyFill="1" applyBorder="1" applyAlignment="1" applyProtection="1">
      <alignment horizontal="center"/>
      <protection locked="0"/>
    </xf>
    <xf numFmtId="170" fontId="111" fillId="3" borderId="263" xfId="0" applyNumberFormat="1" applyFont="1" applyFill="1" applyBorder="1" applyAlignment="1" applyProtection="1">
      <alignment horizontal="center"/>
      <protection locked="0"/>
    </xf>
    <xf numFmtId="0" fontId="216" fillId="25" borderId="41" xfId="0" applyFont="1" applyFill="1" applyBorder="1" applyAlignment="1">
      <alignment horizontal="center" vertical="center" wrapText="1"/>
    </xf>
    <xf numFmtId="0" fontId="216" fillId="25" borderId="42" xfId="0" applyFont="1" applyFill="1" applyBorder="1" applyAlignment="1">
      <alignment horizontal="center" vertical="center" wrapText="1"/>
    </xf>
    <xf numFmtId="0" fontId="77" fillId="29" borderId="55" xfId="0" applyFont="1" applyFill="1" applyBorder="1" applyAlignment="1">
      <alignment horizontal="left" indent="12"/>
    </xf>
    <xf numFmtId="0" fontId="77" fillId="29" borderId="52" xfId="0" applyFont="1" applyFill="1" applyBorder="1" applyAlignment="1">
      <alignment horizontal="left" indent="12"/>
    </xf>
    <xf numFmtId="0" fontId="77" fillId="29" borderId="76" xfId="0" applyFont="1" applyFill="1" applyBorder="1" applyAlignment="1">
      <alignment horizontal="left" indent="12"/>
    </xf>
    <xf numFmtId="170" fontId="111" fillId="3" borderId="276" xfId="0" applyNumberFormat="1" applyFont="1" applyFill="1" applyBorder="1" applyAlignment="1" applyProtection="1">
      <alignment horizontal="center" shrinkToFit="1"/>
      <protection locked="0"/>
    </xf>
    <xf numFmtId="170" fontId="111" fillId="3" borderId="269" xfId="0" applyNumberFormat="1" applyFont="1" applyFill="1" applyBorder="1" applyAlignment="1" applyProtection="1">
      <alignment horizontal="center" shrinkToFit="1"/>
      <protection locked="0"/>
    </xf>
    <xf numFmtId="0" fontId="76" fillId="18" borderId="91" xfId="0" applyFont="1" applyFill="1" applyBorder="1" applyAlignment="1">
      <alignment horizontal="center"/>
    </xf>
    <xf numFmtId="0" fontId="76" fillId="18" borderId="23" xfId="0" applyFont="1" applyFill="1" applyBorder="1" applyAlignment="1">
      <alignment horizontal="center"/>
    </xf>
    <xf numFmtId="0" fontId="76" fillId="18" borderId="214" xfId="0" applyFont="1" applyFill="1" applyBorder="1" applyAlignment="1">
      <alignment horizontal="center"/>
    </xf>
    <xf numFmtId="0" fontId="76" fillId="18" borderId="49" xfId="0" applyFont="1" applyFill="1" applyBorder="1" applyAlignment="1">
      <alignment horizontal="center"/>
    </xf>
    <xf numFmtId="170" fontId="65" fillId="24" borderId="154" xfId="0" applyNumberFormat="1" applyFont="1" applyFill="1" applyBorder="1" applyAlignment="1">
      <alignment horizontal="center" shrinkToFit="1"/>
    </xf>
    <xf numFmtId="170" fontId="65" fillId="24" borderId="218" xfId="0" applyNumberFormat="1" applyFont="1" applyFill="1" applyBorder="1" applyAlignment="1">
      <alignment horizontal="center" shrinkToFit="1"/>
    </xf>
    <xf numFmtId="170" fontId="65" fillId="24" borderId="152" xfId="0" applyNumberFormat="1" applyFont="1" applyFill="1" applyBorder="1" applyAlignment="1">
      <alignment horizontal="center" shrinkToFit="1"/>
    </xf>
    <xf numFmtId="0" fontId="76" fillId="29" borderId="50" xfId="0" applyFont="1" applyFill="1" applyBorder="1" applyAlignment="1">
      <alignment horizontal="center"/>
    </xf>
    <xf numFmtId="170" fontId="65" fillId="24" borderId="280" xfId="0" applyNumberFormat="1" applyFont="1" applyFill="1" applyBorder="1" applyAlignment="1">
      <alignment horizontal="center" shrinkToFit="1"/>
    </xf>
    <xf numFmtId="170" fontId="65" fillId="24" borderId="257" xfId="0" applyNumberFormat="1" applyFont="1" applyFill="1" applyBorder="1" applyAlignment="1">
      <alignment horizontal="center" shrinkToFit="1"/>
    </xf>
    <xf numFmtId="170" fontId="65" fillId="24" borderId="283" xfId="0" applyNumberFormat="1" applyFont="1" applyFill="1" applyBorder="1" applyAlignment="1">
      <alignment horizontal="center" shrinkToFit="1"/>
    </xf>
    <xf numFmtId="170" fontId="65" fillId="24" borderId="260" xfId="0" applyNumberFormat="1" applyFont="1" applyFill="1" applyBorder="1" applyAlignment="1">
      <alignment horizontal="center" shrinkToFit="1"/>
    </xf>
    <xf numFmtId="0" fontId="224" fillId="24" borderId="55" xfId="1" applyFont="1" applyFill="1" applyBorder="1" applyAlignment="1" applyProtection="1">
      <alignment horizontal="center" vertical="center" wrapText="1"/>
    </xf>
    <xf numFmtId="0" fontId="224" fillId="24" borderId="52" xfId="1" applyFont="1" applyFill="1" applyBorder="1" applyAlignment="1" applyProtection="1">
      <alignment horizontal="center" vertical="center"/>
    </xf>
    <xf numFmtId="0" fontId="224" fillId="24" borderId="76" xfId="1" applyFont="1" applyFill="1" applyBorder="1" applyAlignment="1" applyProtection="1">
      <alignment horizontal="center" vertical="center"/>
    </xf>
    <xf numFmtId="0" fontId="226" fillId="41" borderId="214" xfId="1" applyFont="1" applyFill="1" applyBorder="1" applyAlignment="1" applyProtection="1">
      <alignment horizontal="center" vertical="center" wrapText="1"/>
    </xf>
    <xf numFmtId="0" fontId="226" fillId="41" borderId="23" xfId="1" applyFont="1" applyFill="1" applyBorder="1" applyAlignment="1" applyProtection="1">
      <alignment horizontal="center" vertical="center"/>
    </xf>
    <xf numFmtId="0" fontId="226" fillId="41" borderId="88" xfId="1" applyFont="1" applyFill="1" applyBorder="1" applyAlignment="1" applyProtection="1">
      <alignment horizontal="center" vertical="center"/>
    </xf>
    <xf numFmtId="3" fontId="224" fillId="18" borderId="0" xfId="4" applyNumberFormat="1" applyFont="1" applyFill="1" applyAlignment="1">
      <alignment horizontal="center"/>
    </xf>
    <xf numFmtId="0" fontId="36" fillId="29" borderId="55" xfId="4" applyFont="1" applyFill="1" applyBorder="1" applyAlignment="1">
      <alignment horizontal="center" vertical="center"/>
    </xf>
    <xf numFmtId="0" fontId="36" fillId="29" borderId="52" xfId="4" applyFont="1" applyFill="1" applyBorder="1" applyAlignment="1">
      <alignment horizontal="center" vertical="center"/>
    </xf>
    <xf numFmtId="0" fontId="36" fillId="29" borderId="76" xfId="4" applyFont="1" applyFill="1" applyBorder="1" applyAlignment="1">
      <alignment horizontal="center" vertical="center"/>
    </xf>
    <xf numFmtId="0" fontId="206" fillId="25" borderId="55" xfId="4" applyFont="1" applyFill="1" applyBorder="1" applyAlignment="1">
      <alignment horizontal="center" vertical="center" wrapText="1"/>
    </xf>
    <xf numFmtId="0" fontId="206" fillId="25" borderId="52" xfId="4" applyFont="1" applyFill="1" applyBorder="1" applyAlignment="1">
      <alignment horizontal="center" vertical="center" wrapText="1"/>
    </xf>
    <xf numFmtId="0" fontId="206" fillId="25" borderId="76" xfId="4" applyFont="1" applyFill="1" applyBorder="1" applyAlignment="1">
      <alignment horizontal="center" vertical="center" wrapText="1"/>
    </xf>
    <xf numFmtId="0" fontId="129" fillId="25" borderId="221" xfId="0" applyFont="1" applyFill="1" applyBorder="1" applyAlignment="1">
      <alignment horizontal="center" vertical="center"/>
    </xf>
    <xf numFmtId="0" fontId="129" fillId="25" borderId="103" xfId="0" applyFont="1" applyFill="1" applyBorder="1" applyAlignment="1">
      <alignment horizontal="center" vertical="center"/>
    </xf>
    <xf numFmtId="0" fontId="129" fillId="25" borderId="222" xfId="0" applyFont="1" applyFill="1" applyBorder="1" applyAlignment="1">
      <alignment horizontal="center" vertical="center"/>
    </xf>
    <xf numFmtId="0" fontId="129" fillId="25" borderId="223" xfId="0" applyFont="1" applyFill="1" applyBorder="1" applyAlignment="1">
      <alignment horizontal="center" vertical="center"/>
    </xf>
    <xf numFmtId="0" fontId="0" fillId="29" borderId="55" xfId="0" applyFill="1" applyBorder="1" applyAlignment="1">
      <alignment horizontal="center"/>
    </xf>
    <xf numFmtId="0" fontId="0" fillId="29" borderId="52" xfId="0" applyFill="1" applyBorder="1" applyAlignment="1">
      <alignment horizontal="center"/>
    </xf>
    <xf numFmtId="0" fontId="0" fillId="29" borderId="76" xfId="0" applyFill="1" applyBorder="1" applyAlignment="1">
      <alignment horizontal="center"/>
    </xf>
    <xf numFmtId="3" fontId="6" fillId="4" borderId="181" xfId="0" applyNumberFormat="1" applyFont="1" applyFill="1" applyBorder="1" applyAlignment="1">
      <alignment horizontal="center" vertical="center" wrapText="1"/>
    </xf>
    <xf numFmtId="3" fontId="6" fillId="4" borderId="18" xfId="0" applyNumberFormat="1" applyFont="1" applyFill="1" applyBorder="1" applyAlignment="1">
      <alignment horizontal="center" vertical="center" wrapText="1"/>
    </xf>
    <xf numFmtId="0" fontId="55" fillId="25" borderId="24" xfId="0" applyFont="1" applyFill="1" applyBorder="1" applyAlignment="1">
      <alignment horizontal="center" vertical="center"/>
    </xf>
    <xf numFmtId="0" fontId="55" fillId="25" borderId="43" xfId="0" applyFont="1" applyFill="1" applyBorder="1" applyAlignment="1">
      <alignment horizontal="center" vertical="center"/>
    </xf>
    <xf numFmtId="3" fontId="131" fillId="30" borderId="201" xfId="0" applyNumberFormat="1" applyFont="1" applyFill="1" applyBorder="1" applyAlignment="1">
      <alignment horizontal="center" vertical="center" wrapText="1"/>
    </xf>
    <xf numFmtId="3" fontId="131" fillId="30" borderId="27" xfId="0" applyNumberFormat="1" applyFont="1" applyFill="1" applyBorder="1" applyAlignment="1">
      <alignment horizontal="center" vertical="center" wrapText="1"/>
    </xf>
    <xf numFmtId="0" fontId="131" fillId="30" borderId="201" xfId="0" applyFont="1" applyFill="1" applyBorder="1" applyAlignment="1">
      <alignment horizontal="center" vertical="center"/>
    </xf>
    <xf numFmtId="0" fontId="131" fillId="30" borderId="28" xfId="0" applyFont="1" applyFill="1" applyBorder="1" applyAlignment="1">
      <alignment horizontal="center" vertical="center"/>
    </xf>
    <xf numFmtId="0" fontId="131" fillId="30" borderId="101" xfId="0" applyFont="1" applyFill="1" applyBorder="1" applyAlignment="1">
      <alignment horizontal="center" vertical="center" wrapText="1"/>
    </xf>
    <xf numFmtId="0" fontId="131" fillId="30" borderId="100" xfId="0" applyFont="1" applyFill="1" applyBorder="1" applyAlignment="1">
      <alignment horizontal="center" vertical="center" wrapText="1"/>
    </xf>
    <xf numFmtId="0" fontId="100" fillId="30" borderId="30" xfId="0" applyFont="1" applyFill="1" applyBorder="1" applyAlignment="1">
      <alignment horizontal="center" vertical="center" wrapText="1"/>
    </xf>
    <xf numFmtId="0" fontId="100" fillId="30" borderId="25" xfId="0" applyFont="1" applyFill="1" applyBorder="1" applyAlignment="1">
      <alignment horizontal="center" vertical="center" wrapText="1"/>
    </xf>
    <xf numFmtId="3" fontId="211" fillId="52" borderId="0" xfId="0" applyNumberFormat="1" applyFont="1" applyFill="1" applyAlignment="1">
      <alignment horizontal="center" vertical="center" wrapText="1"/>
    </xf>
    <xf numFmtId="3" fontId="211" fillId="52" borderId="0" xfId="0" applyNumberFormat="1" applyFont="1" applyFill="1" applyAlignment="1">
      <alignment horizontal="center" vertical="center"/>
    </xf>
    <xf numFmtId="0" fontId="0" fillId="24" borderId="39" xfId="0" applyFill="1" applyBorder="1" applyAlignment="1">
      <alignment horizontal="center"/>
    </xf>
    <xf numFmtId="0" fontId="0" fillId="24" borderId="42" xfId="0" applyFill="1" applyBorder="1" applyAlignment="1">
      <alignment horizontal="center"/>
    </xf>
    <xf numFmtId="0" fontId="0" fillId="24" borderId="24" xfId="0" applyFill="1" applyBorder="1" applyAlignment="1">
      <alignment horizontal="center"/>
    </xf>
    <xf numFmtId="0" fontId="0" fillId="24" borderId="43" xfId="0" applyFill="1" applyBorder="1" applyAlignment="1">
      <alignment horizontal="center"/>
    </xf>
    <xf numFmtId="0" fontId="0" fillId="24" borderId="40" xfId="0" applyFill="1" applyBorder="1" applyAlignment="1">
      <alignment horizontal="center"/>
    </xf>
    <xf numFmtId="0" fontId="0" fillId="24" borderId="44" xfId="0" applyFill="1" applyBorder="1" applyAlignment="1">
      <alignment horizontal="center"/>
    </xf>
    <xf numFmtId="168" fontId="194" fillId="48" borderId="201" xfId="0" applyNumberFormat="1" applyFont="1" applyFill="1" applyBorder="1" applyAlignment="1">
      <alignment horizontal="center" vertical="center" shrinkToFit="1"/>
    </xf>
    <xf numFmtId="168" fontId="194" fillId="48" borderId="2" xfId="0" applyNumberFormat="1" applyFont="1" applyFill="1" applyBorder="1" applyAlignment="1">
      <alignment horizontal="center" vertical="center" shrinkToFit="1"/>
    </xf>
    <xf numFmtId="168" fontId="194" fillId="48" borderId="28" xfId="0" applyNumberFormat="1" applyFont="1" applyFill="1" applyBorder="1" applyAlignment="1">
      <alignment horizontal="center" vertical="center" shrinkToFit="1"/>
    </xf>
    <xf numFmtId="168" fontId="194" fillId="48" borderId="24" xfId="0" applyNumberFormat="1" applyFont="1" applyFill="1" applyBorder="1" applyAlignment="1">
      <alignment horizontal="center" vertical="center" shrinkToFit="1"/>
    </xf>
    <xf numFmtId="168" fontId="194" fillId="48" borderId="0" xfId="0" applyNumberFormat="1" applyFont="1" applyFill="1" applyAlignment="1">
      <alignment horizontal="center" vertical="center" shrinkToFit="1"/>
    </xf>
    <xf numFmtId="168" fontId="194" fillId="48" borderId="43" xfId="0" applyNumberFormat="1" applyFont="1" applyFill="1" applyBorder="1" applyAlignment="1">
      <alignment horizontal="center" vertical="center" shrinkToFit="1"/>
    </xf>
    <xf numFmtId="168" fontId="194" fillId="48" borderId="40" xfId="0" applyNumberFormat="1" applyFont="1" applyFill="1" applyBorder="1" applyAlignment="1">
      <alignment horizontal="center" vertical="center" shrinkToFit="1"/>
    </xf>
    <xf numFmtId="168" fontId="194" fillId="48" borderId="50" xfId="0" applyNumberFormat="1" applyFont="1" applyFill="1" applyBorder="1" applyAlignment="1">
      <alignment horizontal="center" vertical="center" shrinkToFit="1"/>
    </xf>
    <xf numFmtId="168" fontId="194" fillId="48" borderId="44" xfId="0" applyNumberFormat="1" applyFont="1" applyFill="1" applyBorder="1" applyAlignment="1">
      <alignment horizontal="center" vertical="center" shrinkToFit="1"/>
    </xf>
    <xf numFmtId="0" fontId="195" fillId="25" borderId="23" xfId="0" applyFont="1" applyFill="1" applyBorder="1" applyAlignment="1">
      <alignment horizontal="center" vertical="center" wrapText="1"/>
    </xf>
    <xf numFmtId="0" fontId="196" fillId="29" borderId="224" xfId="0" applyFont="1" applyFill="1" applyBorder="1" applyAlignment="1">
      <alignment horizontal="center" vertical="center" wrapText="1"/>
    </xf>
    <xf numFmtId="0" fontId="197" fillId="29" borderId="225" xfId="0" applyFont="1" applyFill="1" applyBorder="1" applyAlignment="1">
      <alignment horizontal="center" vertical="center" wrapText="1"/>
    </xf>
    <xf numFmtId="0" fontId="197" fillId="29" borderId="226" xfId="0" applyFont="1" applyFill="1" applyBorder="1" applyAlignment="1">
      <alignment horizontal="center" vertical="center" wrapText="1"/>
    </xf>
    <xf numFmtId="0" fontId="195" fillId="25" borderId="178" xfId="0" applyFont="1" applyFill="1" applyBorder="1" applyAlignment="1">
      <alignment horizontal="center" vertical="center" wrapText="1"/>
    </xf>
    <xf numFmtId="0" fontId="195" fillId="25" borderId="8" xfId="0" applyFont="1" applyFill="1" applyBorder="1" applyAlignment="1">
      <alignment horizontal="center" vertical="center" wrapText="1"/>
    </xf>
    <xf numFmtId="0" fontId="195" fillId="25" borderId="26" xfId="0" applyFont="1" applyFill="1" applyBorder="1" applyAlignment="1">
      <alignment horizontal="center" vertical="center" wrapText="1"/>
    </xf>
    <xf numFmtId="3" fontId="129" fillId="30" borderId="201" xfId="0" applyNumberFormat="1" applyFont="1" applyFill="1" applyBorder="1" applyAlignment="1">
      <alignment horizontal="center" vertical="center" wrapText="1"/>
    </xf>
    <xf numFmtId="3" fontId="129" fillId="30" borderId="28" xfId="0" applyNumberFormat="1" applyFont="1" applyFill="1" applyBorder="1" applyAlignment="1">
      <alignment horizontal="center" vertical="center" wrapText="1"/>
    </xf>
    <xf numFmtId="0" fontId="195" fillId="30" borderId="227" xfId="0" applyFont="1" applyFill="1" applyBorder="1" applyAlignment="1">
      <alignment horizontal="center" vertical="center" wrapText="1"/>
    </xf>
    <xf numFmtId="0" fontId="195" fillId="30" borderId="25" xfId="0" applyFont="1" applyFill="1" applyBorder="1" applyAlignment="1">
      <alignment horizontal="center" vertical="center" wrapText="1"/>
    </xf>
    <xf numFmtId="0" fontId="166" fillId="30" borderId="201" xfId="0" applyFont="1" applyFill="1" applyBorder="1" applyAlignment="1">
      <alignment horizontal="center" vertical="center"/>
    </xf>
    <xf numFmtId="0" fontId="166" fillId="30" borderId="28" xfId="0" applyFont="1" applyFill="1" applyBorder="1" applyAlignment="1">
      <alignment horizontal="center" vertical="center"/>
    </xf>
    <xf numFmtId="0" fontId="129" fillId="30" borderId="101" xfId="0" applyFont="1" applyFill="1" applyBorder="1" applyAlignment="1">
      <alignment horizontal="center" vertical="center" wrapText="1"/>
    </xf>
    <xf numFmtId="0" fontId="129" fillId="30" borderId="100" xfId="0" applyFont="1" applyFill="1" applyBorder="1" applyAlignment="1">
      <alignment horizontal="center" vertical="center" wrapText="1"/>
    </xf>
    <xf numFmtId="0" fontId="80" fillId="3" borderId="0" xfId="1" applyFont="1" applyFill="1" applyAlignment="1" applyProtection="1">
      <alignment horizontal="center" wrapText="1"/>
    </xf>
    <xf numFmtId="0" fontId="285" fillId="18" borderId="24" xfId="0" applyFont="1" applyFill="1" applyBorder="1" applyAlignment="1">
      <alignment horizontal="left" vertical="center" wrapText="1" indent="1"/>
    </xf>
    <xf numFmtId="0" fontId="285" fillId="18" borderId="0" xfId="0" applyFont="1" applyFill="1" applyAlignment="1">
      <alignment horizontal="left" vertical="center" wrapText="1" indent="1"/>
    </xf>
    <xf numFmtId="0" fontId="285" fillId="18" borderId="43" xfId="0" applyFont="1" applyFill="1" applyBorder="1" applyAlignment="1">
      <alignment horizontal="left" vertical="center" wrapText="1" indent="1"/>
    </xf>
    <xf numFmtId="0" fontId="285" fillId="18" borderId="40" xfId="0" applyFont="1" applyFill="1" applyBorder="1" applyAlignment="1">
      <alignment horizontal="left" vertical="center" wrapText="1" indent="1"/>
    </xf>
    <xf numFmtId="0" fontId="285" fillId="18" borderId="50" xfId="0" applyFont="1" applyFill="1" applyBorder="1" applyAlignment="1">
      <alignment horizontal="left" vertical="center" wrapText="1" indent="1"/>
    </xf>
    <xf numFmtId="0" fontId="285" fillId="18" borderId="44" xfId="0" applyFont="1" applyFill="1" applyBorder="1" applyAlignment="1">
      <alignment horizontal="left" vertical="center" wrapText="1" indent="1"/>
    </xf>
    <xf numFmtId="3" fontId="8" fillId="4" borderId="182" xfId="0" applyNumberFormat="1" applyFont="1" applyFill="1" applyBorder="1" applyAlignment="1">
      <alignment horizontal="center" vertical="center"/>
    </xf>
    <xf numFmtId="3" fontId="8" fillId="4" borderId="127" xfId="0" applyNumberFormat="1" applyFont="1" applyFill="1" applyBorder="1" applyAlignment="1">
      <alignment horizontal="center" vertical="center"/>
    </xf>
    <xf numFmtId="3" fontId="8" fillId="4" borderId="158" xfId="0" applyNumberFormat="1" applyFont="1" applyFill="1" applyBorder="1" applyAlignment="1">
      <alignment horizontal="center" vertical="center"/>
    </xf>
    <xf numFmtId="3" fontId="8" fillId="4" borderId="204" xfId="0" applyNumberFormat="1" applyFont="1" applyFill="1" applyBorder="1" applyAlignment="1">
      <alignment horizontal="center" vertical="center"/>
    </xf>
    <xf numFmtId="3" fontId="8" fillId="4" borderId="236" xfId="0" applyNumberFormat="1" applyFont="1" applyFill="1" applyBorder="1" applyAlignment="1">
      <alignment horizontal="center" vertical="center"/>
    </xf>
    <xf numFmtId="3" fontId="8" fillId="4" borderId="120" xfId="0" applyNumberFormat="1" applyFont="1" applyFill="1" applyBorder="1" applyAlignment="1">
      <alignment horizontal="center" vertical="center"/>
    </xf>
    <xf numFmtId="3" fontId="129" fillId="25" borderId="100" xfId="0" applyNumberFormat="1" applyFont="1" applyFill="1" applyBorder="1" applyAlignment="1">
      <alignment horizontal="center" vertical="center" wrapText="1"/>
    </xf>
    <xf numFmtId="0" fontId="80" fillId="3" borderId="0" xfId="1" applyFont="1" applyFill="1" applyAlignment="1" applyProtection="1">
      <alignment horizontal="center"/>
    </xf>
    <xf numFmtId="3" fontId="208" fillId="52" borderId="0" xfId="0" applyNumberFormat="1" applyFont="1" applyFill="1" applyAlignment="1">
      <alignment horizontal="center" vertical="center"/>
    </xf>
    <xf numFmtId="0" fontId="115" fillId="47" borderId="55" xfId="0" applyFont="1" applyFill="1" applyBorder="1" applyAlignment="1">
      <alignment horizontal="center"/>
    </xf>
    <xf numFmtId="0" fontId="115" fillId="47" borderId="52" xfId="0" applyFont="1" applyFill="1" applyBorder="1" applyAlignment="1">
      <alignment horizontal="center"/>
    </xf>
    <xf numFmtId="0" fontId="115" fillId="47" borderId="76" xfId="0" applyFont="1"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3" fillId="33" borderId="40" xfId="0" applyFont="1" applyFill="1" applyBorder="1" applyAlignment="1">
      <alignment horizontal="center" vertical="center"/>
    </xf>
    <xf numFmtId="0" fontId="13" fillId="33" borderId="50" xfId="0" applyFont="1" applyFill="1" applyBorder="1" applyAlignment="1">
      <alignment horizontal="center" vertical="center"/>
    </xf>
    <xf numFmtId="0" fontId="13" fillId="33" borderId="44" xfId="0" applyFont="1" applyFill="1" applyBorder="1" applyAlignment="1">
      <alignment horizontal="center" vertical="center"/>
    </xf>
    <xf numFmtId="0" fontId="24" fillId="0" borderId="236" xfId="5" applyFont="1" applyBorder="1" applyAlignment="1">
      <alignment horizontal="center"/>
    </xf>
    <xf numFmtId="0" fontId="15" fillId="0" borderId="194" xfId="0" applyFont="1" applyBorder="1" applyAlignment="1">
      <alignment horizontal="center" vertical="center"/>
    </xf>
    <xf numFmtId="0" fontId="15" fillId="0" borderId="77" xfId="0" applyFont="1" applyBorder="1" applyAlignment="1">
      <alignment horizontal="center" vertical="center"/>
    </xf>
    <xf numFmtId="0" fontId="15" fillId="0" borderId="140" xfId="0" applyFont="1" applyBorder="1" applyAlignment="1">
      <alignment horizontal="center" vertical="center"/>
    </xf>
    <xf numFmtId="0" fontId="15" fillId="0" borderId="23" xfId="0" applyFont="1" applyBorder="1" applyAlignment="1">
      <alignment horizontal="center" vertical="center"/>
    </xf>
    <xf numFmtId="0" fontId="15" fillId="0" borderId="49" xfId="0" applyFont="1" applyBorder="1" applyAlignment="1">
      <alignment horizontal="center" vertical="center"/>
    </xf>
    <xf numFmtId="0" fontId="15" fillId="0" borderId="0" xfId="0" applyFont="1" applyAlignment="1">
      <alignment horizontal="center"/>
    </xf>
  </cellXfs>
  <cellStyles count="50">
    <cellStyle name="20% - Énfasis1" xfId="25" builtinId="30" customBuiltin="1"/>
    <cellStyle name="20% - Énfasis2" xfId="29" builtinId="34" customBuiltin="1"/>
    <cellStyle name="20% - Énfasis3" xfId="33" builtinId="38" customBuiltin="1"/>
    <cellStyle name="20% - Énfasis4" xfId="37" builtinId="42" customBuiltin="1"/>
    <cellStyle name="20% - Énfasis5" xfId="41" builtinId="46" customBuiltin="1"/>
    <cellStyle name="20% - Énfasis6" xfId="45" builtinId="50" customBuiltin="1"/>
    <cellStyle name="40% - Énfasis1" xfId="26" builtinId="31" customBuiltin="1"/>
    <cellStyle name="40% - Énfasis2" xfId="30" builtinId="35" customBuiltin="1"/>
    <cellStyle name="40% - Énfasis3" xfId="34" builtinId="39" customBuiltin="1"/>
    <cellStyle name="40% - Énfasis4" xfId="38" builtinId="43" customBuiltin="1"/>
    <cellStyle name="40% - Énfasis5" xfId="42" builtinId="47" customBuiltin="1"/>
    <cellStyle name="40% - Énfasis6" xfId="46" builtinId="51" customBuiltin="1"/>
    <cellStyle name="60% - Énfasis1" xfId="27" builtinId="32" customBuiltin="1"/>
    <cellStyle name="60% - Énfasis2" xfId="31" builtinId="36" customBuiltin="1"/>
    <cellStyle name="60% - Énfasis3" xfId="35" builtinId="40" customBuiltin="1"/>
    <cellStyle name="60% - Énfasis4" xfId="39" builtinId="44" customBuiltin="1"/>
    <cellStyle name="60% - Énfasis5" xfId="43" builtinId="48" customBuiltin="1"/>
    <cellStyle name="60% - Énfasis6" xfId="47" builtinId="52" customBuiltin="1"/>
    <cellStyle name="Bueno" xfId="13" builtinId="26" customBuiltin="1"/>
    <cellStyle name="Cálculo" xfId="18" builtinId="22" customBuiltin="1"/>
    <cellStyle name="Celda de comprobación" xfId="20" builtinId="23" customBuiltin="1"/>
    <cellStyle name="Celda vinculada" xfId="19" builtinId="24" customBuiltin="1"/>
    <cellStyle name="Encabezado 1" xfId="9" builtinId="16" customBuiltin="1"/>
    <cellStyle name="Encabezado 4" xfId="12" builtinId="19" customBuiltin="1"/>
    <cellStyle name="Énfasis1" xfId="24" builtinId="29" customBuiltin="1"/>
    <cellStyle name="Énfasis2" xfId="28" builtinId="33" customBuiltin="1"/>
    <cellStyle name="Énfasis3" xfId="32" builtinId="37" customBuiltin="1"/>
    <cellStyle name="Énfasis4" xfId="36" builtinId="41" customBuiltin="1"/>
    <cellStyle name="Énfasis5" xfId="40" builtinId="45" customBuiltin="1"/>
    <cellStyle name="Énfasis6" xfId="44" builtinId="49" customBuiltin="1"/>
    <cellStyle name="Entrada" xfId="16" builtinId="20" customBuiltin="1"/>
    <cellStyle name="Hipervínculo" xfId="1" builtinId="8"/>
    <cellStyle name="Incorrecto" xfId="14" builtinId="27" customBuiltin="1"/>
    <cellStyle name="Millares" xfId="2" builtinId="3"/>
    <cellStyle name="Neutral" xfId="15" builtinId="28" customBuiltin="1"/>
    <cellStyle name="Normal" xfId="0" builtinId="0"/>
    <cellStyle name="Normal 2" xfId="3" xr:uid="{00000000-0005-0000-0000-000003000000}"/>
    <cellStyle name="Normal 2 2" xfId="4" xr:uid="{00000000-0005-0000-0000-000004000000}"/>
    <cellStyle name="Normal 3" xfId="5" xr:uid="{00000000-0005-0000-0000-000005000000}"/>
    <cellStyle name="Normal 4" xfId="48" xr:uid="{D77A4625-3BCF-4A2C-8DDE-98C8EE166325}"/>
    <cellStyle name="Normal_Menu" xfId="6" xr:uid="{00000000-0005-0000-0000-000006000000}"/>
    <cellStyle name="Notas 2" xfId="49" xr:uid="{F89B802D-07D1-492A-9287-5B6A4B06C45F}"/>
    <cellStyle name="Porcentual 2" xfId="7" xr:uid="{00000000-0005-0000-0000-000007000000}"/>
    <cellStyle name="Salida" xfId="17" builtinId="21" customBuiltin="1"/>
    <cellStyle name="Texto de advertencia" xfId="21" builtinId="11" customBuiltin="1"/>
    <cellStyle name="Texto explicativo" xfId="22" builtinId="53" customBuiltin="1"/>
    <cellStyle name="Título" xfId="8" builtinId="15" customBuiltin="1"/>
    <cellStyle name="Título 2" xfId="10" builtinId="17" customBuiltin="1"/>
    <cellStyle name="Título 3" xfId="11" builtinId="18" customBuiltin="1"/>
    <cellStyle name="Total" xfId="23" builtinId="25" customBuiltin="1"/>
  </cellStyles>
  <dxfs count="4">
    <dxf>
      <fill>
        <patternFill>
          <bgColor theme="6" tint="0.59996337778862885"/>
        </patternFill>
      </fill>
    </dxf>
    <dxf>
      <font>
        <b/>
        <i val="0"/>
        <color theme="0" tint="-4.9989318521683403E-2"/>
      </font>
      <fill>
        <patternFill>
          <bgColor rgb="FFFF0000"/>
        </patternFill>
      </fill>
    </dxf>
    <dxf>
      <font>
        <b/>
        <i val="0"/>
        <color theme="0" tint="-4.9989318521683403E-2"/>
      </font>
      <fill>
        <patternFill>
          <bgColor rgb="FFFF0000"/>
        </patternFill>
      </fill>
    </dxf>
    <dxf>
      <font>
        <b/>
        <i val="0"/>
        <color theme="0" tint="-4.9989318521683403E-2"/>
      </font>
      <fill>
        <patternFill>
          <bgColor rgb="FFFF0000"/>
        </patternFill>
      </fill>
    </dxf>
  </dxfs>
  <tableStyles count="0" defaultTableStyle="TableStyleMedium9" defaultPivotStyle="PivotStyleLight16"/>
  <colors>
    <mruColors>
      <color rgb="FFFFFFCC"/>
      <color rgb="FFF7D1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1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2" Type="http://schemas.openxmlformats.org/officeDocument/2006/relationships/hyperlink" Target="https://www.bcrp.gob.pe/encuestas/trimestral.html" TargetMode="External"/><Relationship Id="rId1" Type="http://schemas.openxmlformats.org/officeDocument/2006/relationships/hyperlink" Target="#Indice!D8"/></Relationships>
</file>

<file path=xl/drawings/_rels/drawing10.xml.rels><?xml version="1.0" encoding="UTF-8" standalone="yes"?>
<Relationships xmlns="http://schemas.openxmlformats.org/package/2006/relationships"><Relationship Id="rId1" Type="http://schemas.openxmlformats.org/officeDocument/2006/relationships/hyperlink" Target="#Indice!D8"/></Relationships>
</file>

<file path=xl/drawings/_rels/drawing11.xml.rels><?xml version="1.0" encoding="UTF-8" standalone="yes"?>
<Relationships xmlns="http://schemas.openxmlformats.org/package/2006/relationships"><Relationship Id="rId1" Type="http://schemas.openxmlformats.org/officeDocument/2006/relationships/hyperlink" Target="#Indice!D8"/></Relationships>
</file>

<file path=xl/drawings/_rels/drawing12.xml.rels><?xml version="1.0" encoding="UTF-8" standalone="yes"?>
<Relationships xmlns="http://schemas.openxmlformats.org/package/2006/relationships"><Relationship Id="rId1" Type="http://schemas.openxmlformats.org/officeDocument/2006/relationships/hyperlink" Target="#Indice!D8"/></Relationships>
</file>

<file path=xl/drawings/_rels/drawing13.xml.rels><?xml version="1.0" encoding="UTF-8" standalone="yes"?>
<Relationships xmlns="http://schemas.openxmlformats.org/package/2006/relationships"><Relationship Id="rId1" Type="http://schemas.openxmlformats.org/officeDocument/2006/relationships/hyperlink" Target="#Indice!D8"/></Relationships>
</file>

<file path=xl/drawings/_rels/drawing14.xml.rels><?xml version="1.0" encoding="UTF-8" standalone="yes"?>
<Relationships xmlns="http://schemas.openxmlformats.org/package/2006/relationships"><Relationship Id="rId1" Type="http://schemas.openxmlformats.org/officeDocument/2006/relationships/hyperlink" Target="#Indice!D8"/></Relationships>
</file>

<file path=xl/drawings/_rels/drawing15.xml.rels><?xml version="1.0" encoding="UTF-8" standalone="yes"?>
<Relationships xmlns="http://schemas.openxmlformats.org/package/2006/relationships"><Relationship Id="rId1" Type="http://schemas.openxmlformats.org/officeDocument/2006/relationships/hyperlink" Target="#Indice!D8"/></Relationships>
</file>

<file path=xl/drawings/_rels/drawing16.xml.rels><?xml version="1.0" encoding="UTF-8" standalone="yes"?>
<Relationships xmlns="http://schemas.openxmlformats.org/package/2006/relationships"><Relationship Id="rId2" Type="http://schemas.openxmlformats.org/officeDocument/2006/relationships/image" Target="../media/image45.png"/><Relationship Id="rId1" Type="http://schemas.openxmlformats.org/officeDocument/2006/relationships/hyperlink" Target="#Indice!A1"/></Relationships>
</file>

<file path=xl/drawings/_rels/drawing17.xml.rels><?xml version="1.0" encoding="UTF-8" standalone="yes"?>
<Relationships xmlns="http://schemas.openxmlformats.org/package/2006/relationships"><Relationship Id="rId1" Type="http://schemas.openxmlformats.org/officeDocument/2006/relationships/hyperlink" Target="#Indice!D8"/></Relationships>
</file>

<file path=xl/drawings/_rels/drawing18.xml.rels><?xml version="1.0" encoding="UTF-8" standalone="yes"?>
<Relationships xmlns="http://schemas.openxmlformats.org/package/2006/relationships"><Relationship Id="rId2" Type="http://schemas.openxmlformats.org/officeDocument/2006/relationships/hyperlink" Target="https://www.bcrp.gob.pe/encuestas/trimestral.html" TargetMode="External"/><Relationship Id="rId1" Type="http://schemas.openxmlformats.org/officeDocument/2006/relationships/hyperlink" Target="#Indice!D8"/></Relationships>
</file>

<file path=xl/drawings/_rels/drawing19.xml.rels><?xml version="1.0" encoding="UTF-8" standalone="yes"?>
<Relationships xmlns="http://schemas.openxmlformats.org/package/2006/relationships"><Relationship Id="rId1" Type="http://schemas.openxmlformats.org/officeDocument/2006/relationships/hyperlink" Target="#Indice!D8"/></Relationships>
</file>

<file path=xl/drawings/_rels/drawing20.xml.rels><?xml version="1.0" encoding="UTF-8" standalone="yes"?>
<Relationships xmlns="http://schemas.openxmlformats.org/package/2006/relationships"><Relationship Id="rId1" Type="http://schemas.openxmlformats.org/officeDocument/2006/relationships/hyperlink" Target="#Indice!D8"/></Relationships>
</file>

<file path=xl/drawings/_rels/drawing21.xml.rels><?xml version="1.0" encoding="UTF-8" standalone="yes"?>
<Relationships xmlns="http://schemas.openxmlformats.org/package/2006/relationships"><Relationship Id="rId1" Type="http://schemas.openxmlformats.org/officeDocument/2006/relationships/hyperlink" Target="#Indice!D8"/></Relationships>
</file>

<file path=xl/drawings/_rels/drawing22.xml.rels><?xml version="1.0" encoding="UTF-8" standalone="yes"?>
<Relationships xmlns="http://schemas.openxmlformats.org/package/2006/relationships"><Relationship Id="rId1" Type="http://schemas.openxmlformats.org/officeDocument/2006/relationships/hyperlink" Target="#Indice!D8"/></Relationships>
</file>

<file path=xl/drawings/_rels/drawing3.xml.rels><?xml version="1.0" encoding="UTF-8" standalone="yes"?>
<Relationships xmlns="http://schemas.openxmlformats.org/package/2006/relationships"><Relationship Id="rId2" Type="http://schemas.openxmlformats.org/officeDocument/2006/relationships/hyperlink" Target="https://www.bcrp.gob.pe/encuestas/trimestral.html" TargetMode="External"/><Relationship Id="rId1" Type="http://schemas.openxmlformats.org/officeDocument/2006/relationships/hyperlink" Target="#Indice!D8"/></Relationships>
</file>

<file path=xl/drawings/_rels/drawing4.xml.rels><?xml version="1.0" encoding="UTF-8" standalone="yes"?>
<Relationships xmlns="http://schemas.openxmlformats.org/package/2006/relationships"><Relationship Id="rId1" Type="http://schemas.openxmlformats.org/officeDocument/2006/relationships/hyperlink" Target="#Indice!D8"/></Relationships>
</file>

<file path=xl/drawings/_rels/drawing5.xml.rels><?xml version="1.0" encoding="UTF-8" standalone="yes"?>
<Relationships xmlns="http://schemas.openxmlformats.org/package/2006/relationships"><Relationship Id="rId1" Type="http://schemas.openxmlformats.org/officeDocument/2006/relationships/hyperlink" Target="#Indice!D8"/></Relationships>
</file>

<file path=xl/drawings/_rels/drawing6.xml.rels><?xml version="1.0" encoding="UTF-8" standalone="yes"?>
<Relationships xmlns="http://schemas.openxmlformats.org/package/2006/relationships"><Relationship Id="rId1" Type="http://schemas.openxmlformats.org/officeDocument/2006/relationships/hyperlink" Target="#Indice!D8"/></Relationships>
</file>

<file path=xl/drawings/_rels/drawing7.xml.rels><?xml version="1.0" encoding="UTF-8" standalone="yes"?>
<Relationships xmlns="http://schemas.openxmlformats.org/package/2006/relationships"><Relationship Id="rId1" Type="http://schemas.openxmlformats.org/officeDocument/2006/relationships/hyperlink" Target="#Indice!D8"/></Relationships>
</file>

<file path=xl/drawings/_rels/drawing8.xml.rels><?xml version="1.0" encoding="UTF-8" standalone="yes"?>
<Relationships xmlns="http://schemas.openxmlformats.org/package/2006/relationships"><Relationship Id="rId2" Type="http://schemas.openxmlformats.org/officeDocument/2006/relationships/hyperlink" Target="https://www.bcrp.gob.pe/encuestas/trimestral.html" TargetMode="External"/><Relationship Id="rId1" Type="http://schemas.openxmlformats.org/officeDocument/2006/relationships/hyperlink" Target="#Indice!D8"/></Relationships>
</file>

<file path=xl/drawings/_rels/drawing9.xml.rels><?xml version="1.0" encoding="UTF-8" standalone="yes"?>
<Relationships xmlns="http://schemas.openxmlformats.org/package/2006/relationships"><Relationship Id="rId2" Type="http://schemas.openxmlformats.org/officeDocument/2006/relationships/hyperlink" Target="https://www.bcrp.gob.pe/encuestas/trimestral.html" TargetMode="External"/><Relationship Id="rId1" Type="http://schemas.openxmlformats.org/officeDocument/2006/relationships/hyperlink" Target="#Indice!D8"/></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vmlDrawing10.vml.rels><?xml version="1.0" encoding="UTF-8" standalone="yes"?>
<Relationships xmlns="http://schemas.openxmlformats.org/package/2006/relationships"><Relationship Id="rId13" Type="http://schemas.openxmlformats.org/officeDocument/2006/relationships/image" Target="../media/image58.emf"/><Relationship Id="rId18" Type="http://schemas.openxmlformats.org/officeDocument/2006/relationships/image" Target="../media/image63.emf"/><Relationship Id="rId26" Type="http://schemas.openxmlformats.org/officeDocument/2006/relationships/image" Target="../media/image71.emf"/><Relationship Id="rId39" Type="http://schemas.openxmlformats.org/officeDocument/2006/relationships/image" Target="../media/image85.emf"/><Relationship Id="rId21" Type="http://schemas.openxmlformats.org/officeDocument/2006/relationships/image" Target="../media/image66.emf"/><Relationship Id="rId34" Type="http://schemas.openxmlformats.org/officeDocument/2006/relationships/image" Target="../media/image80.emf"/><Relationship Id="rId42" Type="http://schemas.openxmlformats.org/officeDocument/2006/relationships/image" Target="../media/image88.emf"/><Relationship Id="rId47" Type="http://schemas.openxmlformats.org/officeDocument/2006/relationships/image" Target="../media/image93.emf"/><Relationship Id="rId50" Type="http://schemas.openxmlformats.org/officeDocument/2006/relationships/image" Target="../media/image96.emf"/><Relationship Id="rId55" Type="http://schemas.openxmlformats.org/officeDocument/2006/relationships/image" Target="../media/image101.emf"/><Relationship Id="rId63" Type="http://schemas.openxmlformats.org/officeDocument/2006/relationships/image" Target="../media/image109.emf"/><Relationship Id="rId68" Type="http://schemas.openxmlformats.org/officeDocument/2006/relationships/image" Target="../media/image114.emf"/><Relationship Id="rId76" Type="http://schemas.openxmlformats.org/officeDocument/2006/relationships/image" Target="../media/image122.emf"/><Relationship Id="rId7" Type="http://schemas.openxmlformats.org/officeDocument/2006/relationships/image" Target="../media/image52.emf"/><Relationship Id="rId71" Type="http://schemas.openxmlformats.org/officeDocument/2006/relationships/image" Target="../media/image117.emf"/><Relationship Id="rId2" Type="http://schemas.openxmlformats.org/officeDocument/2006/relationships/image" Target="../media/image47.emf"/><Relationship Id="rId16" Type="http://schemas.openxmlformats.org/officeDocument/2006/relationships/image" Target="../media/image61.emf"/><Relationship Id="rId29" Type="http://schemas.openxmlformats.org/officeDocument/2006/relationships/image" Target="../media/image74.emf"/><Relationship Id="rId11" Type="http://schemas.openxmlformats.org/officeDocument/2006/relationships/image" Target="../media/image56.emf"/><Relationship Id="rId24" Type="http://schemas.openxmlformats.org/officeDocument/2006/relationships/image" Target="../media/image69.emf"/><Relationship Id="rId32" Type="http://schemas.openxmlformats.org/officeDocument/2006/relationships/image" Target="../media/image78.emf"/><Relationship Id="rId37" Type="http://schemas.openxmlformats.org/officeDocument/2006/relationships/image" Target="../media/image83.emf"/><Relationship Id="rId40" Type="http://schemas.openxmlformats.org/officeDocument/2006/relationships/image" Target="../media/image86.emf"/><Relationship Id="rId45" Type="http://schemas.openxmlformats.org/officeDocument/2006/relationships/image" Target="../media/image91.emf"/><Relationship Id="rId53" Type="http://schemas.openxmlformats.org/officeDocument/2006/relationships/image" Target="../media/image99.emf"/><Relationship Id="rId58" Type="http://schemas.openxmlformats.org/officeDocument/2006/relationships/image" Target="../media/image104.emf"/><Relationship Id="rId66" Type="http://schemas.openxmlformats.org/officeDocument/2006/relationships/image" Target="../media/image112.emf"/><Relationship Id="rId74" Type="http://schemas.openxmlformats.org/officeDocument/2006/relationships/image" Target="../media/image120.emf"/><Relationship Id="rId79" Type="http://schemas.openxmlformats.org/officeDocument/2006/relationships/image" Target="../media/image125.emf"/><Relationship Id="rId5" Type="http://schemas.openxmlformats.org/officeDocument/2006/relationships/image" Target="../media/image50.emf"/><Relationship Id="rId61" Type="http://schemas.openxmlformats.org/officeDocument/2006/relationships/image" Target="../media/image107.emf"/><Relationship Id="rId10" Type="http://schemas.openxmlformats.org/officeDocument/2006/relationships/image" Target="../media/image55.emf"/><Relationship Id="rId19" Type="http://schemas.openxmlformats.org/officeDocument/2006/relationships/image" Target="../media/image64.emf"/><Relationship Id="rId31" Type="http://schemas.openxmlformats.org/officeDocument/2006/relationships/image" Target="../media/image76.emf"/><Relationship Id="rId44" Type="http://schemas.openxmlformats.org/officeDocument/2006/relationships/image" Target="../media/image90.emf"/><Relationship Id="rId52" Type="http://schemas.openxmlformats.org/officeDocument/2006/relationships/image" Target="../media/image98.emf"/><Relationship Id="rId60" Type="http://schemas.openxmlformats.org/officeDocument/2006/relationships/image" Target="../media/image106.emf"/><Relationship Id="rId65" Type="http://schemas.openxmlformats.org/officeDocument/2006/relationships/image" Target="../media/image111.emf"/><Relationship Id="rId73" Type="http://schemas.openxmlformats.org/officeDocument/2006/relationships/image" Target="../media/image119.emf"/><Relationship Id="rId78" Type="http://schemas.openxmlformats.org/officeDocument/2006/relationships/image" Target="../media/image124.emf"/><Relationship Id="rId4" Type="http://schemas.openxmlformats.org/officeDocument/2006/relationships/image" Target="../media/image49.emf"/><Relationship Id="rId9" Type="http://schemas.openxmlformats.org/officeDocument/2006/relationships/image" Target="../media/image54.emf"/><Relationship Id="rId14" Type="http://schemas.openxmlformats.org/officeDocument/2006/relationships/image" Target="../media/image59.emf"/><Relationship Id="rId22" Type="http://schemas.openxmlformats.org/officeDocument/2006/relationships/image" Target="../media/image67.emf"/><Relationship Id="rId27" Type="http://schemas.openxmlformats.org/officeDocument/2006/relationships/image" Target="../media/image72.emf"/><Relationship Id="rId30" Type="http://schemas.openxmlformats.org/officeDocument/2006/relationships/image" Target="../media/image75.emf"/><Relationship Id="rId35" Type="http://schemas.openxmlformats.org/officeDocument/2006/relationships/image" Target="../media/image81.emf"/><Relationship Id="rId43" Type="http://schemas.openxmlformats.org/officeDocument/2006/relationships/image" Target="../media/image89.emf"/><Relationship Id="rId48" Type="http://schemas.openxmlformats.org/officeDocument/2006/relationships/image" Target="../media/image94.emf"/><Relationship Id="rId56" Type="http://schemas.openxmlformats.org/officeDocument/2006/relationships/image" Target="../media/image102.emf"/><Relationship Id="rId64" Type="http://schemas.openxmlformats.org/officeDocument/2006/relationships/image" Target="../media/image110.emf"/><Relationship Id="rId69" Type="http://schemas.openxmlformats.org/officeDocument/2006/relationships/image" Target="../media/image115.emf"/><Relationship Id="rId77" Type="http://schemas.openxmlformats.org/officeDocument/2006/relationships/image" Target="../media/image123.emf"/><Relationship Id="rId8" Type="http://schemas.openxmlformats.org/officeDocument/2006/relationships/image" Target="../media/image53.emf"/><Relationship Id="rId51" Type="http://schemas.openxmlformats.org/officeDocument/2006/relationships/image" Target="../media/image97.emf"/><Relationship Id="rId72" Type="http://schemas.openxmlformats.org/officeDocument/2006/relationships/image" Target="../media/image118.emf"/><Relationship Id="rId80" Type="http://schemas.openxmlformats.org/officeDocument/2006/relationships/image" Target="../media/image77.emf"/><Relationship Id="rId3" Type="http://schemas.openxmlformats.org/officeDocument/2006/relationships/image" Target="../media/image48.emf"/><Relationship Id="rId12" Type="http://schemas.openxmlformats.org/officeDocument/2006/relationships/image" Target="../media/image57.emf"/><Relationship Id="rId17" Type="http://schemas.openxmlformats.org/officeDocument/2006/relationships/image" Target="../media/image62.emf"/><Relationship Id="rId25" Type="http://schemas.openxmlformats.org/officeDocument/2006/relationships/image" Target="../media/image70.emf"/><Relationship Id="rId33" Type="http://schemas.openxmlformats.org/officeDocument/2006/relationships/image" Target="../media/image79.emf"/><Relationship Id="rId38" Type="http://schemas.openxmlformats.org/officeDocument/2006/relationships/image" Target="../media/image84.emf"/><Relationship Id="rId46" Type="http://schemas.openxmlformats.org/officeDocument/2006/relationships/image" Target="../media/image92.emf"/><Relationship Id="rId59" Type="http://schemas.openxmlformats.org/officeDocument/2006/relationships/image" Target="../media/image105.emf"/><Relationship Id="rId67" Type="http://schemas.openxmlformats.org/officeDocument/2006/relationships/image" Target="../media/image113.emf"/><Relationship Id="rId20" Type="http://schemas.openxmlformats.org/officeDocument/2006/relationships/image" Target="../media/image65.emf"/><Relationship Id="rId41" Type="http://schemas.openxmlformats.org/officeDocument/2006/relationships/image" Target="../media/image87.emf"/><Relationship Id="rId54" Type="http://schemas.openxmlformats.org/officeDocument/2006/relationships/image" Target="../media/image100.emf"/><Relationship Id="rId62" Type="http://schemas.openxmlformats.org/officeDocument/2006/relationships/image" Target="../media/image108.emf"/><Relationship Id="rId70" Type="http://schemas.openxmlformats.org/officeDocument/2006/relationships/image" Target="../media/image116.emf"/><Relationship Id="rId75" Type="http://schemas.openxmlformats.org/officeDocument/2006/relationships/image" Target="../media/image121.emf"/><Relationship Id="rId1" Type="http://schemas.openxmlformats.org/officeDocument/2006/relationships/image" Target="../media/image46.emf"/><Relationship Id="rId6" Type="http://schemas.openxmlformats.org/officeDocument/2006/relationships/image" Target="../media/image51.emf"/><Relationship Id="rId15" Type="http://schemas.openxmlformats.org/officeDocument/2006/relationships/image" Target="../media/image60.emf"/><Relationship Id="rId23" Type="http://schemas.openxmlformats.org/officeDocument/2006/relationships/image" Target="../media/image68.emf"/><Relationship Id="rId28" Type="http://schemas.openxmlformats.org/officeDocument/2006/relationships/image" Target="../media/image73.emf"/><Relationship Id="rId36" Type="http://schemas.openxmlformats.org/officeDocument/2006/relationships/image" Target="../media/image82.emf"/><Relationship Id="rId49" Type="http://schemas.openxmlformats.org/officeDocument/2006/relationships/image" Target="../media/image95.emf"/><Relationship Id="rId57" Type="http://schemas.openxmlformats.org/officeDocument/2006/relationships/image" Target="../media/image103.emf"/></Relationships>
</file>

<file path=xl/drawings/_rels/vmlDrawing12.vml.rels><?xml version="1.0" encoding="UTF-8" standalone="yes"?>
<Relationships xmlns="http://schemas.openxmlformats.org/package/2006/relationships"><Relationship Id="rId13" Type="http://schemas.openxmlformats.org/officeDocument/2006/relationships/image" Target="../media/image138.emf"/><Relationship Id="rId18" Type="http://schemas.openxmlformats.org/officeDocument/2006/relationships/image" Target="../media/image143.emf"/><Relationship Id="rId26" Type="http://schemas.openxmlformats.org/officeDocument/2006/relationships/image" Target="../media/image151.emf"/><Relationship Id="rId39" Type="http://schemas.openxmlformats.org/officeDocument/2006/relationships/image" Target="../media/image164.emf"/><Relationship Id="rId21" Type="http://schemas.openxmlformats.org/officeDocument/2006/relationships/image" Target="../media/image146.emf"/><Relationship Id="rId34" Type="http://schemas.openxmlformats.org/officeDocument/2006/relationships/image" Target="../media/image159.emf"/><Relationship Id="rId42" Type="http://schemas.openxmlformats.org/officeDocument/2006/relationships/image" Target="../media/image167.emf"/><Relationship Id="rId47" Type="http://schemas.openxmlformats.org/officeDocument/2006/relationships/image" Target="../media/image172.emf"/><Relationship Id="rId50" Type="http://schemas.openxmlformats.org/officeDocument/2006/relationships/image" Target="../media/image175.emf"/><Relationship Id="rId55" Type="http://schemas.openxmlformats.org/officeDocument/2006/relationships/image" Target="../media/image180.emf"/><Relationship Id="rId63" Type="http://schemas.openxmlformats.org/officeDocument/2006/relationships/image" Target="../media/image188.emf"/><Relationship Id="rId68" Type="http://schemas.openxmlformats.org/officeDocument/2006/relationships/image" Target="../media/image193.emf"/><Relationship Id="rId76" Type="http://schemas.openxmlformats.org/officeDocument/2006/relationships/image" Target="../media/image201.emf"/><Relationship Id="rId7" Type="http://schemas.openxmlformats.org/officeDocument/2006/relationships/image" Target="../media/image132.emf"/><Relationship Id="rId71" Type="http://schemas.openxmlformats.org/officeDocument/2006/relationships/image" Target="../media/image196.emf"/><Relationship Id="rId2" Type="http://schemas.openxmlformats.org/officeDocument/2006/relationships/image" Target="../media/image127.emf"/><Relationship Id="rId16" Type="http://schemas.openxmlformats.org/officeDocument/2006/relationships/image" Target="../media/image141.emf"/><Relationship Id="rId29" Type="http://schemas.openxmlformats.org/officeDocument/2006/relationships/image" Target="../media/image154.emf"/><Relationship Id="rId11" Type="http://schemas.openxmlformats.org/officeDocument/2006/relationships/image" Target="../media/image136.emf"/><Relationship Id="rId24" Type="http://schemas.openxmlformats.org/officeDocument/2006/relationships/image" Target="../media/image149.emf"/><Relationship Id="rId32" Type="http://schemas.openxmlformats.org/officeDocument/2006/relationships/image" Target="../media/image157.emf"/><Relationship Id="rId37" Type="http://schemas.openxmlformats.org/officeDocument/2006/relationships/image" Target="../media/image162.emf"/><Relationship Id="rId40" Type="http://schemas.openxmlformats.org/officeDocument/2006/relationships/image" Target="../media/image165.emf"/><Relationship Id="rId45" Type="http://schemas.openxmlformats.org/officeDocument/2006/relationships/image" Target="../media/image170.emf"/><Relationship Id="rId53" Type="http://schemas.openxmlformats.org/officeDocument/2006/relationships/image" Target="../media/image178.emf"/><Relationship Id="rId58" Type="http://schemas.openxmlformats.org/officeDocument/2006/relationships/image" Target="../media/image183.emf"/><Relationship Id="rId66" Type="http://schemas.openxmlformats.org/officeDocument/2006/relationships/image" Target="../media/image191.emf"/><Relationship Id="rId74" Type="http://schemas.openxmlformats.org/officeDocument/2006/relationships/image" Target="../media/image199.emf"/><Relationship Id="rId79" Type="http://schemas.openxmlformats.org/officeDocument/2006/relationships/image" Target="../media/image204.emf"/><Relationship Id="rId5" Type="http://schemas.openxmlformats.org/officeDocument/2006/relationships/image" Target="../media/image130.emf"/><Relationship Id="rId61" Type="http://schemas.openxmlformats.org/officeDocument/2006/relationships/image" Target="../media/image186.emf"/><Relationship Id="rId10" Type="http://schemas.openxmlformats.org/officeDocument/2006/relationships/image" Target="../media/image135.emf"/><Relationship Id="rId19" Type="http://schemas.openxmlformats.org/officeDocument/2006/relationships/image" Target="../media/image144.emf"/><Relationship Id="rId31" Type="http://schemas.openxmlformats.org/officeDocument/2006/relationships/image" Target="../media/image156.emf"/><Relationship Id="rId44" Type="http://schemas.openxmlformats.org/officeDocument/2006/relationships/image" Target="../media/image169.emf"/><Relationship Id="rId52" Type="http://schemas.openxmlformats.org/officeDocument/2006/relationships/image" Target="../media/image177.emf"/><Relationship Id="rId60" Type="http://schemas.openxmlformats.org/officeDocument/2006/relationships/image" Target="../media/image185.emf"/><Relationship Id="rId65" Type="http://schemas.openxmlformats.org/officeDocument/2006/relationships/image" Target="../media/image190.emf"/><Relationship Id="rId73" Type="http://schemas.openxmlformats.org/officeDocument/2006/relationships/image" Target="../media/image198.emf"/><Relationship Id="rId78" Type="http://schemas.openxmlformats.org/officeDocument/2006/relationships/image" Target="../media/image203.emf"/><Relationship Id="rId4" Type="http://schemas.openxmlformats.org/officeDocument/2006/relationships/image" Target="../media/image129.emf"/><Relationship Id="rId9" Type="http://schemas.openxmlformats.org/officeDocument/2006/relationships/image" Target="../media/image134.emf"/><Relationship Id="rId14" Type="http://schemas.openxmlformats.org/officeDocument/2006/relationships/image" Target="../media/image139.emf"/><Relationship Id="rId22" Type="http://schemas.openxmlformats.org/officeDocument/2006/relationships/image" Target="../media/image147.emf"/><Relationship Id="rId27" Type="http://schemas.openxmlformats.org/officeDocument/2006/relationships/image" Target="../media/image152.emf"/><Relationship Id="rId30" Type="http://schemas.openxmlformats.org/officeDocument/2006/relationships/image" Target="../media/image155.emf"/><Relationship Id="rId35" Type="http://schemas.openxmlformats.org/officeDocument/2006/relationships/image" Target="../media/image160.emf"/><Relationship Id="rId43" Type="http://schemas.openxmlformats.org/officeDocument/2006/relationships/image" Target="../media/image168.emf"/><Relationship Id="rId48" Type="http://schemas.openxmlformats.org/officeDocument/2006/relationships/image" Target="../media/image173.emf"/><Relationship Id="rId56" Type="http://schemas.openxmlformats.org/officeDocument/2006/relationships/image" Target="../media/image181.emf"/><Relationship Id="rId64" Type="http://schemas.openxmlformats.org/officeDocument/2006/relationships/image" Target="../media/image189.emf"/><Relationship Id="rId69" Type="http://schemas.openxmlformats.org/officeDocument/2006/relationships/image" Target="../media/image194.emf"/><Relationship Id="rId77" Type="http://schemas.openxmlformats.org/officeDocument/2006/relationships/image" Target="../media/image202.emf"/><Relationship Id="rId8" Type="http://schemas.openxmlformats.org/officeDocument/2006/relationships/image" Target="../media/image133.emf"/><Relationship Id="rId51" Type="http://schemas.openxmlformats.org/officeDocument/2006/relationships/image" Target="../media/image176.emf"/><Relationship Id="rId72" Type="http://schemas.openxmlformats.org/officeDocument/2006/relationships/image" Target="../media/image197.emf"/><Relationship Id="rId80" Type="http://schemas.openxmlformats.org/officeDocument/2006/relationships/image" Target="../media/image205.emf"/><Relationship Id="rId3" Type="http://schemas.openxmlformats.org/officeDocument/2006/relationships/image" Target="../media/image128.emf"/><Relationship Id="rId12" Type="http://schemas.openxmlformats.org/officeDocument/2006/relationships/image" Target="../media/image137.emf"/><Relationship Id="rId17" Type="http://schemas.openxmlformats.org/officeDocument/2006/relationships/image" Target="../media/image142.emf"/><Relationship Id="rId25" Type="http://schemas.openxmlformats.org/officeDocument/2006/relationships/image" Target="../media/image150.emf"/><Relationship Id="rId33" Type="http://schemas.openxmlformats.org/officeDocument/2006/relationships/image" Target="../media/image158.emf"/><Relationship Id="rId38" Type="http://schemas.openxmlformats.org/officeDocument/2006/relationships/image" Target="../media/image163.emf"/><Relationship Id="rId46" Type="http://schemas.openxmlformats.org/officeDocument/2006/relationships/image" Target="../media/image171.emf"/><Relationship Id="rId59" Type="http://schemas.openxmlformats.org/officeDocument/2006/relationships/image" Target="../media/image184.emf"/><Relationship Id="rId67" Type="http://schemas.openxmlformats.org/officeDocument/2006/relationships/image" Target="../media/image192.emf"/><Relationship Id="rId20" Type="http://schemas.openxmlformats.org/officeDocument/2006/relationships/image" Target="../media/image145.emf"/><Relationship Id="rId41" Type="http://schemas.openxmlformats.org/officeDocument/2006/relationships/image" Target="../media/image166.emf"/><Relationship Id="rId54" Type="http://schemas.openxmlformats.org/officeDocument/2006/relationships/image" Target="../media/image179.emf"/><Relationship Id="rId62" Type="http://schemas.openxmlformats.org/officeDocument/2006/relationships/image" Target="../media/image187.emf"/><Relationship Id="rId70" Type="http://schemas.openxmlformats.org/officeDocument/2006/relationships/image" Target="../media/image195.emf"/><Relationship Id="rId75" Type="http://schemas.openxmlformats.org/officeDocument/2006/relationships/image" Target="../media/image200.emf"/><Relationship Id="rId1" Type="http://schemas.openxmlformats.org/officeDocument/2006/relationships/image" Target="../media/image126.emf"/><Relationship Id="rId6" Type="http://schemas.openxmlformats.org/officeDocument/2006/relationships/image" Target="../media/image131.emf"/><Relationship Id="rId15" Type="http://schemas.openxmlformats.org/officeDocument/2006/relationships/image" Target="../media/image140.emf"/><Relationship Id="rId23" Type="http://schemas.openxmlformats.org/officeDocument/2006/relationships/image" Target="../media/image148.emf"/><Relationship Id="rId28" Type="http://schemas.openxmlformats.org/officeDocument/2006/relationships/image" Target="../media/image153.emf"/><Relationship Id="rId36" Type="http://schemas.openxmlformats.org/officeDocument/2006/relationships/image" Target="../media/image161.emf"/><Relationship Id="rId49" Type="http://schemas.openxmlformats.org/officeDocument/2006/relationships/image" Target="../media/image174.emf"/><Relationship Id="rId57" Type="http://schemas.openxmlformats.org/officeDocument/2006/relationships/image" Target="../media/image182.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18.emf"/><Relationship Id="rId13" Type="http://schemas.openxmlformats.org/officeDocument/2006/relationships/image" Target="../media/image23.emf"/><Relationship Id="rId18" Type="http://schemas.openxmlformats.org/officeDocument/2006/relationships/image" Target="../media/image28.emf"/><Relationship Id="rId26" Type="http://schemas.openxmlformats.org/officeDocument/2006/relationships/image" Target="../media/image36.emf"/><Relationship Id="rId3" Type="http://schemas.openxmlformats.org/officeDocument/2006/relationships/image" Target="../media/image13.emf"/><Relationship Id="rId21" Type="http://schemas.openxmlformats.org/officeDocument/2006/relationships/image" Target="../media/image31.emf"/><Relationship Id="rId7" Type="http://schemas.openxmlformats.org/officeDocument/2006/relationships/image" Target="../media/image17.emf"/><Relationship Id="rId12" Type="http://schemas.openxmlformats.org/officeDocument/2006/relationships/image" Target="../media/image22.emf"/><Relationship Id="rId17" Type="http://schemas.openxmlformats.org/officeDocument/2006/relationships/image" Target="../media/image27.emf"/><Relationship Id="rId25" Type="http://schemas.openxmlformats.org/officeDocument/2006/relationships/image" Target="../media/image35.emf"/><Relationship Id="rId2" Type="http://schemas.openxmlformats.org/officeDocument/2006/relationships/image" Target="../media/image12.emf"/><Relationship Id="rId16" Type="http://schemas.openxmlformats.org/officeDocument/2006/relationships/image" Target="../media/image26.emf"/><Relationship Id="rId20" Type="http://schemas.openxmlformats.org/officeDocument/2006/relationships/image" Target="../media/image30.emf"/><Relationship Id="rId29" Type="http://schemas.openxmlformats.org/officeDocument/2006/relationships/image" Target="../media/image39.emf"/><Relationship Id="rId1" Type="http://schemas.openxmlformats.org/officeDocument/2006/relationships/image" Target="../media/image11.emf"/><Relationship Id="rId6" Type="http://schemas.openxmlformats.org/officeDocument/2006/relationships/image" Target="../media/image16.emf"/><Relationship Id="rId11" Type="http://schemas.openxmlformats.org/officeDocument/2006/relationships/image" Target="../media/image21.emf"/><Relationship Id="rId24" Type="http://schemas.openxmlformats.org/officeDocument/2006/relationships/image" Target="../media/image34.emf"/><Relationship Id="rId5" Type="http://schemas.openxmlformats.org/officeDocument/2006/relationships/image" Target="../media/image15.emf"/><Relationship Id="rId15" Type="http://schemas.openxmlformats.org/officeDocument/2006/relationships/image" Target="../media/image25.emf"/><Relationship Id="rId23" Type="http://schemas.openxmlformats.org/officeDocument/2006/relationships/image" Target="../media/image33.emf"/><Relationship Id="rId28" Type="http://schemas.openxmlformats.org/officeDocument/2006/relationships/image" Target="../media/image38.emf"/><Relationship Id="rId10" Type="http://schemas.openxmlformats.org/officeDocument/2006/relationships/image" Target="../media/image20.emf"/><Relationship Id="rId19" Type="http://schemas.openxmlformats.org/officeDocument/2006/relationships/image" Target="../media/image29.emf"/><Relationship Id="rId4" Type="http://schemas.openxmlformats.org/officeDocument/2006/relationships/image" Target="../media/image14.emf"/><Relationship Id="rId9" Type="http://schemas.openxmlformats.org/officeDocument/2006/relationships/image" Target="../media/image19.emf"/><Relationship Id="rId14" Type="http://schemas.openxmlformats.org/officeDocument/2006/relationships/image" Target="../media/image24.emf"/><Relationship Id="rId22" Type="http://schemas.openxmlformats.org/officeDocument/2006/relationships/image" Target="../media/image32.emf"/><Relationship Id="rId27" Type="http://schemas.openxmlformats.org/officeDocument/2006/relationships/image" Target="../media/image37.emf"/><Relationship Id="rId30" Type="http://schemas.openxmlformats.org/officeDocument/2006/relationships/image" Target="../media/image40.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43.emf"/><Relationship Id="rId2" Type="http://schemas.openxmlformats.org/officeDocument/2006/relationships/image" Target="../media/image42.emf"/><Relationship Id="rId1" Type="http://schemas.openxmlformats.org/officeDocument/2006/relationships/image" Target="../media/image41.emf"/><Relationship Id="rId4"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66675</xdr:colOff>
          <xdr:row>22</xdr:row>
          <xdr:rowOff>0</xdr:rowOff>
        </xdr:from>
        <xdr:to>
          <xdr:col>10</xdr:col>
          <xdr:colOff>1476375</xdr:colOff>
          <xdr:row>22</xdr:row>
          <xdr:rowOff>0</xdr:rowOff>
        </xdr:to>
        <xdr:sp macro="" textlink="">
          <xdr:nvSpPr>
            <xdr:cNvPr id="1047" name="ComboBox1"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22</xdr:row>
          <xdr:rowOff>0</xdr:rowOff>
        </xdr:from>
        <xdr:to>
          <xdr:col>10</xdr:col>
          <xdr:colOff>1476375</xdr:colOff>
          <xdr:row>22</xdr:row>
          <xdr:rowOff>0</xdr:rowOff>
        </xdr:to>
        <xdr:sp macro="" textlink="">
          <xdr:nvSpPr>
            <xdr:cNvPr id="1048" name="ComboBox2"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22</xdr:row>
          <xdr:rowOff>0</xdr:rowOff>
        </xdr:from>
        <xdr:to>
          <xdr:col>10</xdr:col>
          <xdr:colOff>1476375</xdr:colOff>
          <xdr:row>22</xdr:row>
          <xdr:rowOff>0</xdr:rowOff>
        </xdr:to>
        <xdr:sp macro="" textlink="">
          <xdr:nvSpPr>
            <xdr:cNvPr id="1049" name="ComboBox3"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22</xdr:row>
          <xdr:rowOff>0</xdr:rowOff>
        </xdr:from>
        <xdr:to>
          <xdr:col>10</xdr:col>
          <xdr:colOff>1476375</xdr:colOff>
          <xdr:row>22</xdr:row>
          <xdr:rowOff>0</xdr:rowOff>
        </xdr:to>
        <xdr:sp macro="" textlink="">
          <xdr:nvSpPr>
            <xdr:cNvPr id="1050" name="ComboBox4"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22</xdr:row>
          <xdr:rowOff>0</xdr:rowOff>
        </xdr:from>
        <xdr:to>
          <xdr:col>10</xdr:col>
          <xdr:colOff>1476375</xdr:colOff>
          <xdr:row>22</xdr:row>
          <xdr:rowOff>0</xdr:rowOff>
        </xdr:to>
        <xdr:sp macro="" textlink="">
          <xdr:nvSpPr>
            <xdr:cNvPr id="1051" name="ComboBox5"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22</xdr:row>
          <xdr:rowOff>0</xdr:rowOff>
        </xdr:from>
        <xdr:to>
          <xdr:col>10</xdr:col>
          <xdr:colOff>1476375</xdr:colOff>
          <xdr:row>22</xdr:row>
          <xdr:rowOff>0</xdr:rowOff>
        </xdr:to>
        <xdr:sp macro="" textlink="">
          <xdr:nvSpPr>
            <xdr:cNvPr id="1052" name="ComboBox6"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22</xdr:row>
          <xdr:rowOff>0</xdr:rowOff>
        </xdr:from>
        <xdr:to>
          <xdr:col>10</xdr:col>
          <xdr:colOff>1476375</xdr:colOff>
          <xdr:row>22</xdr:row>
          <xdr:rowOff>0</xdr:rowOff>
        </xdr:to>
        <xdr:sp macro="" textlink="">
          <xdr:nvSpPr>
            <xdr:cNvPr id="1053" name="ComboBox7"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22</xdr:row>
          <xdr:rowOff>0</xdr:rowOff>
        </xdr:from>
        <xdr:to>
          <xdr:col>10</xdr:col>
          <xdr:colOff>1476375</xdr:colOff>
          <xdr:row>22</xdr:row>
          <xdr:rowOff>0</xdr:rowOff>
        </xdr:to>
        <xdr:sp macro="" textlink="">
          <xdr:nvSpPr>
            <xdr:cNvPr id="1054" name="ComboBox8"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22</xdr:row>
          <xdr:rowOff>0</xdr:rowOff>
        </xdr:from>
        <xdr:to>
          <xdr:col>10</xdr:col>
          <xdr:colOff>1476375</xdr:colOff>
          <xdr:row>22</xdr:row>
          <xdr:rowOff>0</xdr:rowOff>
        </xdr:to>
        <xdr:sp macro="" textlink="">
          <xdr:nvSpPr>
            <xdr:cNvPr id="1055" name="ComboBox9"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38100</xdr:colOff>
          <xdr:row>22</xdr:row>
          <xdr:rowOff>0</xdr:rowOff>
        </xdr:from>
        <xdr:to>
          <xdr:col>10</xdr:col>
          <xdr:colOff>1447800</xdr:colOff>
          <xdr:row>22</xdr:row>
          <xdr:rowOff>0</xdr:rowOff>
        </xdr:to>
        <xdr:sp macro="" textlink="">
          <xdr:nvSpPr>
            <xdr:cNvPr id="1056" name="ComboBox10"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12</xdr:col>
      <xdr:colOff>171450</xdr:colOff>
      <xdr:row>4</xdr:row>
      <xdr:rowOff>76200</xdr:rowOff>
    </xdr:from>
    <xdr:to>
      <xdr:col>14</xdr:col>
      <xdr:colOff>57150</xdr:colOff>
      <xdr:row>6</xdr:row>
      <xdr:rowOff>176893</xdr:rowOff>
    </xdr:to>
    <xdr:sp macro="" textlink="">
      <xdr:nvSpPr>
        <xdr:cNvPr id="3" name="Marco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bwMode="auto">
        <a:xfrm>
          <a:off x="18255343" y="2525486"/>
          <a:ext cx="1409700" cy="522514"/>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twoCellAnchor>
    <xdr:from>
      <xdr:col>12</xdr:col>
      <xdr:colOff>95250</xdr:colOff>
      <xdr:row>9</xdr:row>
      <xdr:rowOff>190500</xdr:rowOff>
    </xdr:from>
    <xdr:to>
      <xdr:col>25</xdr:col>
      <xdr:colOff>642504</xdr:colOff>
      <xdr:row>19</xdr:row>
      <xdr:rowOff>140277</xdr:rowOff>
    </xdr:to>
    <xdr:sp macro="" textlink="">
      <xdr:nvSpPr>
        <xdr:cNvPr id="14" name="Rectángulo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bwMode="auto">
        <a:xfrm flipH="1">
          <a:off x="18688050" y="4953000"/>
          <a:ext cx="10700904" cy="4274127"/>
        </a:xfrm>
        <a:prstGeom prst="rect">
          <a:avLst/>
        </a:prstGeom>
        <a:ln w="57150">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algn="l"/>
          <a:r>
            <a:rPr lang="es-PE" sz="3200" b="1">
              <a:latin typeface="Arial Narrow" panose="020B0606020202030204" pitchFamily="34" charset="0"/>
              <a:cs typeface="Arial" panose="020B0604020202020204" pitchFamily="34" charset="0"/>
            </a:rPr>
            <a:t>ANTES DE COMPLETAR</a:t>
          </a:r>
          <a:r>
            <a:rPr lang="es-PE" sz="3200" b="1" baseline="0">
              <a:latin typeface="Arial Narrow" panose="020B0606020202030204" pitchFamily="34" charset="0"/>
              <a:cs typeface="Arial" panose="020B0604020202020204" pitchFamily="34" charset="0"/>
            </a:rPr>
            <a:t> LA ENCUESTA, POR FAVOR REVISAR PREVIAMENTE EL ARCHIVO </a:t>
          </a:r>
          <a:r>
            <a:rPr lang="es-PE" sz="3200" b="1" i="1" u="sng" baseline="0">
              <a:solidFill>
                <a:srgbClr val="FF0000"/>
              </a:solidFill>
              <a:latin typeface="Arial Narrow" panose="020B0606020202030204" pitchFamily="34" charset="0"/>
              <a:cs typeface="Arial" panose="020B0604020202020204" pitchFamily="34" charset="0"/>
            </a:rPr>
            <a:t>"Consideraciones prácticas para el llenado de la Encuesta Trimestral de Balanza de Pagos (ETBP)"</a:t>
          </a:r>
          <a:r>
            <a:rPr lang="es-PE" sz="3200" b="1" u="sng" baseline="0">
              <a:solidFill>
                <a:srgbClr val="FF0000"/>
              </a:solidFill>
              <a:latin typeface="Arial Narrow" panose="020B0606020202030204" pitchFamily="34" charset="0"/>
              <a:cs typeface="Arial" panose="020B0604020202020204" pitchFamily="34" charset="0"/>
            </a:rPr>
            <a:t> </a:t>
          </a:r>
          <a:r>
            <a:rPr lang="es-PE" sz="3200" b="1" baseline="0">
              <a:latin typeface="Arial Narrow" panose="020B0606020202030204" pitchFamily="34" charset="0"/>
              <a:cs typeface="Arial" panose="020B0604020202020204" pitchFamily="34" charset="0"/>
            </a:rPr>
            <a:t>DISPONIBLE EN https://www.bcrp.gob.pe/encuestas/trimestral.html</a:t>
          </a:r>
        </a:p>
        <a:p>
          <a:pPr algn="l"/>
          <a:endParaRPr lang="es-PE" sz="2000"/>
        </a:p>
      </xdr:txBody>
    </xdr:sp>
    <xdr:clientData/>
  </xdr:twoCellAnchor>
  <xdr:twoCellAnchor>
    <xdr:from>
      <xdr:col>3</xdr:col>
      <xdr:colOff>819150</xdr:colOff>
      <xdr:row>20</xdr:row>
      <xdr:rowOff>133350</xdr:rowOff>
    </xdr:from>
    <xdr:to>
      <xdr:col>9</xdr:col>
      <xdr:colOff>856384</xdr:colOff>
      <xdr:row>38</xdr:row>
      <xdr:rowOff>152400</xdr:rowOff>
    </xdr:to>
    <xdr:sp macro="" textlink="">
      <xdr:nvSpPr>
        <xdr:cNvPr id="2" name="Text Box 971">
          <a:extLst>
            <a:ext uri="{FF2B5EF4-FFF2-40B4-BE49-F238E27FC236}">
              <a16:creationId xmlns:a16="http://schemas.microsoft.com/office/drawing/2014/main" id="{00000000-0008-0000-0100-000002000000}"/>
            </a:ext>
          </a:extLst>
        </xdr:cNvPr>
        <xdr:cNvSpPr txBox="1">
          <a:spLocks noChangeArrowheads="1"/>
        </xdr:cNvSpPr>
      </xdr:nvSpPr>
      <xdr:spPr bwMode="auto">
        <a:xfrm>
          <a:off x="6648450" y="9715500"/>
          <a:ext cx="5656984" cy="952500"/>
        </a:xfrm>
        <a:prstGeom prst="rect">
          <a:avLst/>
        </a:prstGeom>
        <a:solidFill>
          <a:srgbClr val="F7D165"/>
        </a:solidFill>
        <a:ln w="9525">
          <a:solidFill>
            <a:srgbClr val="000000"/>
          </a:solidFill>
          <a:miter lim="800000"/>
          <a:headEnd/>
          <a:tailEnd/>
        </a:ln>
      </xdr:spPr>
      <xdr:txBody>
        <a:bodyPr vertOverflow="clip" wrap="square" lIns="54864" tIns="50292" rIns="54864" bIns="0" anchor="t" upright="1"/>
        <a:lstStyle/>
        <a:p>
          <a:pPr algn="ctr" rtl="0">
            <a:defRPr sz="1000"/>
          </a:pPr>
          <a:r>
            <a:rPr lang="es-PE" sz="2600" b="1" i="0" u="none" strike="noStrike" baseline="0">
              <a:solidFill>
                <a:sysClr val="windowText" lastClr="000000"/>
              </a:solidFill>
              <a:latin typeface="Arial"/>
              <a:cs typeface="Arial"/>
            </a:rPr>
            <a:t>Fecha límite para su respuesta:</a:t>
          </a:r>
        </a:p>
        <a:p>
          <a:pPr algn="ctr" rtl="0">
            <a:defRPr sz="1000"/>
          </a:pPr>
          <a:r>
            <a:rPr lang="es-PE" sz="2600" b="1" i="0" u="none" strike="noStrike" baseline="0">
              <a:solidFill>
                <a:sysClr val="windowText" lastClr="000000"/>
              </a:solidFill>
              <a:latin typeface="Arial"/>
              <a:cs typeface="Arial"/>
            </a:rPr>
            <a:t>viernes, 31 de octubre de 2025</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54428</xdr:colOff>
      <xdr:row>35</xdr:row>
      <xdr:rowOff>258536</xdr:rowOff>
    </xdr:from>
    <xdr:to>
      <xdr:col>15</xdr:col>
      <xdr:colOff>702128</xdr:colOff>
      <xdr:row>35</xdr:row>
      <xdr:rowOff>764721</xdr:rowOff>
    </xdr:to>
    <xdr:sp macro="" textlink="">
      <xdr:nvSpPr>
        <xdr:cNvPr id="9" name="Marco 8">
          <a:hlinkClick xmlns:r="http://schemas.openxmlformats.org/officeDocument/2006/relationships" r:id="rId1"/>
          <a:extLst>
            <a:ext uri="{FF2B5EF4-FFF2-40B4-BE49-F238E27FC236}">
              <a16:creationId xmlns:a16="http://schemas.microsoft.com/office/drawing/2014/main" id="{00000000-0008-0000-0C00-000009000000}"/>
            </a:ext>
          </a:extLst>
        </xdr:cNvPr>
        <xdr:cNvSpPr/>
      </xdr:nvSpPr>
      <xdr:spPr bwMode="auto">
        <a:xfrm>
          <a:off x="18573749" y="13498286"/>
          <a:ext cx="1409700" cy="506185"/>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twoCellAnchor>
    <xdr:from>
      <xdr:col>13</xdr:col>
      <xdr:colOff>734786</xdr:colOff>
      <xdr:row>10</xdr:row>
      <xdr:rowOff>163285</xdr:rowOff>
    </xdr:from>
    <xdr:to>
      <xdr:col>15</xdr:col>
      <xdr:colOff>620486</xdr:colOff>
      <xdr:row>10</xdr:row>
      <xdr:rowOff>669470</xdr:rowOff>
    </xdr:to>
    <xdr:sp macro="" textlink="">
      <xdr:nvSpPr>
        <xdr:cNvPr id="13" name="Marco 12">
          <a:hlinkClick xmlns:r="http://schemas.openxmlformats.org/officeDocument/2006/relationships" r:id="rId1"/>
          <a:extLst>
            <a:ext uri="{FF2B5EF4-FFF2-40B4-BE49-F238E27FC236}">
              <a16:creationId xmlns:a16="http://schemas.microsoft.com/office/drawing/2014/main" id="{00000000-0008-0000-0C00-00000D000000}"/>
            </a:ext>
          </a:extLst>
        </xdr:cNvPr>
        <xdr:cNvSpPr/>
      </xdr:nvSpPr>
      <xdr:spPr bwMode="auto">
        <a:xfrm>
          <a:off x="18492107" y="3633106"/>
          <a:ext cx="1409700" cy="506185"/>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1224642</xdr:colOff>
      <xdr:row>6</xdr:row>
      <xdr:rowOff>68036</xdr:rowOff>
    </xdr:from>
    <xdr:to>
      <xdr:col>18</xdr:col>
      <xdr:colOff>1246413</xdr:colOff>
      <xdr:row>7</xdr:row>
      <xdr:rowOff>383721</xdr:rowOff>
    </xdr:to>
    <xdr:sp macro="" textlink="">
      <xdr:nvSpPr>
        <xdr:cNvPr id="7" name="Marco 6">
          <a:hlinkClick xmlns:r="http://schemas.openxmlformats.org/officeDocument/2006/relationships" r:id="rId1"/>
          <a:extLst>
            <a:ext uri="{FF2B5EF4-FFF2-40B4-BE49-F238E27FC236}">
              <a16:creationId xmlns:a16="http://schemas.microsoft.com/office/drawing/2014/main" id="{00000000-0008-0000-0D00-000007000000}"/>
            </a:ext>
          </a:extLst>
        </xdr:cNvPr>
        <xdr:cNvSpPr/>
      </xdr:nvSpPr>
      <xdr:spPr bwMode="auto">
        <a:xfrm>
          <a:off x="22084392" y="2013857"/>
          <a:ext cx="1409700" cy="506185"/>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twoCellAnchor>
    <xdr:from>
      <xdr:col>17</xdr:col>
      <xdr:colOff>1238250</xdr:colOff>
      <xdr:row>31</xdr:row>
      <xdr:rowOff>136071</xdr:rowOff>
    </xdr:from>
    <xdr:to>
      <xdr:col>18</xdr:col>
      <xdr:colOff>1260021</xdr:colOff>
      <xdr:row>32</xdr:row>
      <xdr:rowOff>342899</xdr:rowOff>
    </xdr:to>
    <xdr:sp macro="" textlink="">
      <xdr:nvSpPr>
        <xdr:cNvPr id="10" name="Marco 9">
          <a:hlinkClick xmlns:r="http://schemas.openxmlformats.org/officeDocument/2006/relationships" r:id="rId1"/>
          <a:extLst>
            <a:ext uri="{FF2B5EF4-FFF2-40B4-BE49-F238E27FC236}">
              <a16:creationId xmlns:a16="http://schemas.microsoft.com/office/drawing/2014/main" id="{00000000-0008-0000-0D00-00000A000000}"/>
            </a:ext>
          </a:extLst>
        </xdr:cNvPr>
        <xdr:cNvSpPr/>
      </xdr:nvSpPr>
      <xdr:spPr bwMode="auto">
        <a:xfrm>
          <a:off x="22098000" y="11103428"/>
          <a:ext cx="1409700" cy="506185"/>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340179</xdr:colOff>
      <xdr:row>6</xdr:row>
      <xdr:rowOff>54429</xdr:rowOff>
    </xdr:from>
    <xdr:to>
      <xdr:col>15</xdr:col>
      <xdr:colOff>225879</xdr:colOff>
      <xdr:row>7</xdr:row>
      <xdr:rowOff>478971</xdr:rowOff>
    </xdr:to>
    <xdr:sp macro="" textlink="">
      <xdr:nvSpPr>
        <xdr:cNvPr id="5" name="Marco 4">
          <a:hlinkClick xmlns:r="http://schemas.openxmlformats.org/officeDocument/2006/relationships" r:id="rId1"/>
          <a:extLst>
            <a:ext uri="{FF2B5EF4-FFF2-40B4-BE49-F238E27FC236}">
              <a16:creationId xmlns:a16="http://schemas.microsoft.com/office/drawing/2014/main" id="{00000000-0008-0000-0E00-000005000000}"/>
            </a:ext>
          </a:extLst>
        </xdr:cNvPr>
        <xdr:cNvSpPr/>
      </xdr:nvSpPr>
      <xdr:spPr bwMode="auto">
        <a:xfrm>
          <a:off x="17526000" y="1932215"/>
          <a:ext cx="1409700" cy="506185"/>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1333501</xdr:colOff>
      <xdr:row>6</xdr:row>
      <xdr:rowOff>81643</xdr:rowOff>
    </xdr:from>
    <xdr:to>
      <xdr:col>18</xdr:col>
      <xdr:colOff>1355272</xdr:colOff>
      <xdr:row>7</xdr:row>
      <xdr:rowOff>492578</xdr:rowOff>
    </xdr:to>
    <xdr:sp macro="" textlink="">
      <xdr:nvSpPr>
        <xdr:cNvPr id="6" name="Marco 5">
          <a:hlinkClick xmlns:r="http://schemas.openxmlformats.org/officeDocument/2006/relationships" r:id="rId1"/>
          <a:extLst>
            <a:ext uri="{FF2B5EF4-FFF2-40B4-BE49-F238E27FC236}">
              <a16:creationId xmlns:a16="http://schemas.microsoft.com/office/drawing/2014/main" id="{00000000-0008-0000-0F00-000006000000}"/>
            </a:ext>
          </a:extLst>
        </xdr:cNvPr>
        <xdr:cNvSpPr/>
      </xdr:nvSpPr>
      <xdr:spPr bwMode="auto">
        <a:xfrm>
          <a:off x="22968858" y="1959429"/>
          <a:ext cx="1409700" cy="506185"/>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twoCellAnchor>
    <xdr:from>
      <xdr:col>17</xdr:col>
      <xdr:colOff>1183822</xdr:colOff>
      <xdr:row>31</xdr:row>
      <xdr:rowOff>27214</xdr:rowOff>
    </xdr:from>
    <xdr:to>
      <xdr:col>18</xdr:col>
      <xdr:colOff>1205593</xdr:colOff>
      <xdr:row>32</xdr:row>
      <xdr:rowOff>383721</xdr:rowOff>
    </xdr:to>
    <xdr:sp macro="" textlink="">
      <xdr:nvSpPr>
        <xdr:cNvPr id="10" name="Marco 9">
          <a:hlinkClick xmlns:r="http://schemas.openxmlformats.org/officeDocument/2006/relationships" r:id="rId1"/>
          <a:extLst>
            <a:ext uri="{FF2B5EF4-FFF2-40B4-BE49-F238E27FC236}">
              <a16:creationId xmlns:a16="http://schemas.microsoft.com/office/drawing/2014/main" id="{00000000-0008-0000-0F00-00000A000000}"/>
            </a:ext>
          </a:extLst>
        </xdr:cNvPr>
        <xdr:cNvSpPr/>
      </xdr:nvSpPr>
      <xdr:spPr bwMode="auto">
        <a:xfrm>
          <a:off x="22819179" y="11130643"/>
          <a:ext cx="1409700" cy="506185"/>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206375</xdr:colOff>
      <xdr:row>7</xdr:row>
      <xdr:rowOff>15875</xdr:rowOff>
    </xdr:from>
    <xdr:to>
      <xdr:col>11</xdr:col>
      <xdr:colOff>92075</xdr:colOff>
      <xdr:row>7</xdr:row>
      <xdr:rowOff>522060</xdr:rowOff>
    </xdr:to>
    <xdr:sp macro="" textlink="">
      <xdr:nvSpPr>
        <xdr:cNvPr id="4" name="Marco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bwMode="auto">
        <a:xfrm>
          <a:off x="18938875" y="1857375"/>
          <a:ext cx="1409700" cy="506185"/>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460375</xdr:colOff>
      <xdr:row>3</xdr:row>
      <xdr:rowOff>174625</xdr:rowOff>
    </xdr:from>
    <xdr:to>
      <xdr:col>12</xdr:col>
      <xdr:colOff>1870075</xdr:colOff>
      <xdr:row>4</xdr:row>
      <xdr:rowOff>236310</xdr:rowOff>
    </xdr:to>
    <xdr:sp macro="" textlink="">
      <xdr:nvSpPr>
        <xdr:cNvPr id="5" name="Marco 4">
          <a:hlinkClick xmlns:r="http://schemas.openxmlformats.org/officeDocument/2006/relationships" r:id="rId1"/>
          <a:extLst>
            <a:ext uri="{FF2B5EF4-FFF2-40B4-BE49-F238E27FC236}">
              <a16:creationId xmlns:a16="http://schemas.microsoft.com/office/drawing/2014/main" id="{00000000-0008-0000-1100-000005000000}"/>
            </a:ext>
          </a:extLst>
        </xdr:cNvPr>
        <xdr:cNvSpPr/>
      </xdr:nvSpPr>
      <xdr:spPr bwMode="auto">
        <a:xfrm>
          <a:off x="30114875" y="968375"/>
          <a:ext cx="1409700" cy="506185"/>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0</xdr:colOff>
      <xdr:row>1</xdr:row>
      <xdr:rowOff>171450</xdr:rowOff>
    </xdr:from>
    <xdr:to>
      <xdr:col>12</xdr:col>
      <xdr:colOff>542077</xdr:colOff>
      <xdr:row>1</xdr:row>
      <xdr:rowOff>1356360</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2"/>
        <a:stretch>
          <a:fillRect/>
        </a:stretch>
      </xdr:blipFill>
      <xdr:spPr>
        <a:xfrm>
          <a:off x="17278350" y="685800"/>
          <a:ext cx="2887132" cy="11811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642938</xdr:colOff>
      <xdr:row>6</xdr:row>
      <xdr:rowOff>154781</xdr:rowOff>
    </xdr:from>
    <xdr:to>
      <xdr:col>13</xdr:col>
      <xdr:colOff>528638</xdr:colOff>
      <xdr:row>8</xdr:row>
      <xdr:rowOff>113278</xdr:rowOff>
    </xdr:to>
    <xdr:sp macro="" textlink="">
      <xdr:nvSpPr>
        <xdr:cNvPr id="5" name="Marco 4">
          <a:hlinkClick xmlns:r="http://schemas.openxmlformats.org/officeDocument/2006/relationships" r:id="rId1"/>
          <a:extLst>
            <a:ext uri="{FF2B5EF4-FFF2-40B4-BE49-F238E27FC236}">
              <a16:creationId xmlns:a16="http://schemas.microsoft.com/office/drawing/2014/main" id="{00000000-0008-0000-1400-000005000000}"/>
            </a:ext>
          </a:extLst>
        </xdr:cNvPr>
        <xdr:cNvSpPr/>
      </xdr:nvSpPr>
      <xdr:spPr bwMode="auto">
        <a:xfrm>
          <a:off x="12513469" y="2012156"/>
          <a:ext cx="1409700" cy="506185"/>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17</xdr:col>
      <xdr:colOff>428625</xdr:colOff>
      <xdr:row>10</xdr:row>
      <xdr:rowOff>15875</xdr:rowOff>
    </xdr:from>
    <xdr:to>
      <xdr:col>18</xdr:col>
      <xdr:colOff>266700</xdr:colOff>
      <xdr:row>10</xdr:row>
      <xdr:rowOff>522060</xdr:rowOff>
    </xdr:to>
    <xdr:sp macro="" textlink="">
      <xdr:nvSpPr>
        <xdr:cNvPr id="7" name="Marco 6">
          <a:hlinkClick xmlns:r="http://schemas.openxmlformats.org/officeDocument/2006/relationships" r:id="rId1"/>
          <a:extLst>
            <a:ext uri="{FF2B5EF4-FFF2-40B4-BE49-F238E27FC236}">
              <a16:creationId xmlns:a16="http://schemas.microsoft.com/office/drawing/2014/main" id="{00000000-0008-0000-1500-000007000000}"/>
            </a:ext>
          </a:extLst>
        </xdr:cNvPr>
        <xdr:cNvSpPr/>
      </xdr:nvSpPr>
      <xdr:spPr bwMode="auto">
        <a:xfrm>
          <a:off x="26670000" y="2889250"/>
          <a:ext cx="1409700" cy="506185"/>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twoCellAnchor>
    <xdr:from>
      <xdr:col>17</xdr:col>
      <xdr:colOff>1508125</xdr:colOff>
      <xdr:row>43</xdr:row>
      <xdr:rowOff>111125</xdr:rowOff>
    </xdr:from>
    <xdr:to>
      <xdr:col>18</xdr:col>
      <xdr:colOff>1346200</xdr:colOff>
      <xdr:row>44</xdr:row>
      <xdr:rowOff>93435</xdr:rowOff>
    </xdr:to>
    <xdr:sp macro="" textlink="">
      <xdr:nvSpPr>
        <xdr:cNvPr id="8" name="Marco 7">
          <a:hlinkClick xmlns:r="http://schemas.openxmlformats.org/officeDocument/2006/relationships" r:id="rId1"/>
          <a:extLst>
            <a:ext uri="{FF2B5EF4-FFF2-40B4-BE49-F238E27FC236}">
              <a16:creationId xmlns:a16="http://schemas.microsoft.com/office/drawing/2014/main" id="{00000000-0008-0000-1500-000008000000}"/>
            </a:ext>
          </a:extLst>
        </xdr:cNvPr>
        <xdr:cNvSpPr/>
      </xdr:nvSpPr>
      <xdr:spPr bwMode="auto">
        <a:xfrm>
          <a:off x="27749500" y="16986250"/>
          <a:ext cx="1409700" cy="506185"/>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twoCellAnchor>
    <xdr:from>
      <xdr:col>15</xdr:col>
      <xdr:colOff>220980</xdr:colOff>
      <xdr:row>12</xdr:row>
      <xdr:rowOff>487680</xdr:rowOff>
    </xdr:from>
    <xdr:to>
      <xdr:col>24</xdr:col>
      <xdr:colOff>10044</xdr:colOff>
      <xdr:row>19</xdr:row>
      <xdr:rowOff>372687</xdr:rowOff>
    </xdr:to>
    <xdr:sp macro="" textlink="">
      <xdr:nvSpPr>
        <xdr:cNvPr id="6" name="Rectángulo 5">
          <a:hlinkClick xmlns:r="http://schemas.openxmlformats.org/officeDocument/2006/relationships" r:id="rId2"/>
          <a:extLst>
            <a:ext uri="{FF2B5EF4-FFF2-40B4-BE49-F238E27FC236}">
              <a16:creationId xmlns:a16="http://schemas.microsoft.com/office/drawing/2014/main" id="{00000000-0008-0000-1500-000006000000}"/>
            </a:ext>
          </a:extLst>
        </xdr:cNvPr>
        <xdr:cNvSpPr/>
      </xdr:nvSpPr>
      <xdr:spPr bwMode="auto">
        <a:xfrm flipH="1">
          <a:off x="24970740" y="5730240"/>
          <a:ext cx="10700904" cy="4274127"/>
        </a:xfrm>
        <a:prstGeom prst="rect">
          <a:avLst/>
        </a:prstGeom>
        <a:ln w="57150">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algn="l"/>
          <a:r>
            <a:rPr lang="es-PE" sz="3200" b="1">
              <a:latin typeface="Arial Narrow" panose="020B0606020202030204" pitchFamily="34" charset="0"/>
              <a:cs typeface="Arial" panose="020B0604020202020204" pitchFamily="34" charset="0"/>
            </a:rPr>
            <a:t>PARA EL LLENADO DE ESTAS TABLAS</a:t>
          </a:r>
          <a:r>
            <a:rPr lang="es-PE" sz="3200" b="1" baseline="0">
              <a:latin typeface="Arial Narrow" panose="020B0606020202030204" pitchFamily="34" charset="0"/>
              <a:cs typeface="Arial" panose="020B0604020202020204" pitchFamily="34" charset="0"/>
            </a:rPr>
            <a:t>, POR FAVOR REVISAR PREVIAMENTE EL ARCHIVO </a:t>
          </a:r>
          <a:r>
            <a:rPr lang="es-PE" sz="3200" b="1" i="1" u="sng" baseline="0">
              <a:solidFill>
                <a:srgbClr val="FF0000"/>
              </a:solidFill>
              <a:latin typeface="Arial Narrow" panose="020B0606020202030204" pitchFamily="34" charset="0"/>
              <a:cs typeface="Arial" panose="020B0604020202020204" pitchFamily="34" charset="0"/>
            </a:rPr>
            <a:t>"Consideraciones prácticas para el llenado de la Encuesta Trimestral de Balanza de Pagos (ETBP)"</a:t>
          </a:r>
          <a:r>
            <a:rPr lang="es-PE" sz="3200" b="1" u="sng" baseline="0">
              <a:solidFill>
                <a:srgbClr val="FF0000"/>
              </a:solidFill>
              <a:latin typeface="Arial Narrow" panose="020B0606020202030204" pitchFamily="34" charset="0"/>
              <a:cs typeface="Arial" panose="020B0604020202020204" pitchFamily="34" charset="0"/>
            </a:rPr>
            <a:t> </a:t>
          </a:r>
          <a:r>
            <a:rPr lang="es-PE" sz="3200" b="1" baseline="0">
              <a:latin typeface="Arial Narrow" panose="020B0606020202030204" pitchFamily="34" charset="0"/>
              <a:cs typeface="Arial" panose="020B0604020202020204" pitchFamily="34" charset="0"/>
            </a:rPr>
            <a:t>DISPONIBLE EN https://www.bcrp.gob.pe/encuestas/trimestral.html</a:t>
          </a:r>
        </a:p>
        <a:p>
          <a:pPr algn="l"/>
          <a:endParaRPr lang="es-PE" sz="2000"/>
        </a:p>
      </xdr:txBody>
    </xdr:sp>
    <xdr:clientData/>
  </xdr:twoCellAnchor>
  <xdr:twoCellAnchor>
    <xdr:from>
      <xdr:col>10</xdr:col>
      <xdr:colOff>731520</xdr:colOff>
      <xdr:row>49</xdr:row>
      <xdr:rowOff>76201</xdr:rowOff>
    </xdr:from>
    <xdr:to>
      <xdr:col>14</xdr:col>
      <xdr:colOff>1737360</xdr:colOff>
      <xdr:row>53</xdr:row>
      <xdr:rowOff>487681</xdr:rowOff>
    </xdr:to>
    <xdr:sp macro="" textlink="">
      <xdr:nvSpPr>
        <xdr:cNvPr id="9" name="Rectángulo 8">
          <a:hlinkClick xmlns:r="http://schemas.openxmlformats.org/officeDocument/2006/relationships" r:id="rId2"/>
          <a:extLst>
            <a:ext uri="{FF2B5EF4-FFF2-40B4-BE49-F238E27FC236}">
              <a16:creationId xmlns:a16="http://schemas.microsoft.com/office/drawing/2014/main" id="{00000000-0008-0000-1500-000009000000}"/>
            </a:ext>
          </a:extLst>
        </xdr:cNvPr>
        <xdr:cNvSpPr/>
      </xdr:nvSpPr>
      <xdr:spPr bwMode="auto">
        <a:xfrm flipH="1">
          <a:off x="15148560" y="23180041"/>
          <a:ext cx="9174480" cy="2941320"/>
        </a:xfrm>
        <a:prstGeom prst="rect">
          <a:avLst/>
        </a:prstGeom>
        <a:ln w="57150">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algn="l"/>
          <a:r>
            <a:rPr lang="es-PE" sz="3200" b="1">
              <a:latin typeface="Arial Narrow" panose="020B0606020202030204" pitchFamily="34" charset="0"/>
              <a:cs typeface="Arial" panose="020B0604020202020204" pitchFamily="34" charset="0"/>
            </a:rPr>
            <a:t>PARA EL LLENADO DE ESTAS TABLAS</a:t>
          </a:r>
          <a:r>
            <a:rPr lang="es-PE" sz="3200" b="1" baseline="0">
              <a:latin typeface="Arial Narrow" panose="020B0606020202030204" pitchFamily="34" charset="0"/>
              <a:cs typeface="Arial" panose="020B0604020202020204" pitchFamily="34" charset="0"/>
            </a:rPr>
            <a:t>, POR FAVOR REVISAR PREVIAMENTE EL ARCHIVO </a:t>
          </a:r>
          <a:r>
            <a:rPr lang="es-PE" sz="3200" b="1" i="1" u="sng" baseline="0">
              <a:solidFill>
                <a:srgbClr val="FF0000"/>
              </a:solidFill>
              <a:latin typeface="Arial Narrow" panose="020B0606020202030204" pitchFamily="34" charset="0"/>
              <a:cs typeface="Arial" panose="020B0604020202020204" pitchFamily="34" charset="0"/>
            </a:rPr>
            <a:t>"Consideraciones prácticas para el llenado de la Encuesta Trimestral de Balanza de Pagos (ETBP)"</a:t>
          </a:r>
          <a:r>
            <a:rPr lang="es-PE" sz="3200" b="1" u="sng" baseline="0">
              <a:solidFill>
                <a:srgbClr val="FF0000"/>
              </a:solidFill>
              <a:latin typeface="Arial Narrow" panose="020B0606020202030204" pitchFamily="34" charset="0"/>
              <a:cs typeface="Arial" panose="020B0604020202020204" pitchFamily="34" charset="0"/>
            </a:rPr>
            <a:t> </a:t>
          </a:r>
          <a:r>
            <a:rPr lang="es-PE" sz="3200" b="1" baseline="0">
              <a:latin typeface="Arial Narrow" panose="020B0606020202030204" pitchFamily="34" charset="0"/>
              <a:cs typeface="Arial" panose="020B0604020202020204" pitchFamily="34" charset="0"/>
            </a:rPr>
            <a:t>DISPONIBLE EN https://www.bcrp.gob.pe/encuestas/trimestral.html</a:t>
          </a:r>
        </a:p>
        <a:p>
          <a:pPr algn="l"/>
          <a:endParaRPr lang="es-PE" sz="2000"/>
        </a:p>
      </xdr:txBody>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14</xdr:row>
          <xdr:rowOff>9525</xdr:rowOff>
        </xdr:from>
        <xdr:to>
          <xdr:col>7</xdr:col>
          <xdr:colOff>6905625</xdr:colOff>
          <xdr:row>14</xdr:row>
          <xdr:rowOff>219075</xdr:rowOff>
        </xdr:to>
        <xdr:sp macro="" textlink="">
          <xdr:nvSpPr>
            <xdr:cNvPr id="70449" name="ComboBox3" hidden="1">
              <a:extLst>
                <a:ext uri="{63B3BB69-23CF-44E3-9099-C40C66FF867C}">
                  <a14:compatExt spid="_x0000_s70449"/>
                </a:ext>
                <a:ext uri="{FF2B5EF4-FFF2-40B4-BE49-F238E27FC236}">
                  <a16:creationId xmlns:a16="http://schemas.microsoft.com/office/drawing/2014/main" id="{00000000-0008-0000-1600-000031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9525</xdr:rowOff>
        </xdr:from>
        <xdr:to>
          <xdr:col>7</xdr:col>
          <xdr:colOff>6905625</xdr:colOff>
          <xdr:row>15</xdr:row>
          <xdr:rowOff>219075</xdr:rowOff>
        </xdr:to>
        <xdr:sp macro="" textlink="">
          <xdr:nvSpPr>
            <xdr:cNvPr id="70450" name="ComboBox2" hidden="1">
              <a:extLst>
                <a:ext uri="{63B3BB69-23CF-44E3-9099-C40C66FF867C}">
                  <a14:compatExt spid="_x0000_s70450"/>
                </a:ext>
                <a:ext uri="{FF2B5EF4-FFF2-40B4-BE49-F238E27FC236}">
                  <a16:creationId xmlns:a16="http://schemas.microsoft.com/office/drawing/2014/main" id="{00000000-0008-0000-1600-000032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9525</xdr:rowOff>
        </xdr:from>
        <xdr:to>
          <xdr:col>7</xdr:col>
          <xdr:colOff>6905625</xdr:colOff>
          <xdr:row>16</xdr:row>
          <xdr:rowOff>219075</xdr:rowOff>
        </xdr:to>
        <xdr:sp macro="" textlink="">
          <xdr:nvSpPr>
            <xdr:cNvPr id="70451" name="ComboBox4" hidden="1">
              <a:extLst>
                <a:ext uri="{63B3BB69-23CF-44E3-9099-C40C66FF867C}">
                  <a14:compatExt spid="_x0000_s70451"/>
                </a:ext>
                <a:ext uri="{FF2B5EF4-FFF2-40B4-BE49-F238E27FC236}">
                  <a16:creationId xmlns:a16="http://schemas.microsoft.com/office/drawing/2014/main" id="{00000000-0008-0000-1600-000033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9525</xdr:rowOff>
        </xdr:from>
        <xdr:to>
          <xdr:col>7</xdr:col>
          <xdr:colOff>6905625</xdr:colOff>
          <xdr:row>17</xdr:row>
          <xdr:rowOff>219075</xdr:rowOff>
        </xdr:to>
        <xdr:sp macro="" textlink="">
          <xdr:nvSpPr>
            <xdr:cNvPr id="70452" name="ComboBox5" hidden="1">
              <a:extLst>
                <a:ext uri="{63B3BB69-23CF-44E3-9099-C40C66FF867C}">
                  <a14:compatExt spid="_x0000_s70452"/>
                </a:ext>
                <a:ext uri="{FF2B5EF4-FFF2-40B4-BE49-F238E27FC236}">
                  <a16:creationId xmlns:a16="http://schemas.microsoft.com/office/drawing/2014/main" id="{00000000-0008-0000-1600-000034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9525</xdr:rowOff>
        </xdr:from>
        <xdr:to>
          <xdr:col>7</xdr:col>
          <xdr:colOff>6905625</xdr:colOff>
          <xdr:row>18</xdr:row>
          <xdr:rowOff>219075</xdr:rowOff>
        </xdr:to>
        <xdr:sp macro="" textlink="">
          <xdr:nvSpPr>
            <xdr:cNvPr id="70453" name="ComboBox6" hidden="1">
              <a:extLst>
                <a:ext uri="{63B3BB69-23CF-44E3-9099-C40C66FF867C}">
                  <a14:compatExt spid="_x0000_s70453"/>
                </a:ext>
                <a:ext uri="{FF2B5EF4-FFF2-40B4-BE49-F238E27FC236}">
                  <a16:creationId xmlns:a16="http://schemas.microsoft.com/office/drawing/2014/main" id="{00000000-0008-0000-1600-000035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xdr:row>
          <xdr:rowOff>9525</xdr:rowOff>
        </xdr:from>
        <xdr:to>
          <xdr:col>7</xdr:col>
          <xdr:colOff>6905625</xdr:colOff>
          <xdr:row>19</xdr:row>
          <xdr:rowOff>219075</xdr:rowOff>
        </xdr:to>
        <xdr:sp macro="" textlink="">
          <xdr:nvSpPr>
            <xdr:cNvPr id="70454" name="ComboBox7" hidden="1">
              <a:extLst>
                <a:ext uri="{63B3BB69-23CF-44E3-9099-C40C66FF867C}">
                  <a14:compatExt spid="_x0000_s70454"/>
                </a:ext>
                <a:ext uri="{FF2B5EF4-FFF2-40B4-BE49-F238E27FC236}">
                  <a16:creationId xmlns:a16="http://schemas.microsoft.com/office/drawing/2014/main" id="{00000000-0008-0000-1600-000036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9525</xdr:rowOff>
        </xdr:from>
        <xdr:to>
          <xdr:col>7</xdr:col>
          <xdr:colOff>6905625</xdr:colOff>
          <xdr:row>20</xdr:row>
          <xdr:rowOff>219075</xdr:rowOff>
        </xdr:to>
        <xdr:sp macro="" textlink="">
          <xdr:nvSpPr>
            <xdr:cNvPr id="70455" name="ComboBox8" hidden="1">
              <a:extLst>
                <a:ext uri="{63B3BB69-23CF-44E3-9099-C40C66FF867C}">
                  <a14:compatExt spid="_x0000_s70455"/>
                </a:ext>
                <a:ext uri="{FF2B5EF4-FFF2-40B4-BE49-F238E27FC236}">
                  <a16:creationId xmlns:a16="http://schemas.microsoft.com/office/drawing/2014/main" id="{00000000-0008-0000-1600-000037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9525</xdr:rowOff>
        </xdr:from>
        <xdr:to>
          <xdr:col>7</xdr:col>
          <xdr:colOff>6905625</xdr:colOff>
          <xdr:row>21</xdr:row>
          <xdr:rowOff>219075</xdr:rowOff>
        </xdr:to>
        <xdr:sp macro="" textlink="">
          <xdr:nvSpPr>
            <xdr:cNvPr id="70456" name="ComboBox9" hidden="1">
              <a:extLst>
                <a:ext uri="{63B3BB69-23CF-44E3-9099-C40C66FF867C}">
                  <a14:compatExt spid="_x0000_s70456"/>
                </a:ext>
                <a:ext uri="{FF2B5EF4-FFF2-40B4-BE49-F238E27FC236}">
                  <a16:creationId xmlns:a16="http://schemas.microsoft.com/office/drawing/2014/main" id="{00000000-0008-0000-1600-000038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xdr:row>
          <xdr:rowOff>9525</xdr:rowOff>
        </xdr:from>
        <xdr:to>
          <xdr:col>7</xdr:col>
          <xdr:colOff>6905625</xdr:colOff>
          <xdr:row>22</xdr:row>
          <xdr:rowOff>219075</xdr:rowOff>
        </xdr:to>
        <xdr:sp macro="" textlink="">
          <xdr:nvSpPr>
            <xdr:cNvPr id="70457" name="ComboBox10" hidden="1">
              <a:extLst>
                <a:ext uri="{63B3BB69-23CF-44E3-9099-C40C66FF867C}">
                  <a14:compatExt spid="_x0000_s70457"/>
                </a:ext>
                <a:ext uri="{FF2B5EF4-FFF2-40B4-BE49-F238E27FC236}">
                  <a16:creationId xmlns:a16="http://schemas.microsoft.com/office/drawing/2014/main" id="{00000000-0008-0000-1600-000039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xdr:row>
          <xdr:rowOff>9525</xdr:rowOff>
        </xdr:from>
        <xdr:to>
          <xdr:col>7</xdr:col>
          <xdr:colOff>6905625</xdr:colOff>
          <xdr:row>23</xdr:row>
          <xdr:rowOff>219075</xdr:rowOff>
        </xdr:to>
        <xdr:sp macro="" textlink="">
          <xdr:nvSpPr>
            <xdr:cNvPr id="70458" name="ComboBox11" hidden="1">
              <a:extLst>
                <a:ext uri="{63B3BB69-23CF-44E3-9099-C40C66FF867C}">
                  <a14:compatExt spid="_x0000_s70458"/>
                </a:ext>
                <a:ext uri="{FF2B5EF4-FFF2-40B4-BE49-F238E27FC236}">
                  <a16:creationId xmlns:a16="http://schemas.microsoft.com/office/drawing/2014/main" id="{00000000-0008-0000-1600-00003A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9525</xdr:rowOff>
        </xdr:from>
        <xdr:to>
          <xdr:col>7</xdr:col>
          <xdr:colOff>6924675</xdr:colOff>
          <xdr:row>26</xdr:row>
          <xdr:rowOff>219075</xdr:rowOff>
        </xdr:to>
        <xdr:sp macro="" textlink="">
          <xdr:nvSpPr>
            <xdr:cNvPr id="70459" name="ComboBox12" hidden="1">
              <a:extLst>
                <a:ext uri="{63B3BB69-23CF-44E3-9099-C40C66FF867C}">
                  <a14:compatExt spid="_x0000_s70459"/>
                </a:ext>
                <a:ext uri="{FF2B5EF4-FFF2-40B4-BE49-F238E27FC236}">
                  <a16:creationId xmlns:a16="http://schemas.microsoft.com/office/drawing/2014/main" id="{00000000-0008-0000-1600-00003B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xdr:row>
          <xdr:rowOff>9525</xdr:rowOff>
        </xdr:from>
        <xdr:to>
          <xdr:col>7</xdr:col>
          <xdr:colOff>6924675</xdr:colOff>
          <xdr:row>27</xdr:row>
          <xdr:rowOff>219075</xdr:rowOff>
        </xdr:to>
        <xdr:sp macro="" textlink="">
          <xdr:nvSpPr>
            <xdr:cNvPr id="70465" name="ComboBox13" hidden="1">
              <a:extLst>
                <a:ext uri="{63B3BB69-23CF-44E3-9099-C40C66FF867C}">
                  <a14:compatExt spid="_x0000_s70465"/>
                </a:ext>
                <a:ext uri="{FF2B5EF4-FFF2-40B4-BE49-F238E27FC236}">
                  <a16:creationId xmlns:a16="http://schemas.microsoft.com/office/drawing/2014/main" id="{00000000-0008-0000-1600-000041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xdr:row>
          <xdr:rowOff>9525</xdr:rowOff>
        </xdr:from>
        <xdr:to>
          <xdr:col>7</xdr:col>
          <xdr:colOff>6924675</xdr:colOff>
          <xdr:row>28</xdr:row>
          <xdr:rowOff>219075</xdr:rowOff>
        </xdr:to>
        <xdr:sp macro="" textlink="">
          <xdr:nvSpPr>
            <xdr:cNvPr id="70466" name="ComboBox14" hidden="1">
              <a:extLst>
                <a:ext uri="{63B3BB69-23CF-44E3-9099-C40C66FF867C}">
                  <a14:compatExt spid="_x0000_s70466"/>
                </a:ext>
                <a:ext uri="{FF2B5EF4-FFF2-40B4-BE49-F238E27FC236}">
                  <a16:creationId xmlns:a16="http://schemas.microsoft.com/office/drawing/2014/main" id="{00000000-0008-0000-1600-000042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9525</xdr:rowOff>
        </xdr:from>
        <xdr:to>
          <xdr:col>7</xdr:col>
          <xdr:colOff>6924675</xdr:colOff>
          <xdr:row>29</xdr:row>
          <xdr:rowOff>219075</xdr:rowOff>
        </xdr:to>
        <xdr:sp macro="" textlink="">
          <xdr:nvSpPr>
            <xdr:cNvPr id="70467" name="ComboBox15" hidden="1">
              <a:extLst>
                <a:ext uri="{63B3BB69-23CF-44E3-9099-C40C66FF867C}">
                  <a14:compatExt spid="_x0000_s70467"/>
                </a:ext>
                <a:ext uri="{FF2B5EF4-FFF2-40B4-BE49-F238E27FC236}">
                  <a16:creationId xmlns:a16="http://schemas.microsoft.com/office/drawing/2014/main" id="{00000000-0008-0000-1600-000043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xdr:row>
          <xdr:rowOff>9525</xdr:rowOff>
        </xdr:from>
        <xdr:to>
          <xdr:col>7</xdr:col>
          <xdr:colOff>6924675</xdr:colOff>
          <xdr:row>30</xdr:row>
          <xdr:rowOff>219075</xdr:rowOff>
        </xdr:to>
        <xdr:sp macro="" textlink="">
          <xdr:nvSpPr>
            <xdr:cNvPr id="70468" name="ComboBox16" hidden="1">
              <a:extLst>
                <a:ext uri="{63B3BB69-23CF-44E3-9099-C40C66FF867C}">
                  <a14:compatExt spid="_x0000_s70468"/>
                </a:ext>
                <a:ext uri="{FF2B5EF4-FFF2-40B4-BE49-F238E27FC236}">
                  <a16:creationId xmlns:a16="http://schemas.microsoft.com/office/drawing/2014/main" id="{00000000-0008-0000-1600-000044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9525</xdr:rowOff>
        </xdr:from>
        <xdr:to>
          <xdr:col>7</xdr:col>
          <xdr:colOff>6924675</xdr:colOff>
          <xdr:row>31</xdr:row>
          <xdr:rowOff>219075</xdr:rowOff>
        </xdr:to>
        <xdr:sp macro="" textlink="">
          <xdr:nvSpPr>
            <xdr:cNvPr id="70469" name="ComboBox17" hidden="1">
              <a:extLst>
                <a:ext uri="{63B3BB69-23CF-44E3-9099-C40C66FF867C}">
                  <a14:compatExt spid="_x0000_s70469"/>
                </a:ext>
                <a:ext uri="{FF2B5EF4-FFF2-40B4-BE49-F238E27FC236}">
                  <a16:creationId xmlns:a16="http://schemas.microsoft.com/office/drawing/2014/main" id="{00000000-0008-0000-1600-000045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9525</xdr:rowOff>
        </xdr:from>
        <xdr:to>
          <xdr:col>7</xdr:col>
          <xdr:colOff>6924675</xdr:colOff>
          <xdr:row>32</xdr:row>
          <xdr:rowOff>219075</xdr:rowOff>
        </xdr:to>
        <xdr:sp macro="" textlink="">
          <xdr:nvSpPr>
            <xdr:cNvPr id="70470" name="ComboBox1" hidden="1">
              <a:extLst>
                <a:ext uri="{63B3BB69-23CF-44E3-9099-C40C66FF867C}">
                  <a14:compatExt spid="_x0000_s70470"/>
                </a:ext>
                <a:ext uri="{FF2B5EF4-FFF2-40B4-BE49-F238E27FC236}">
                  <a16:creationId xmlns:a16="http://schemas.microsoft.com/office/drawing/2014/main" id="{00000000-0008-0000-1600-000046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9525</xdr:rowOff>
        </xdr:from>
        <xdr:to>
          <xdr:col>7</xdr:col>
          <xdr:colOff>6924675</xdr:colOff>
          <xdr:row>34</xdr:row>
          <xdr:rowOff>219075</xdr:rowOff>
        </xdr:to>
        <xdr:sp macro="" textlink="">
          <xdr:nvSpPr>
            <xdr:cNvPr id="70471" name="ComboBox18" hidden="1">
              <a:extLst>
                <a:ext uri="{63B3BB69-23CF-44E3-9099-C40C66FF867C}">
                  <a14:compatExt spid="_x0000_s70471"/>
                </a:ext>
                <a:ext uri="{FF2B5EF4-FFF2-40B4-BE49-F238E27FC236}">
                  <a16:creationId xmlns:a16="http://schemas.microsoft.com/office/drawing/2014/main" id="{00000000-0008-0000-1600-000047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9525</xdr:rowOff>
        </xdr:from>
        <xdr:to>
          <xdr:col>7</xdr:col>
          <xdr:colOff>6924675</xdr:colOff>
          <xdr:row>33</xdr:row>
          <xdr:rowOff>219075</xdr:rowOff>
        </xdr:to>
        <xdr:sp macro="" textlink="">
          <xdr:nvSpPr>
            <xdr:cNvPr id="70472" name="ComboBox19" hidden="1">
              <a:extLst>
                <a:ext uri="{63B3BB69-23CF-44E3-9099-C40C66FF867C}">
                  <a14:compatExt spid="_x0000_s70472"/>
                </a:ext>
                <a:ext uri="{FF2B5EF4-FFF2-40B4-BE49-F238E27FC236}">
                  <a16:creationId xmlns:a16="http://schemas.microsoft.com/office/drawing/2014/main" id="{00000000-0008-0000-1600-000048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9525</xdr:rowOff>
        </xdr:from>
        <xdr:to>
          <xdr:col>7</xdr:col>
          <xdr:colOff>6924675</xdr:colOff>
          <xdr:row>35</xdr:row>
          <xdr:rowOff>219075</xdr:rowOff>
        </xdr:to>
        <xdr:sp macro="" textlink="">
          <xdr:nvSpPr>
            <xdr:cNvPr id="70473" name="ComboBox20" hidden="1">
              <a:extLst>
                <a:ext uri="{63B3BB69-23CF-44E3-9099-C40C66FF867C}">
                  <a14:compatExt spid="_x0000_s70473"/>
                </a:ext>
                <a:ext uri="{FF2B5EF4-FFF2-40B4-BE49-F238E27FC236}">
                  <a16:creationId xmlns:a16="http://schemas.microsoft.com/office/drawing/2014/main" id="{00000000-0008-0000-1600-000049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9525</xdr:rowOff>
        </xdr:from>
        <xdr:to>
          <xdr:col>7</xdr:col>
          <xdr:colOff>6924675</xdr:colOff>
          <xdr:row>38</xdr:row>
          <xdr:rowOff>219075</xdr:rowOff>
        </xdr:to>
        <xdr:sp macro="" textlink="">
          <xdr:nvSpPr>
            <xdr:cNvPr id="70474" name="ComboBox21" hidden="1">
              <a:extLst>
                <a:ext uri="{63B3BB69-23CF-44E3-9099-C40C66FF867C}">
                  <a14:compatExt spid="_x0000_s70474"/>
                </a:ext>
                <a:ext uri="{FF2B5EF4-FFF2-40B4-BE49-F238E27FC236}">
                  <a16:creationId xmlns:a16="http://schemas.microsoft.com/office/drawing/2014/main" id="{00000000-0008-0000-1600-00004A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xdr:row>
          <xdr:rowOff>9525</xdr:rowOff>
        </xdr:from>
        <xdr:to>
          <xdr:col>7</xdr:col>
          <xdr:colOff>6924675</xdr:colOff>
          <xdr:row>39</xdr:row>
          <xdr:rowOff>219075</xdr:rowOff>
        </xdr:to>
        <xdr:sp macro="" textlink="">
          <xdr:nvSpPr>
            <xdr:cNvPr id="70475" name="ComboBox22" hidden="1">
              <a:extLst>
                <a:ext uri="{63B3BB69-23CF-44E3-9099-C40C66FF867C}">
                  <a14:compatExt spid="_x0000_s70475"/>
                </a:ext>
                <a:ext uri="{FF2B5EF4-FFF2-40B4-BE49-F238E27FC236}">
                  <a16:creationId xmlns:a16="http://schemas.microsoft.com/office/drawing/2014/main" id="{00000000-0008-0000-1600-00004B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40</xdr:row>
          <xdr:rowOff>9525</xdr:rowOff>
        </xdr:from>
        <xdr:to>
          <xdr:col>7</xdr:col>
          <xdr:colOff>6924675</xdr:colOff>
          <xdr:row>40</xdr:row>
          <xdr:rowOff>219075</xdr:rowOff>
        </xdr:to>
        <xdr:sp macro="" textlink="">
          <xdr:nvSpPr>
            <xdr:cNvPr id="70476" name="ComboBox23" hidden="1">
              <a:extLst>
                <a:ext uri="{63B3BB69-23CF-44E3-9099-C40C66FF867C}">
                  <a14:compatExt spid="_x0000_s70476"/>
                </a:ext>
                <a:ext uri="{FF2B5EF4-FFF2-40B4-BE49-F238E27FC236}">
                  <a16:creationId xmlns:a16="http://schemas.microsoft.com/office/drawing/2014/main" id="{00000000-0008-0000-1600-00004C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9525</xdr:rowOff>
        </xdr:from>
        <xdr:to>
          <xdr:col>7</xdr:col>
          <xdr:colOff>4695825</xdr:colOff>
          <xdr:row>41</xdr:row>
          <xdr:rowOff>152400</xdr:rowOff>
        </xdr:to>
        <xdr:sp macro="" textlink="">
          <xdr:nvSpPr>
            <xdr:cNvPr id="70477" name="ComboBox24" hidden="1">
              <a:extLst>
                <a:ext uri="{63B3BB69-23CF-44E3-9099-C40C66FF867C}">
                  <a14:compatExt spid="_x0000_s70477"/>
                </a:ext>
                <a:ext uri="{FF2B5EF4-FFF2-40B4-BE49-F238E27FC236}">
                  <a16:creationId xmlns:a16="http://schemas.microsoft.com/office/drawing/2014/main" id="{00000000-0008-0000-1600-00004D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xdr:row>
          <xdr:rowOff>9525</xdr:rowOff>
        </xdr:from>
        <xdr:to>
          <xdr:col>7</xdr:col>
          <xdr:colOff>5486400</xdr:colOff>
          <xdr:row>42</xdr:row>
          <xdr:rowOff>180975</xdr:rowOff>
        </xdr:to>
        <xdr:sp macro="" textlink="">
          <xdr:nvSpPr>
            <xdr:cNvPr id="70478" name="ComboBox25" hidden="1">
              <a:extLst>
                <a:ext uri="{63B3BB69-23CF-44E3-9099-C40C66FF867C}">
                  <a14:compatExt spid="_x0000_s70478"/>
                </a:ext>
                <a:ext uri="{FF2B5EF4-FFF2-40B4-BE49-F238E27FC236}">
                  <a16:creationId xmlns:a16="http://schemas.microsoft.com/office/drawing/2014/main" id="{00000000-0008-0000-1600-00004E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43</xdr:row>
          <xdr:rowOff>9525</xdr:rowOff>
        </xdr:from>
        <xdr:to>
          <xdr:col>7</xdr:col>
          <xdr:colOff>6924675</xdr:colOff>
          <xdr:row>43</xdr:row>
          <xdr:rowOff>219075</xdr:rowOff>
        </xdr:to>
        <xdr:sp macro="" textlink="">
          <xdr:nvSpPr>
            <xdr:cNvPr id="70479" name="ComboBox26" hidden="1">
              <a:extLst>
                <a:ext uri="{63B3BB69-23CF-44E3-9099-C40C66FF867C}">
                  <a14:compatExt spid="_x0000_s70479"/>
                </a:ext>
                <a:ext uri="{FF2B5EF4-FFF2-40B4-BE49-F238E27FC236}">
                  <a16:creationId xmlns:a16="http://schemas.microsoft.com/office/drawing/2014/main" id="{00000000-0008-0000-1600-00004F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44</xdr:row>
          <xdr:rowOff>9525</xdr:rowOff>
        </xdr:from>
        <xdr:to>
          <xdr:col>7</xdr:col>
          <xdr:colOff>6924675</xdr:colOff>
          <xdr:row>44</xdr:row>
          <xdr:rowOff>219075</xdr:rowOff>
        </xdr:to>
        <xdr:sp macro="" textlink="">
          <xdr:nvSpPr>
            <xdr:cNvPr id="70480" name="ComboBox27" hidden="1">
              <a:extLst>
                <a:ext uri="{63B3BB69-23CF-44E3-9099-C40C66FF867C}">
                  <a14:compatExt spid="_x0000_s70480"/>
                </a:ext>
                <a:ext uri="{FF2B5EF4-FFF2-40B4-BE49-F238E27FC236}">
                  <a16:creationId xmlns:a16="http://schemas.microsoft.com/office/drawing/2014/main" id="{00000000-0008-0000-1600-000050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xdr:row>
          <xdr:rowOff>9525</xdr:rowOff>
        </xdr:from>
        <xdr:to>
          <xdr:col>7</xdr:col>
          <xdr:colOff>6924675</xdr:colOff>
          <xdr:row>45</xdr:row>
          <xdr:rowOff>219075</xdr:rowOff>
        </xdr:to>
        <xdr:sp macro="" textlink="">
          <xdr:nvSpPr>
            <xdr:cNvPr id="70481" name="ComboBox28" hidden="1">
              <a:extLst>
                <a:ext uri="{63B3BB69-23CF-44E3-9099-C40C66FF867C}">
                  <a14:compatExt spid="_x0000_s70481"/>
                </a:ext>
                <a:ext uri="{FF2B5EF4-FFF2-40B4-BE49-F238E27FC236}">
                  <a16:creationId xmlns:a16="http://schemas.microsoft.com/office/drawing/2014/main" id="{00000000-0008-0000-1600-000051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46</xdr:row>
          <xdr:rowOff>9525</xdr:rowOff>
        </xdr:from>
        <xdr:to>
          <xdr:col>7</xdr:col>
          <xdr:colOff>6924675</xdr:colOff>
          <xdr:row>46</xdr:row>
          <xdr:rowOff>219075</xdr:rowOff>
        </xdr:to>
        <xdr:sp macro="" textlink="">
          <xdr:nvSpPr>
            <xdr:cNvPr id="70482" name="ComboBox29" hidden="1">
              <a:extLst>
                <a:ext uri="{63B3BB69-23CF-44E3-9099-C40C66FF867C}">
                  <a14:compatExt spid="_x0000_s70482"/>
                </a:ext>
                <a:ext uri="{FF2B5EF4-FFF2-40B4-BE49-F238E27FC236}">
                  <a16:creationId xmlns:a16="http://schemas.microsoft.com/office/drawing/2014/main" id="{00000000-0008-0000-1600-000052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9525</xdr:rowOff>
        </xdr:from>
        <xdr:to>
          <xdr:col>7</xdr:col>
          <xdr:colOff>6924675</xdr:colOff>
          <xdr:row>47</xdr:row>
          <xdr:rowOff>219075</xdr:rowOff>
        </xdr:to>
        <xdr:sp macro="" textlink="">
          <xdr:nvSpPr>
            <xdr:cNvPr id="70483" name="ComboBox30" hidden="1">
              <a:extLst>
                <a:ext uri="{63B3BB69-23CF-44E3-9099-C40C66FF867C}">
                  <a14:compatExt spid="_x0000_s70483"/>
                </a:ext>
                <a:ext uri="{FF2B5EF4-FFF2-40B4-BE49-F238E27FC236}">
                  <a16:creationId xmlns:a16="http://schemas.microsoft.com/office/drawing/2014/main" id="{00000000-0008-0000-1600-000053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9525</xdr:rowOff>
        </xdr:from>
        <xdr:to>
          <xdr:col>7</xdr:col>
          <xdr:colOff>685800</xdr:colOff>
          <xdr:row>50</xdr:row>
          <xdr:rowOff>28575</xdr:rowOff>
        </xdr:to>
        <xdr:sp macro="" textlink="">
          <xdr:nvSpPr>
            <xdr:cNvPr id="70484" name="ComboBox31" hidden="1">
              <a:extLst>
                <a:ext uri="{63B3BB69-23CF-44E3-9099-C40C66FF867C}">
                  <a14:compatExt spid="_x0000_s70484"/>
                </a:ext>
                <a:ext uri="{FF2B5EF4-FFF2-40B4-BE49-F238E27FC236}">
                  <a16:creationId xmlns:a16="http://schemas.microsoft.com/office/drawing/2014/main" id="{00000000-0008-0000-1600-000054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51</xdr:row>
          <xdr:rowOff>9525</xdr:rowOff>
        </xdr:from>
        <xdr:to>
          <xdr:col>7</xdr:col>
          <xdr:colOff>6924675</xdr:colOff>
          <xdr:row>51</xdr:row>
          <xdr:rowOff>219075</xdr:rowOff>
        </xdr:to>
        <xdr:sp macro="" textlink="">
          <xdr:nvSpPr>
            <xdr:cNvPr id="70485" name="ComboBox32" hidden="1">
              <a:extLst>
                <a:ext uri="{63B3BB69-23CF-44E3-9099-C40C66FF867C}">
                  <a14:compatExt spid="_x0000_s70485"/>
                </a:ext>
                <a:ext uri="{FF2B5EF4-FFF2-40B4-BE49-F238E27FC236}">
                  <a16:creationId xmlns:a16="http://schemas.microsoft.com/office/drawing/2014/main" id="{00000000-0008-0000-1600-000055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52</xdr:row>
          <xdr:rowOff>9525</xdr:rowOff>
        </xdr:from>
        <xdr:to>
          <xdr:col>7</xdr:col>
          <xdr:colOff>6924675</xdr:colOff>
          <xdr:row>52</xdr:row>
          <xdr:rowOff>219075</xdr:rowOff>
        </xdr:to>
        <xdr:sp macro="" textlink="">
          <xdr:nvSpPr>
            <xdr:cNvPr id="70486" name="ComboBox33" hidden="1">
              <a:extLst>
                <a:ext uri="{63B3BB69-23CF-44E3-9099-C40C66FF867C}">
                  <a14:compatExt spid="_x0000_s70486"/>
                </a:ext>
                <a:ext uri="{FF2B5EF4-FFF2-40B4-BE49-F238E27FC236}">
                  <a16:creationId xmlns:a16="http://schemas.microsoft.com/office/drawing/2014/main" id="{00000000-0008-0000-1600-000056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53</xdr:row>
          <xdr:rowOff>9525</xdr:rowOff>
        </xdr:from>
        <xdr:to>
          <xdr:col>7</xdr:col>
          <xdr:colOff>6924675</xdr:colOff>
          <xdr:row>53</xdr:row>
          <xdr:rowOff>219075</xdr:rowOff>
        </xdr:to>
        <xdr:sp macro="" textlink="">
          <xdr:nvSpPr>
            <xdr:cNvPr id="70487" name="ComboBox34" hidden="1">
              <a:extLst>
                <a:ext uri="{63B3BB69-23CF-44E3-9099-C40C66FF867C}">
                  <a14:compatExt spid="_x0000_s70487"/>
                </a:ext>
                <a:ext uri="{FF2B5EF4-FFF2-40B4-BE49-F238E27FC236}">
                  <a16:creationId xmlns:a16="http://schemas.microsoft.com/office/drawing/2014/main" id="{00000000-0008-0000-1600-000057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9525</xdr:rowOff>
        </xdr:from>
        <xdr:to>
          <xdr:col>7</xdr:col>
          <xdr:colOff>6924675</xdr:colOff>
          <xdr:row>54</xdr:row>
          <xdr:rowOff>219075</xdr:rowOff>
        </xdr:to>
        <xdr:sp macro="" textlink="">
          <xdr:nvSpPr>
            <xdr:cNvPr id="70488" name="ComboBox35" hidden="1">
              <a:extLst>
                <a:ext uri="{63B3BB69-23CF-44E3-9099-C40C66FF867C}">
                  <a14:compatExt spid="_x0000_s70488"/>
                </a:ext>
                <a:ext uri="{FF2B5EF4-FFF2-40B4-BE49-F238E27FC236}">
                  <a16:creationId xmlns:a16="http://schemas.microsoft.com/office/drawing/2014/main" id="{00000000-0008-0000-1600-000058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55</xdr:row>
          <xdr:rowOff>9525</xdr:rowOff>
        </xdr:from>
        <xdr:to>
          <xdr:col>7</xdr:col>
          <xdr:colOff>6924675</xdr:colOff>
          <xdr:row>55</xdr:row>
          <xdr:rowOff>219075</xdr:rowOff>
        </xdr:to>
        <xdr:sp macro="" textlink="">
          <xdr:nvSpPr>
            <xdr:cNvPr id="70489" name="ComboBox36" hidden="1">
              <a:extLst>
                <a:ext uri="{63B3BB69-23CF-44E3-9099-C40C66FF867C}">
                  <a14:compatExt spid="_x0000_s70489"/>
                </a:ext>
                <a:ext uri="{FF2B5EF4-FFF2-40B4-BE49-F238E27FC236}">
                  <a16:creationId xmlns:a16="http://schemas.microsoft.com/office/drawing/2014/main" id="{00000000-0008-0000-1600-000059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56</xdr:row>
          <xdr:rowOff>9525</xdr:rowOff>
        </xdr:from>
        <xdr:to>
          <xdr:col>7</xdr:col>
          <xdr:colOff>6924675</xdr:colOff>
          <xdr:row>56</xdr:row>
          <xdr:rowOff>219075</xdr:rowOff>
        </xdr:to>
        <xdr:sp macro="" textlink="">
          <xdr:nvSpPr>
            <xdr:cNvPr id="70490" name="ComboBox37" hidden="1">
              <a:extLst>
                <a:ext uri="{63B3BB69-23CF-44E3-9099-C40C66FF867C}">
                  <a14:compatExt spid="_x0000_s70490"/>
                </a:ext>
                <a:ext uri="{FF2B5EF4-FFF2-40B4-BE49-F238E27FC236}">
                  <a16:creationId xmlns:a16="http://schemas.microsoft.com/office/drawing/2014/main" id="{00000000-0008-0000-1600-00005A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9525</xdr:rowOff>
        </xdr:from>
        <xdr:to>
          <xdr:col>7</xdr:col>
          <xdr:colOff>6924675</xdr:colOff>
          <xdr:row>57</xdr:row>
          <xdr:rowOff>219075</xdr:rowOff>
        </xdr:to>
        <xdr:sp macro="" textlink="">
          <xdr:nvSpPr>
            <xdr:cNvPr id="70491" name="ComboBox38" hidden="1">
              <a:extLst>
                <a:ext uri="{63B3BB69-23CF-44E3-9099-C40C66FF867C}">
                  <a14:compatExt spid="_x0000_s70491"/>
                </a:ext>
                <a:ext uri="{FF2B5EF4-FFF2-40B4-BE49-F238E27FC236}">
                  <a16:creationId xmlns:a16="http://schemas.microsoft.com/office/drawing/2014/main" id="{00000000-0008-0000-1600-00005B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9525</xdr:rowOff>
        </xdr:from>
        <xdr:to>
          <xdr:col>7</xdr:col>
          <xdr:colOff>6924675</xdr:colOff>
          <xdr:row>58</xdr:row>
          <xdr:rowOff>219075</xdr:rowOff>
        </xdr:to>
        <xdr:sp macro="" textlink="">
          <xdr:nvSpPr>
            <xdr:cNvPr id="70492" name="ComboBox39" hidden="1">
              <a:extLst>
                <a:ext uri="{63B3BB69-23CF-44E3-9099-C40C66FF867C}">
                  <a14:compatExt spid="_x0000_s70492"/>
                </a:ext>
                <a:ext uri="{FF2B5EF4-FFF2-40B4-BE49-F238E27FC236}">
                  <a16:creationId xmlns:a16="http://schemas.microsoft.com/office/drawing/2014/main" id="{00000000-0008-0000-1600-00005C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9525</xdr:rowOff>
        </xdr:from>
        <xdr:to>
          <xdr:col>7</xdr:col>
          <xdr:colOff>6924675</xdr:colOff>
          <xdr:row>59</xdr:row>
          <xdr:rowOff>219075</xdr:rowOff>
        </xdr:to>
        <xdr:sp macro="" textlink="">
          <xdr:nvSpPr>
            <xdr:cNvPr id="70493" name="ComboBox40" hidden="1">
              <a:extLst>
                <a:ext uri="{63B3BB69-23CF-44E3-9099-C40C66FF867C}">
                  <a14:compatExt spid="_x0000_s70493"/>
                </a:ext>
                <a:ext uri="{FF2B5EF4-FFF2-40B4-BE49-F238E27FC236}">
                  <a16:creationId xmlns:a16="http://schemas.microsoft.com/office/drawing/2014/main" id="{00000000-0008-0000-1600-00005D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9525</xdr:rowOff>
        </xdr:from>
        <xdr:to>
          <xdr:col>7</xdr:col>
          <xdr:colOff>6924675</xdr:colOff>
          <xdr:row>73</xdr:row>
          <xdr:rowOff>219075</xdr:rowOff>
        </xdr:to>
        <xdr:sp macro="" textlink="">
          <xdr:nvSpPr>
            <xdr:cNvPr id="70494" name="ComboBox41" hidden="1">
              <a:extLst>
                <a:ext uri="{63B3BB69-23CF-44E3-9099-C40C66FF867C}">
                  <a14:compatExt spid="_x0000_s70494"/>
                </a:ext>
                <a:ext uri="{FF2B5EF4-FFF2-40B4-BE49-F238E27FC236}">
                  <a16:creationId xmlns:a16="http://schemas.microsoft.com/office/drawing/2014/main" id="{00000000-0008-0000-1600-00005E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9525</xdr:rowOff>
        </xdr:from>
        <xdr:to>
          <xdr:col>7</xdr:col>
          <xdr:colOff>6924675</xdr:colOff>
          <xdr:row>74</xdr:row>
          <xdr:rowOff>219075</xdr:rowOff>
        </xdr:to>
        <xdr:sp macro="" textlink="">
          <xdr:nvSpPr>
            <xdr:cNvPr id="70495" name="ComboBox42" hidden="1">
              <a:extLst>
                <a:ext uri="{63B3BB69-23CF-44E3-9099-C40C66FF867C}">
                  <a14:compatExt spid="_x0000_s70495"/>
                </a:ext>
                <a:ext uri="{FF2B5EF4-FFF2-40B4-BE49-F238E27FC236}">
                  <a16:creationId xmlns:a16="http://schemas.microsoft.com/office/drawing/2014/main" id="{00000000-0008-0000-1600-00005F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9525</xdr:rowOff>
        </xdr:from>
        <xdr:to>
          <xdr:col>7</xdr:col>
          <xdr:colOff>6924675</xdr:colOff>
          <xdr:row>75</xdr:row>
          <xdr:rowOff>219075</xdr:rowOff>
        </xdr:to>
        <xdr:sp macro="" textlink="">
          <xdr:nvSpPr>
            <xdr:cNvPr id="70496" name="ComboBox43" hidden="1">
              <a:extLst>
                <a:ext uri="{63B3BB69-23CF-44E3-9099-C40C66FF867C}">
                  <a14:compatExt spid="_x0000_s70496"/>
                </a:ext>
                <a:ext uri="{FF2B5EF4-FFF2-40B4-BE49-F238E27FC236}">
                  <a16:creationId xmlns:a16="http://schemas.microsoft.com/office/drawing/2014/main" id="{00000000-0008-0000-1600-000060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9525</xdr:rowOff>
        </xdr:from>
        <xdr:to>
          <xdr:col>7</xdr:col>
          <xdr:colOff>6924675</xdr:colOff>
          <xdr:row>76</xdr:row>
          <xdr:rowOff>219075</xdr:rowOff>
        </xdr:to>
        <xdr:sp macro="" textlink="">
          <xdr:nvSpPr>
            <xdr:cNvPr id="70497" name="ComboBox44" hidden="1">
              <a:extLst>
                <a:ext uri="{63B3BB69-23CF-44E3-9099-C40C66FF867C}">
                  <a14:compatExt spid="_x0000_s70497"/>
                </a:ext>
                <a:ext uri="{FF2B5EF4-FFF2-40B4-BE49-F238E27FC236}">
                  <a16:creationId xmlns:a16="http://schemas.microsoft.com/office/drawing/2014/main" id="{00000000-0008-0000-1600-000061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9525</xdr:rowOff>
        </xdr:from>
        <xdr:to>
          <xdr:col>7</xdr:col>
          <xdr:colOff>6924675</xdr:colOff>
          <xdr:row>77</xdr:row>
          <xdr:rowOff>219075</xdr:rowOff>
        </xdr:to>
        <xdr:sp macro="" textlink="">
          <xdr:nvSpPr>
            <xdr:cNvPr id="70498" name="ComboBox45" hidden="1">
              <a:extLst>
                <a:ext uri="{63B3BB69-23CF-44E3-9099-C40C66FF867C}">
                  <a14:compatExt spid="_x0000_s70498"/>
                </a:ext>
                <a:ext uri="{FF2B5EF4-FFF2-40B4-BE49-F238E27FC236}">
                  <a16:creationId xmlns:a16="http://schemas.microsoft.com/office/drawing/2014/main" id="{00000000-0008-0000-1600-000062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9525</xdr:rowOff>
        </xdr:from>
        <xdr:to>
          <xdr:col>7</xdr:col>
          <xdr:colOff>6924675</xdr:colOff>
          <xdr:row>78</xdr:row>
          <xdr:rowOff>219075</xdr:rowOff>
        </xdr:to>
        <xdr:sp macro="" textlink="">
          <xdr:nvSpPr>
            <xdr:cNvPr id="70499" name="ComboBox46" hidden="1">
              <a:extLst>
                <a:ext uri="{63B3BB69-23CF-44E3-9099-C40C66FF867C}">
                  <a14:compatExt spid="_x0000_s70499"/>
                </a:ext>
                <a:ext uri="{FF2B5EF4-FFF2-40B4-BE49-F238E27FC236}">
                  <a16:creationId xmlns:a16="http://schemas.microsoft.com/office/drawing/2014/main" id="{00000000-0008-0000-1600-000063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9525</xdr:rowOff>
        </xdr:from>
        <xdr:to>
          <xdr:col>7</xdr:col>
          <xdr:colOff>6924675</xdr:colOff>
          <xdr:row>79</xdr:row>
          <xdr:rowOff>219075</xdr:rowOff>
        </xdr:to>
        <xdr:sp macro="" textlink="">
          <xdr:nvSpPr>
            <xdr:cNvPr id="70500" name="ComboBox47" hidden="1">
              <a:extLst>
                <a:ext uri="{63B3BB69-23CF-44E3-9099-C40C66FF867C}">
                  <a14:compatExt spid="_x0000_s70500"/>
                </a:ext>
                <a:ext uri="{FF2B5EF4-FFF2-40B4-BE49-F238E27FC236}">
                  <a16:creationId xmlns:a16="http://schemas.microsoft.com/office/drawing/2014/main" id="{00000000-0008-0000-1600-000064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9525</xdr:rowOff>
        </xdr:from>
        <xdr:to>
          <xdr:col>7</xdr:col>
          <xdr:colOff>6924675</xdr:colOff>
          <xdr:row>80</xdr:row>
          <xdr:rowOff>219075</xdr:rowOff>
        </xdr:to>
        <xdr:sp macro="" textlink="">
          <xdr:nvSpPr>
            <xdr:cNvPr id="70501" name="ComboBox48" hidden="1">
              <a:extLst>
                <a:ext uri="{63B3BB69-23CF-44E3-9099-C40C66FF867C}">
                  <a14:compatExt spid="_x0000_s70501"/>
                </a:ext>
                <a:ext uri="{FF2B5EF4-FFF2-40B4-BE49-F238E27FC236}">
                  <a16:creationId xmlns:a16="http://schemas.microsoft.com/office/drawing/2014/main" id="{00000000-0008-0000-1600-000065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9525</xdr:rowOff>
        </xdr:from>
        <xdr:to>
          <xdr:col>7</xdr:col>
          <xdr:colOff>6924675</xdr:colOff>
          <xdr:row>81</xdr:row>
          <xdr:rowOff>219075</xdr:rowOff>
        </xdr:to>
        <xdr:sp macro="" textlink="">
          <xdr:nvSpPr>
            <xdr:cNvPr id="70502" name="ComboBox49" hidden="1">
              <a:extLst>
                <a:ext uri="{63B3BB69-23CF-44E3-9099-C40C66FF867C}">
                  <a14:compatExt spid="_x0000_s70502"/>
                </a:ext>
                <a:ext uri="{FF2B5EF4-FFF2-40B4-BE49-F238E27FC236}">
                  <a16:creationId xmlns:a16="http://schemas.microsoft.com/office/drawing/2014/main" id="{00000000-0008-0000-1600-000066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9525</xdr:rowOff>
        </xdr:from>
        <xdr:to>
          <xdr:col>7</xdr:col>
          <xdr:colOff>6924675</xdr:colOff>
          <xdr:row>82</xdr:row>
          <xdr:rowOff>219075</xdr:rowOff>
        </xdr:to>
        <xdr:sp macro="" textlink="">
          <xdr:nvSpPr>
            <xdr:cNvPr id="70503" name="ComboBox50" hidden="1">
              <a:extLst>
                <a:ext uri="{63B3BB69-23CF-44E3-9099-C40C66FF867C}">
                  <a14:compatExt spid="_x0000_s70503"/>
                </a:ext>
                <a:ext uri="{FF2B5EF4-FFF2-40B4-BE49-F238E27FC236}">
                  <a16:creationId xmlns:a16="http://schemas.microsoft.com/office/drawing/2014/main" id="{00000000-0008-0000-1600-000067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9525</xdr:rowOff>
        </xdr:from>
        <xdr:to>
          <xdr:col>7</xdr:col>
          <xdr:colOff>6924675</xdr:colOff>
          <xdr:row>85</xdr:row>
          <xdr:rowOff>219075</xdr:rowOff>
        </xdr:to>
        <xdr:sp macro="" textlink="">
          <xdr:nvSpPr>
            <xdr:cNvPr id="70504" name="ComboBox51" hidden="1">
              <a:extLst>
                <a:ext uri="{63B3BB69-23CF-44E3-9099-C40C66FF867C}">
                  <a14:compatExt spid="_x0000_s70504"/>
                </a:ext>
                <a:ext uri="{FF2B5EF4-FFF2-40B4-BE49-F238E27FC236}">
                  <a16:creationId xmlns:a16="http://schemas.microsoft.com/office/drawing/2014/main" id="{00000000-0008-0000-1600-000068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9525</xdr:rowOff>
        </xdr:from>
        <xdr:to>
          <xdr:col>7</xdr:col>
          <xdr:colOff>6924675</xdr:colOff>
          <xdr:row>86</xdr:row>
          <xdr:rowOff>219075</xdr:rowOff>
        </xdr:to>
        <xdr:sp macro="" textlink="">
          <xdr:nvSpPr>
            <xdr:cNvPr id="70505" name="ComboBox52" hidden="1">
              <a:extLst>
                <a:ext uri="{63B3BB69-23CF-44E3-9099-C40C66FF867C}">
                  <a14:compatExt spid="_x0000_s70505"/>
                </a:ext>
                <a:ext uri="{FF2B5EF4-FFF2-40B4-BE49-F238E27FC236}">
                  <a16:creationId xmlns:a16="http://schemas.microsoft.com/office/drawing/2014/main" id="{00000000-0008-0000-1600-000069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9525</xdr:rowOff>
        </xdr:from>
        <xdr:to>
          <xdr:col>7</xdr:col>
          <xdr:colOff>6924675</xdr:colOff>
          <xdr:row>87</xdr:row>
          <xdr:rowOff>219075</xdr:rowOff>
        </xdr:to>
        <xdr:sp macro="" textlink="">
          <xdr:nvSpPr>
            <xdr:cNvPr id="70506" name="ComboBox53" hidden="1">
              <a:extLst>
                <a:ext uri="{63B3BB69-23CF-44E3-9099-C40C66FF867C}">
                  <a14:compatExt spid="_x0000_s70506"/>
                </a:ext>
                <a:ext uri="{FF2B5EF4-FFF2-40B4-BE49-F238E27FC236}">
                  <a16:creationId xmlns:a16="http://schemas.microsoft.com/office/drawing/2014/main" id="{00000000-0008-0000-1600-00006A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9525</xdr:rowOff>
        </xdr:from>
        <xdr:to>
          <xdr:col>7</xdr:col>
          <xdr:colOff>6924675</xdr:colOff>
          <xdr:row>88</xdr:row>
          <xdr:rowOff>219075</xdr:rowOff>
        </xdr:to>
        <xdr:sp macro="" textlink="">
          <xdr:nvSpPr>
            <xdr:cNvPr id="70507" name="ComboBox54" hidden="1">
              <a:extLst>
                <a:ext uri="{63B3BB69-23CF-44E3-9099-C40C66FF867C}">
                  <a14:compatExt spid="_x0000_s70507"/>
                </a:ext>
                <a:ext uri="{FF2B5EF4-FFF2-40B4-BE49-F238E27FC236}">
                  <a16:creationId xmlns:a16="http://schemas.microsoft.com/office/drawing/2014/main" id="{00000000-0008-0000-1600-00006B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9525</xdr:rowOff>
        </xdr:from>
        <xdr:to>
          <xdr:col>7</xdr:col>
          <xdr:colOff>6924675</xdr:colOff>
          <xdr:row>89</xdr:row>
          <xdr:rowOff>219075</xdr:rowOff>
        </xdr:to>
        <xdr:sp macro="" textlink="">
          <xdr:nvSpPr>
            <xdr:cNvPr id="70508" name="ComboBox55" hidden="1">
              <a:extLst>
                <a:ext uri="{63B3BB69-23CF-44E3-9099-C40C66FF867C}">
                  <a14:compatExt spid="_x0000_s70508"/>
                </a:ext>
                <a:ext uri="{FF2B5EF4-FFF2-40B4-BE49-F238E27FC236}">
                  <a16:creationId xmlns:a16="http://schemas.microsoft.com/office/drawing/2014/main" id="{00000000-0008-0000-1600-00006C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9525</xdr:rowOff>
        </xdr:from>
        <xdr:to>
          <xdr:col>7</xdr:col>
          <xdr:colOff>6924675</xdr:colOff>
          <xdr:row>90</xdr:row>
          <xdr:rowOff>219075</xdr:rowOff>
        </xdr:to>
        <xdr:sp macro="" textlink="">
          <xdr:nvSpPr>
            <xdr:cNvPr id="70509" name="ComboBox56" hidden="1">
              <a:extLst>
                <a:ext uri="{63B3BB69-23CF-44E3-9099-C40C66FF867C}">
                  <a14:compatExt spid="_x0000_s70509"/>
                </a:ext>
                <a:ext uri="{FF2B5EF4-FFF2-40B4-BE49-F238E27FC236}">
                  <a16:creationId xmlns:a16="http://schemas.microsoft.com/office/drawing/2014/main" id="{00000000-0008-0000-1600-00006D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9525</xdr:rowOff>
        </xdr:from>
        <xdr:to>
          <xdr:col>7</xdr:col>
          <xdr:colOff>6924675</xdr:colOff>
          <xdr:row>91</xdr:row>
          <xdr:rowOff>219075</xdr:rowOff>
        </xdr:to>
        <xdr:sp macro="" textlink="">
          <xdr:nvSpPr>
            <xdr:cNvPr id="70510" name="ComboBox57" hidden="1">
              <a:extLst>
                <a:ext uri="{63B3BB69-23CF-44E3-9099-C40C66FF867C}">
                  <a14:compatExt spid="_x0000_s70510"/>
                </a:ext>
                <a:ext uri="{FF2B5EF4-FFF2-40B4-BE49-F238E27FC236}">
                  <a16:creationId xmlns:a16="http://schemas.microsoft.com/office/drawing/2014/main" id="{00000000-0008-0000-1600-00006E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9525</xdr:rowOff>
        </xdr:from>
        <xdr:to>
          <xdr:col>7</xdr:col>
          <xdr:colOff>6924675</xdr:colOff>
          <xdr:row>92</xdr:row>
          <xdr:rowOff>219075</xdr:rowOff>
        </xdr:to>
        <xdr:sp macro="" textlink="">
          <xdr:nvSpPr>
            <xdr:cNvPr id="70511" name="ComboBox58" hidden="1">
              <a:extLst>
                <a:ext uri="{63B3BB69-23CF-44E3-9099-C40C66FF867C}">
                  <a14:compatExt spid="_x0000_s70511"/>
                </a:ext>
                <a:ext uri="{FF2B5EF4-FFF2-40B4-BE49-F238E27FC236}">
                  <a16:creationId xmlns:a16="http://schemas.microsoft.com/office/drawing/2014/main" id="{00000000-0008-0000-1600-00006F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9525</xdr:rowOff>
        </xdr:from>
        <xdr:to>
          <xdr:col>7</xdr:col>
          <xdr:colOff>6924675</xdr:colOff>
          <xdr:row>93</xdr:row>
          <xdr:rowOff>219075</xdr:rowOff>
        </xdr:to>
        <xdr:sp macro="" textlink="">
          <xdr:nvSpPr>
            <xdr:cNvPr id="70512" name="ComboBox59" hidden="1">
              <a:extLst>
                <a:ext uri="{63B3BB69-23CF-44E3-9099-C40C66FF867C}">
                  <a14:compatExt spid="_x0000_s70512"/>
                </a:ext>
                <a:ext uri="{FF2B5EF4-FFF2-40B4-BE49-F238E27FC236}">
                  <a16:creationId xmlns:a16="http://schemas.microsoft.com/office/drawing/2014/main" id="{00000000-0008-0000-1600-000070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9525</xdr:rowOff>
        </xdr:from>
        <xdr:to>
          <xdr:col>7</xdr:col>
          <xdr:colOff>6924675</xdr:colOff>
          <xdr:row>94</xdr:row>
          <xdr:rowOff>219075</xdr:rowOff>
        </xdr:to>
        <xdr:sp macro="" textlink="">
          <xdr:nvSpPr>
            <xdr:cNvPr id="70513" name="ComboBox60" hidden="1">
              <a:extLst>
                <a:ext uri="{63B3BB69-23CF-44E3-9099-C40C66FF867C}">
                  <a14:compatExt spid="_x0000_s70513"/>
                </a:ext>
                <a:ext uri="{FF2B5EF4-FFF2-40B4-BE49-F238E27FC236}">
                  <a16:creationId xmlns:a16="http://schemas.microsoft.com/office/drawing/2014/main" id="{00000000-0008-0000-1600-000071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9525</xdr:rowOff>
        </xdr:from>
        <xdr:to>
          <xdr:col>7</xdr:col>
          <xdr:colOff>6924675</xdr:colOff>
          <xdr:row>97</xdr:row>
          <xdr:rowOff>219075</xdr:rowOff>
        </xdr:to>
        <xdr:sp macro="" textlink="">
          <xdr:nvSpPr>
            <xdr:cNvPr id="70514" name="ComboBox61" hidden="1">
              <a:extLst>
                <a:ext uri="{63B3BB69-23CF-44E3-9099-C40C66FF867C}">
                  <a14:compatExt spid="_x0000_s70514"/>
                </a:ext>
                <a:ext uri="{FF2B5EF4-FFF2-40B4-BE49-F238E27FC236}">
                  <a16:creationId xmlns:a16="http://schemas.microsoft.com/office/drawing/2014/main" id="{00000000-0008-0000-1600-000072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9525</xdr:rowOff>
        </xdr:from>
        <xdr:to>
          <xdr:col>7</xdr:col>
          <xdr:colOff>6924675</xdr:colOff>
          <xdr:row>98</xdr:row>
          <xdr:rowOff>219075</xdr:rowOff>
        </xdr:to>
        <xdr:sp macro="" textlink="">
          <xdr:nvSpPr>
            <xdr:cNvPr id="70515" name="ComboBox62" hidden="1">
              <a:extLst>
                <a:ext uri="{63B3BB69-23CF-44E3-9099-C40C66FF867C}">
                  <a14:compatExt spid="_x0000_s70515"/>
                </a:ext>
                <a:ext uri="{FF2B5EF4-FFF2-40B4-BE49-F238E27FC236}">
                  <a16:creationId xmlns:a16="http://schemas.microsoft.com/office/drawing/2014/main" id="{00000000-0008-0000-1600-000073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9525</xdr:rowOff>
        </xdr:from>
        <xdr:to>
          <xdr:col>7</xdr:col>
          <xdr:colOff>6924675</xdr:colOff>
          <xdr:row>99</xdr:row>
          <xdr:rowOff>219075</xdr:rowOff>
        </xdr:to>
        <xdr:sp macro="" textlink="">
          <xdr:nvSpPr>
            <xdr:cNvPr id="70516" name="ComboBox63" hidden="1">
              <a:extLst>
                <a:ext uri="{63B3BB69-23CF-44E3-9099-C40C66FF867C}">
                  <a14:compatExt spid="_x0000_s70516"/>
                </a:ext>
                <a:ext uri="{FF2B5EF4-FFF2-40B4-BE49-F238E27FC236}">
                  <a16:creationId xmlns:a16="http://schemas.microsoft.com/office/drawing/2014/main" id="{00000000-0008-0000-1600-000074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9525</xdr:rowOff>
        </xdr:from>
        <xdr:to>
          <xdr:col>7</xdr:col>
          <xdr:colOff>6924675</xdr:colOff>
          <xdr:row>100</xdr:row>
          <xdr:rowOff>219075</xdr:rowOff>
        </xdr:to>
        <xdr:sp macro="" textlink="">
          <xdr:nvSpPr>
            <xdr:cNvPr id="70518" name="ComboBox64" hidden="1">
              <a:extLst>
                <a:ext uri="{63B3BB69-23CF-44E3-9099-C40C66FF867C}">
                  <a14:compatExt spid="_x0000_s70518"/>
                </a:ext>
                <a:ext uri="{FF2B5EF4-FFF2-40B4-BE49-F238E27FC236}">
                  <a16:creationId xmlns:a16="http://schemas.microsoft.com/office/drawing/2014/main" id="{00000000-0008-0000-1600-000076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9525</xdr:rowOff>
        </xdr:from>
        <xdr:to>
          <xdr:col>7</xdr:col>
          <xdr:colOff>6924675</xdr:colOff>
          <xdr:row>101</xdr:row>
          <xdr:rowOff>219075</xdr:rowOff>
        </xdr:to>
        <xdr:sp macro="" textlink="">
          <xdr:nvSpPr>
            <xdr:cNvPr id="70519" name="ComboBox65" hidden="1">
              <a:extLst>
                <a:ext uri="{63B3BB69-23CF-44E3-9099-C40C66FF867C}">
                  <a14:compatExt spid="_x0000_s70519"/>
                </a:ext>
                <a:ext uri="{FF2B5EF4-FFF2-40B4-BE49-F238E27FC236}">
                  <a16:creationId xmlns:a16="http://schemas.microsoft.com/office/drawing/2014/main" id="{00000000-0008-0000-1600-000077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9525</xdr:rowOff>
        </xdr:from>
        <xdr:to>
          <xdr:col>7</xdr:col>
          <xdr:colOff>6924675</xdr:colOff>
          <xdr:row>102</xdr:row>
          <xdr:rowOff>219075</xdr:rowOff>
        </xdr:to>
        <xdr:sp macro="" textlink="">
          <xdr:nvSpPr>
            <xdr:cNvPr id="70520" name="ComboBox66" hidden="1">
              <a:extLst>
                <a:ext uri="{63B3BB69-23CF-44E3-9099-C40C66FF867C}">
                  <a14:compatExt spid="_x0000_s70520"/>
                </a:ext>
                <a:ext uri="{FF2B5EF4-FFF2-40B4-BE49-F238E27FC236}">
                  <a16:creationId xmlns:a16="http://schemas.microsoft.com/office/drawing/2014/main" id="{00000000-0008-0000-1600-000078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9525</xdr:rowOff>
        </xdr:from>
        <xdr:to>
          <xdr:col>7</xdr:col>
          <xdr:colOff>6924675</xdr:colOff>
          <xdr:row>103</xdr:row>
          <xdr:rowOff>219075</xdr:rowOff>
        </xdr:to>
        <xdr:sp macro="" textlink="">
          <xdr:nvSpPr>
            <xdr:cNvPr id="70521" name="ComboBox67" hidden="1">
              <a:extLst>
                <a:ext uri="{63B3BB69-23CF-44E3-9099-C40C66FF867C}">
                  <a14:compatExt spid="_x0000_s70521"/>
                </a:ext>
                <a:ext uri="{FF2B5EF4-FFF2-40B4-BE49-F238E27FC236}">
                  <a16:creationId xmlns:a16="http://schemas.microsoft.com/office/drawing/2014/main" id="{00000000-0008-0000-1600-000079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9525</xdr:rowOff>
        </xdr:from>
        <xdr:to>
          <xdr:col>7</xdr:col>
          <xdr:colOff>6924675</xdr:colOff>
          <xdr:row>104</xdr:row>
          <xdr:rowOff>219075</xdr:rowOff>
        </xdr:to>
        <xdr:sp macro="" textlink="">
          <xdr:nvSpPr>
            <xdr:cNvPr id="70522" name="ComboBox68" hidden="1">
              <a:extLst>
                <a:ext uri="{63B3BB69-23CF-44E3-9099-C40C66FF867C}">
                  <a14:compatExt spid="_x0000_s70522"/>
                </a:ext>
                <a:ext uri="{FF2B5EF4-FFF2-40B4-BE49-F238E27FC236}">
                  <a16:creationId xmlns:a16="http://schemas.microsoft.com/office/drawing/2014/main" id="{00000000-0008-0000-1600-00007A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9525</xdr:rowOff>
        </xdr:from>
        <xdr:to>
          <xdr:col>7</xdr:col>
          <xdr:colOff>6924675</xdr:colOff>
          <xdr:row>105</xdr:row>
          <xdr:rowOff>219075</xdr:rowOff>
        </xdr:to>
        <xdr:sp macro="" textlink="">
          <xdr:nvSpPr>
            <xdr:cNvPr id="70523" name="ComboBox69" hidden="1">
              <a:extLst>
                <a:ext uri="{63B3BB69-23CF-44E3-9099-C40C66FF867C}">
                  <a14:compatExt spid="_x0000_s70523"/>
                </a:ext>
                <a:ext uri="{FF2B5EF4-FFF2-40B4-BE49-F238E27FC236}">
                  <a16:creationId xmlns:a16="http://schemas.microsoft.com/office/drawing/2014/main" id="{00000000-0008-0000-1600-00007B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9525</xdr:rowOff>
        </xdr:from>
        <xdr:to>
          <xdr:col>7</xdr:col>
          <xdr:colOff>6924675</xdr:colOff>
          <xdr:row>106</xdr:row>
          <xdr:rowOff>219075</xdr:rowOff>
        </xdr:to>
        <xdr:sp macro="" textlink="">
          <xdr:nvSpPr>
            <xdr:cNvPr id="70524" name="ComboBox70" hidden="1">
              <a:extLst>
                <a:ext uri="{63B3BB69-23CF-44E3-9099-C40C66FF867C}">
                  <a14:compatExt spid="_x0000_s70524"/>
                </a:ext>
                <a:ext uri="{FF2B5EF4-FFF2-40B4-BE49-F238E27FC236}">
                  <a16:creationId xmlns:a16="http://schemas.microsoft.com/office/drawing/2014/main" id="{00000000-0008-0000-1600-00007C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9525</xdr:rowOff>
        </xdr:from>
        <xdr:to>
          <xdr:col>7</xdr:col>
          <xdr:colOff>6924675</xdr:colOff>
          <xdr:row>109</xdr:row>
          <xdr:rowOff>219075</xdr:rowOff>
        </xdr:to>
        <xdr:sp macro="" textlink="">
          <xdr:nvSpPr>
            <xdr:cNvPr id="70525" name="ComboBox71" hidden="1">
              <a:extLst>
                <a:ext uri="{63B3BB69-23CF-44E3-9099-C40C66FF867C}">
                  <a14:compatExt spid="_x0000_s70525"/>
                </a:ext>
                <a:ext uri="{FF2B5EF4-FFF2-40B4-BE49-F238E27FC236}">
                  <a16:creationId xmlns:a16="http://schemas.microsoft.com/office/drawing/2014/main" id="{00000000-0008-0000-1600-00007D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9525</xdr:rowOff>
        </xdr:from>
        <xdr:to>
          <xdr:col>7</xdr:col>
          <xdr:colOff>6924675</xdr:colOff>
          <xdr:row>110</xdr:row>
          <xdr:rowOff>219075</xdr:rowOff>
        </xdr:to>
        <xdr:sp macro="" textlink="">
          <xdr:nvSpPr>
            <xdr:cNvPr id="70526" name="ComboBox72" hidden="1">
              <a:extLst>
                <a:ext uri="{63B3BB69-23CF-44E3-9099-C40C66FF867C}">
                  <a14:compatExt spid="_x0000_s70526"/>
                </a:ext>
                <a:ext uri="{FF2B5EF4-FFF2-40B4-BE49-F238E27FC236}">
                  <a16:creationId xmlns:a16="http://schemas.microsoft.com/office/drawing/2014/main" id="{00000000-0008-0000-1600-00007E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9525</xdr:rowOff>
        </xdr:from>
        <xdr:to>
          <xdr:col>7</xdr:col>
          <xdr:colOff>6924675</xdr:colOff>
          <xdr:row>111</xdr:row>
          <xdr:rowOff>219075</xdr:rowOff>
        </xdr:to>
        <xdr:sp macro="" textlink="">
          <xdr:nvSpPr>
            <xdr:cNvPr id="70527" name="ComboBox73" hidden="1">
              <a:extLst>
                <a:ext uri="{63B3BB69-23CF-44E3-9099-C40C66FF867C}">
                  <a14:compatExt spid="_x0000_s70527"/>
                </a:ext>
                <a:ext uri="{FF2B5EF4-FFF2-40B4-BE49-F238E27FC236}">
                  <a16:creationId xmlns:a16="http://schemas.microsoft.com/office/drawing/2014/main" id="{00000000-0008-0000-1600-00007F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9525</xdr:rowOff>
        </xdr:from>
        <xdr:to>
          <xdr:col>7</xdr:col>
          <xdr:colOff>6924675</xdr:colOff>
          <xdr:row>112</xdr:row>
          <xdr:rowOff>219075</xdr:rowOff>
        </xdr:to>
        <xdr:sp macro="" textlink="">
          <xdr:nvSpPr>
            <xdr:cNvPr id="70528" name="ComboBox74" hidden="1">
              <a:extLst>
                <a:ext uri="{63B3BB69-23CF-44E3-9099-C40C66FF867C}">
                  <a14:compatExt spid="_x0000_s70528"/>
                </a:ext>
                <a:ext uri="{FF2B5EF4-FFF2-40B4-BE49-F238E27FC236}">
                  <a16:creationId xmlns:a16="http://schemas.microsoft.com/office/drawing/2014/main" id="{00000000-0008-0000-1600-000080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9525</xdr:rowOff>
        </xdr:from>
        <xdr:to>
          <xdr:col>7</xdr:col>
          <xdr:colOff>6924675</xdr:colOff>
          <xdr:row>113</xdr:row>
          <xdr:rowOff>219075</xdr:rowOff>
        </xdr:to>
        <xdr:sp macro="" textlink="">
          <xdr:nvSpPr>
            <xdr:cNvPr id="70529" name="ComboBox75" hidden="1">
              <a:extLst>
                <a:ext uri="{63B3BB69-23CF-44E3-9099-C40C66FF867C}">
                  <a14:compatExt spid="_x0000_s70529"/>
                </a:ext>
                <a:ext uri="{FF2B5EF4-FFF2-40B4-BE49-F238E27FC236}">
                  <a16:creationId xmlns:a16="http://schemas.microsoft.com/office/drawing/2014/main" id="{00000000-0008-0000-1600-000081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9525</xdr:rowOff>
        </xdr:from>
        <xdr:to>
          <xdr:col>7</xdr:col>
          <xdr:colOff>6924675</xdr:colOff>
          <xdr:row>114</xdr:row>
          <xdr:rowOff>219075</xdr:rowOff>
        </xdr:to>
        <xdr:sp macro="" textlink="">
          <xdr:nvSpPr>
            <xdr:cNvPr id="70530" name="ComboBox76" hidden="1">
              <a:extLst>
                <a:ext uri="{63B3BB69-23CF-44E3-9099-C40C66FF867C}">
                  <a14:compatExt spid="_x0000_s70530"/>
                </a:ext>
                <a:ext uri="{FF2B5EF4-FFF2-40B4-BE49-F238E27FC236}">
                  <a16:creationId xmlns:a16="http://schemas.microsoft.com/office/drawing/2014/main" id="{00000000-0008-0000-1600-000082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9525</xdr:rowOff>
        </xdr:from>
        <xdr:to>
          <xdr:col>7</xdr:col>
          <xdr:colOff>6924675</xdr:colOff>
          <xdr:row>115</xdr:row>
          <xdr:rowOff>219075</xdr:rowOff>
        </xdr:to>
        <xdr:sp macro="" textlink="">
          <xdr:nvSpPr>
            <xdr:cNvPr id="70531" name="ComboBox77" hidden="1">
              <a:extLst>
                <a:ext uri="{63B3BB69-23CF-44E3-9099-C40C66FF867C}">
                  <a14:compatExt spid="_x0000_s70531"/>
                </a:ext>
                <a:ext uri="{FF2B5EF4-FFF2-40B4-BE49-F238E27FC236}">
                  <a16:creationId xmlns:a16="http://schemas.microsoft.com/office/drawing/2014/main" id="{00000000-0008-0000-1600-000083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9525</xdr:rowOff>
        </xdr:from>
        <xdr:to>
          <xdr:col>7</xdr:col>
          <xdr:colOff>6924675</xdr:colOff>
          <xdr:row>116</xdr:row>
          <xdr:rowOff>219075</xdr:rowOff>
        </xdr:to>
        <xdr:sp macro="" textlink="">
          <xdr:nvSpPr>
            <xdr:cNvPr id="70532" name="ComboBox78" hidden="1">
              <a:extLst>
                <a:ext uri="{63B3BB69-23CF-44E3-9099-C40C66FF867C}">
                  <a14:compatExt spid="_x0000_s70532"/>
                </a:ext>
                <a:ext uri="{FF2B5EF4-FFF2-40B4-BE49-F238E27FC236}">
                  <a16:creationId xmlns:a16="http://schemas.microsoft.com/office/drawing/2014/main" id="{00000000-0008-0000-1600-000084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9525</xdr:rowOff>
        </xdr:from>
        <xdr:to>
          <xdr:col>7</xdr:col>
          <xdr:colOff>6924675</xdr:colOff>
          <xdr:row>117</xdr:row>
          <xdr:rowOff>219075</xdr:rowOff>
        </xdr:to>
        <xdr:sp macro="" textlink="">
          <xdr:nvSpPr>
            <xdr:cNvPr id="70533" name="ComboBox79" hidden="1">
              <a:extLst>
                <a:ext uri="{63B3BB69-23CF-44E3-9099-C40C66FF867C}">
                  <a14:compatExt spid="_x0000_s70533"/>
                </a:ext>
                <a:ext uri="{FF2B5EF4-FFF2-40B4-BE49-F238E27FC236}">
                  <a16:creationId xmlns:a16="http://schemas.microsoft.com/office/drawing/2014/main" id="{00000000-0008-0000-1600-000085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9525</xdr:rowOff>
        </xdr:from>
        <xdr:to>
          <xdr:col>7</xdr:col>
          <xdr:colOff>6924675</xdr:colOff>
          <xdr:row>118</xdr:row>
          <xdr:rowOff>219075</xdr:rowOff>
        </xdr:to>
        <xdr:sp macro="" textlink="">
          <xdr:nvSpPr>
            <xdr:cNvPr id="70534" name="ComboBox80" hidden="1">
              <a:extLst>
                <a:ext uri="{63B3BB69-23CF-44E3-9099-C40C66FF867C}">
                  <a14:compatExt spid="_x0000_s70534"/>
                </a:ext>
                <a:ext uri="{FF2B5EF4-FFF2-40B4-BE49-F238E27FC236}">
                  <a16:creationId xmlns:a16="http://schemas.microsoft.com/office/drawing/2014/main" id="{00000000-0008-0000-1600-00008613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11</xdr:col>
      <xdr:colOff>244929</xdr:colOff>
      <xdr:row>67</xdr:row>
      <xdr:rowOff>13608</xdr:rowOff>
    </xdr:from>
    <xdr:to>
      <xdr:col>13</xdr:col>
      <xdr:colOff>130628</xdr:colOff>
      <xdr:row>68</xdr:row>
      <xdr:rowOff>44450</xdr:rowOff>
    </xdr:to>
    <xdr:sp macro="[0]!Indice" textlink="">
      <xdr:nvSpPr>
        <xdr:cNvPr id="85" name="Marco 84">
          <a:extLst>
            <a:ext uri="{FF2B5EF4-FFF2-40B4-BE49-F238E27FC236}">
              <a16:creationId xmlns:a16="http://schemas.microsoft.com/office/drawing/2014/main" id="{00000000-0008-0000-1600-000055000000}"/>
            </a:ext>
          </a:extLst>
        </xdr:cNvPr>
        <xdr:cNvSpPr/>
      </xdr:nvSpPr>
      <xdr:spPr bwMode="auto">
        <a:xfrm>
          <a:off x="24166286" y="24819429"/>
          <a:ext cx="1409699" cy="520700"/>
        </a:xfrm>
        <a:prstGeom prst="frame">
          <a:avLst/>
        </a:prstGeom>
        <a:solidFill>
          <a:schemeClr val="accent5">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twoCellAnchor>
    <xdr:from>
      <xdr:col>11</xdr:col>
      <xdr:colOff>54429</xdr:colOff>
      <xdr:row>7</xdr:row>
      <xdr:rowOff>176894</xdr:rowOff>
    </xdr:from>
    <xdr:to>
      <xdr:col>12</xdr:col>
      <xdr:colOff>702129</xdr:colOff>
      <xdr:row>9</xdr:row>
      <xdr:rowOff>108858</xdr:rowOff>
    </xdr:to>
    <xdr:sp macro="" textlink="">
      <xdr:nvSpPr>
        <xdr:cNvPr id="86" name="Marco 85">
          <a:hlinkClick xmlns:r="http://schemas.openxmlformats.org/officeDocument/2006/relationships" r:id="rId1"/>
          <a:extLst>
            <a:ext uri="{FF2B5EF4-FFF2-40B4-BE49-F238E27FC236}">
              <a16:creationId xmlns:a16="http://schemas.microsoft.com/office/drawing/2014/main" id="{00000000-0008-0000-1600-000056000000}"/>
            </a:ext>
          </a:extLst>
        </xdr:cNvPr>
        <xdr:cNvSpPr/>
      </xdr:nvSpPr>
      <xdr:spPr bwMode="auto">
        <a:xfrm>
          <a:off x="16627929" y="2884715"/>
          <a:ext cx="1409700" cy="503464"/>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4657725</xdr:colOff>
      <xdr:row>16</xdr:row>
      <xdr:rowOff>66675</xdr:rowOff>
    </xdr:from>
    <xdr:to>
      <xdr:col>6</xdr:col>
      <xdr:colOff>2190750</xdr:colOff>
      <xdr:row>19</xdr:row>
      <xdr:rowOff>152400</xdr:rowOff>
    </xdr:to>
    <xdr:sp macro="[0]!Muestra_Todo" textlink="">
      <xdr:nvSpPr>
        <xdr:cNvPr id="42752" name="9 Rectángulo redondeado">
          <a:extLst>
            <a:ext uri="{FF2B5EF4-FFF2-40B4-BE49-F238E27FC236}">
              <a16:creationId xmlns:a16="http://schemas.microsoft.com/office/drawing/2014/main" id="{00000000-0008-0000-0200-000000A70000}"/>
            </a:ext>
          </a:extLst>
        </xdr:cNvPr>
        <xdr:cNvSpPr>
          <a:spLocks noChangeArrowheads="1"/>
        </xdr:cNvSpPr>
      </xdr:nvSpPr>
      <xdr:spPr bwMode="auto">
        <a:xfrm>
          <a:off x="5200650" y="5543550"/>
          <a:ext cx="4162425" cy="800100"/>
        </a:xfrm>
        <a:prstGeom prst="roundRect">
          <a:avLst>
            <a:gd name="adj" fmla="val 16667"/>
          </a:avLst>
        </a:prstGeom>
        <a:gradFill rotWithShape="1">
          <a:gsLst>
            <a:gs pos="0">
              <a:srgbClr val="5D417E"/>
            </a:gs>
            <a:gs pos="80000">
              <a:srgbClr val="7B58A6"/>
            </a:gs>
            <a:gs pos="100000">
              <a:srgbClr val="7B57A8"/>
            </a:gs>
          </a:gsLst>
          <a:lin ang="16200000"/>
        </a:gradFill>
        <a:ln w="9525">
          <a:noFill/>
          <a:round/>
          <a:headEnd/>
          <a:tailEnd/>
        </a:ln>
        <a:effectLst>
          <a:outerShdw dist="23000" dir="5400000" rotWithShape="0">
            <a:srgbClr val="000000">
              <a:alpha val="34999"/>
            </a:srgbClr>
          </a:outerShdw>
        </a:effectLst>
      </xdr:spPr>
      <xdr:txBody>
        <a:bodyPr vertOverflow="clip" wrap="square" lIns="18288" tIns="0" rIns="0" bIns="0" anchor="ctr" upright="1"/>
        <a:lstStyle/>
        <a:p>
          <a:pPr algn="ctr" rtl="0">
            <a:defRPr sz="1000"/>
          </a:pPr>
          <a:r>
            <a:rPr lang="es-PE" sz="1800" b="1" i="0" u="none" strike="noStrike" baseline="0">
              <a:solidFill>
                <a:srgbClr val="FFFFFF"/>
              </a:solidFill>
              <a:latin typeface="Calibri"/>
            </a:rPr>
            <a:t>PARA VER TODO "CLICK" AQUÍ.</a:t>
          </a:r>
        </a:p>
      </xdr:txBody>
    </xdr:sp>
    <xdr:clientData/>
  </xdr:twoCellAnchor>
  <xdr:twoCellAnchor>
    <xdr:from>
      <xdr:col>2</xdr:col>
      <xdr:colOff>5277971</xdr:colOff>
      <xdr:row>14</xdr:row>
      <xdr:rowOff>67237</xdr:rowOff>
    </xdr:from>
    <xdr:to>
      <xdr:col>3</xdr:col>
      <xdr:colOff>918882</xdr:colOff>
      <xdr:row>15</xdr:row>
      <xdr:rowOff>33618</xdr:rowOff>
    </xdr:to>
    <xdr:sp macro="[0]!Muestra_IIIb" textlink="">
      <xdr:nvSpPr>
        <xdr:cNvPr id="12" name="11 Rectángulo redondeado">
          <a:extLst>
            <a:ext uri="{FF2B5EF4-FFF2-40B4-BE49-F238E27FC236}">
              <a16:creationId xmlns:a16="http://schemas.microsoft.com/office/drawing/2014/main" id="{00000000-0008-0000-0200-00000C000000}"/>
            </a:ext>
          </a:extLst>
        </xdr:cNvPr>
        <xdr:cNvSpPr/>
      </xdr:nvSpPr>
      <xdr:spPr bwMode="auto">
        <a:xfrm>
          <a:off x="5827059" y="5457266"/>
          <a:ext cx="941294" cy="280146"/>
        </a:xfrm>
        <a:prstGeom prst="roundRect">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wrap="square" lIns="18288" tIns="0" rIns="0" bIns="0" rtlCol="0" anchor="ctr" upright="1"/>
        <a:lstStyle/>
        <a:p>
          <a:pPr algn="ctr"/>
          <a:endParaRPr lang="es-PE" sz="1100" b="1"/>
        </a:p>
      </xdr:txBody>
    </xdr:sp>
    <xdr:clientData/>
  </xdr:twoCellAnchor>
  <xdr:twoCellAnchor>
    <xdr:from>
      <xdr:col>1</xdr:col>
      <xdr:colOff>0</xdr:colOff>
      <xdr:row>5</xdr:row>
      <xdr:rowOff>11205</xdr:rowOff>
    </xdr:from>
    <xdr:to>
      <xdr:col>2</xdr:col>
      <xdr:colOff>2846295</xdr:colOff>
      <xdr:row>9</xdr:row>
      <xdr:rowOff>156883</xdr:rowOff>
    </xdr:to>
    <xdr:sp macro="" textlink="">
      <xdr:nvSpPr>
        <xdr:cNvPr id="13" name="12 CuadroTexto">
          <a:extLst>
            <a:ext uri="{FF2B5EF4-FFF2-40B4-BE49-F238E27FC236}">
              <a16:creationId xmlns:a16="http://schemas.microsoft.com/office/drawing/2014/main" id="{00000000-0008-0000-0200-00000D000000}"/>
            </a:ext>
          </a:extLst>
        </xdr:cNvPr>
        <xdr:cNvSpPr txBox="1"/>
      </xdr:nvSpPr>
      <xdr:spPr>
        <a:xfrm>
          <a:off x="291353" y="2442881"/>
          <a:ext cx="3104030" cy="149038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PE" sz="1100" b="0" i="0" u="none" strike="noStrike">
              <a:solidFill>
                <a:schemeClr val="dk1"/>
              </a:solidFill>
              <a:latin typeface="+mn-lt"/>
              <a:ea typeface="+mn-ea"/>
              <a:cs typeface="+mn-cs"/>
            </a:rPr>
            <a:t>1.  Transportes (sólo para empresas de transporte </a:t>
          </a:r>
        </a:p>
        <a:p>
          <a:r>
            <a:rPr lang="es-PE" sz="1100" b="0" i="0" u="none" strike="noStrike">
              <a:solidFill>
                <a:schemeClr val="dk1"/>
              </a:solidFill>
              <a:latin typeface="+mn-lt"/>
              <a:ea typeface="+mn-ea"/>
              <a:cs typeface="+mn-cs"/>
            </a:rPr>
            <a:t>      y equipo similar)</a:t>
          </a:r>
          <a:r>
            <a:rPr lang="es-PE"/>
            <a:t> </a:t>
          </a:r>
        </a:p>
        <a:p>
          <a:r>
            <a:rPr lang="es-PE" sz="1100" b="0" i="0" u="none" strike="noStrike">
              <a:solidFill>
                <a:schemeClr val="dk1"/>
              </a:solidFill>
              <a:latin typeface="+mn-lt"/>
              <a:ea typeface="+mn-ea"/>
              <a:cs typeface="+mn-cs"/>
            </a:rPr>
            <a:t>2.   Viajes (viáticos del personal)</a:t>
          </a:r>
          <a:r>
            <a:rPr lang="es-PE"/>
            <a:t> </a:t>
          </a:r>
        </a:p>
        <a:p>
          <a:r>
            <a:rPr lang="es-PE" sz="1100" b="0" i="0" u="none" strike="noStrike">
              <a:solidFill>
                <a:schemeClr val="dk1"/>
              </a:solidFill>
              <a:latin typeface="+mn-lt"/>
              <a:ea typeface="+mn-ea"/>
              <a:cs typeface="+mn-cs"/>
            </a:rPr>
            <a:t>3.   Servicios de Comunicaciones</a:t>
          </a:r>
          <a:r>
            <a:rPr lang="es-PE"/>
            <a:t> </a:t>
          </a:r>
        </a:p>
        <a:p>
          <a:r>
            <a:rPr lang="es-PE" sz="1100" b="0" i="0" u="none" strike="noStrike">
              <a:solidFill>
                <a:schemeClr val="dk1"/>
              </a:solidFill>
              <a:latin typeface="+mn-lt"/>
              <a:ea typeface="+mn-ea"/>
              <a:cs typeface="+mn-cs"/>
            </a:rPr>
            <a:t>4.   Servicios de Construcción</a:t>
          </a:r>
          <a:r>
            <a:rPr lang="es-PE"/>
            <a:t> </a:t>
          </a:r>
        </a:p>
        <a:p>
          <a:r>
            <a:rPr lang="es-PE" sz="1100" b="0" i="0" u="none" strike="noStrike">
              <a:solidFill>
                <a:schemeClr val="dk1"/>
              </a:solidFill>
              <a:latin typeface="+mn-lt"/>
              <a:ea typeface="+mn-ea"/>
              <a:cs typeface="+mn-cs"/>
            </a:rPr>
            <a:t>5.   Servicios de Seguros</a:t>
          </a:r>
          <a:r>
            <a:rPr lang="es-PE"/>
            <a:t> </a:t>
          </a:r>
        </a:p>
        <a:p>
          <a:r>
            <a:rPr lang="es-PE" sz="1100" b="0" i="0" u="none" strike="noStrike">
              <a:solidFill>
                <a:schemeClr val="dk1"/>
              </a:solidFill>
              <a:latin typeface="+mn-lt"/>
              <a:ea typeface="+mn-ea"/>
              <a:cs typeface="+mn-cs"/>
            </a:rPr>
            <a:t>6.   Servicios Financieros (comisiones de</a:t>
          </a:r>
        </a:p>
        <a:p>
          <a:r>
            <a:rPr lang="es-PE" sz="1100" b="0" i="0" u="none" strike="noStrike">
              <a:solidFill>
                <a:schemeClr val="dk1"/>
              </a:solidFill>
              <a:latin typeface="+mn-lt"/>
              <a:ea typeface="+mn-ea"/>
              <a:cs typeface="+mn-cs"/>
            </a:rPr>
            <a:t>       intermediación financiera -excluir intereses-)</a:t>
          </a:r>
          <a:r>
            <a:rPr lang="es-PE"/>
            <a:t> </a:t>
          </a:r>
          <a:endParaRPr lang="es-PE" sz="1100"/>
        </a:p>
      </xdr:txBody>
    </xdr:sp>
    <xdr:clientData/>
  </xdr:twoCellAnchor>
  <xdr:twoCellAnchor>
    <xdr:from>
      <xdr:col>2</xdr:col>
      <xdr:colOff>3003177</xdr:colOff>
      <xdr:row>5</xdr:row>
      <xdr:rowOff>33619</xdr:rowOff>
    </xdr:from>
    <xdr:to>
      <xdr:col>4</xdr:col>
      <xdr:colOff>0</xdr:colOff>
      <xdr:row>9</xdr:row>
      <xdr:rowOff>156882</xdr:rowOff>
    </xdr:to>
    <xdr:sp macro="" textlink="">
      <xdr:nvSpPr>
        <xdr:cNvPr id="14" name="13 CuadroTexto">
          <a:extLst>
            <a:ext uri="{FF2B5EF4-FFF2-40B4-BE49-F238E27FC236}">
              <a16:creationId xmlns:a16="http://schemas.microsoft.com/office/drawing/2014/main" id="{00000000-0008-0000-0200-00000E000000}"/>
            </a:ext>
          </a:extLst>
        </xdr:cNvPr>
        <xdr:cNvSpPr txBox="1"/>
      </xdr:nvSpPr>
      <xdr:spPr>
        <a:xfrm>
          <a:off x="3552265" y="2465295"/>
          <a:ext cx="3249706" cy="146796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PE" sz="1100" b="0" i="0" u="none" strike="noStrike">
              <a:solidFill>
                <a:schemeClr val="dk1"/>
              </a:solidFill>
              <a:latin typeface="+mn-lt"/>
              <a:ea typeface="+mn-ea"/>
              <a:cs typeface="+mn-cs"/>
            </a:rPr>
            <a:t>7.   Servicios de Informática e Información</a:t>
          </a:r>
          <a:r>
            <a:rPr lang="es-PE"/>
            <a:t> </a:t>
          </a:r>
        </a:p>
        <a:p>
          <a:r>
            <a:rPr lang="es-PE" sz="1100" b="0" i="0" u="none" strike="noStrike">
              <a:solidFill>
                <a:schemeClr val="dk1"/>
              </a:solidFill>
              <a:latin typeface="+mn-lt"/>
              <a:ea typeface="+mn-ea"/>
              <a:cs typeface="+mn-cs"/>
            </a:rPr>
            <a:t>8.   Regalías y Derechos de Licencia</a:t>
          </a:r>
          <a:r>
            <a:rPr lang="es-PE"/>
            <a:t> </a:t>
          </a:r>
        </a:p>
        <a:p>
          <a:r>
            <a:rPr lang="es-PE" sz="1100" b="0" i="0" u="none" strike="noStrike">
              <a:solidFill>
                <a:schemeClr val="dk1"/>
              </a:solidFill>
              <a:latin typeface="+mn-lt"/>
              <a:ea typeface="+mn-ea"/>
              <a:cs typeface="+mn-cs"/>
            </a:rPr>
            <a:t>9.   Otros Servicios Empresariales, Profesionales </a:t>
          </a:r>
        </a:p>
        <a:p>
          <a:r>
            <a:rPr lang="es-PE" sz="1100" b="0" i="0" u="none" strike="noStrike">
              <a:solidFill>
                <a:schemeClr val="dk1"/>
              </a:solidFill>
              <a:latin typeface="+mn-lt"/>
              <a:ea typeface="+mn-ea"/>
              <a:cs typeface="+mn-cs"/>
            </a:rPr>
            <a:t>      y Técnicos</a:t>
          </a:r>
          <a:r>
            <a:rPr lang="es-PE"/>
            <a:t> </a:t>
          </a:r>
        </a:p>
        <a:p>
          <a:r>
            <a:rPr lang="es-PE" sz="1100" b="0" i="0" u="none" strike="noStrike">
              <a:solidFill>
                <a:schemeClr val="dk1"/>
              </a:solidFill>
              <a:latin typeface="+mn-lt"/>
              <a:ea typeface="+mn-ea"/>
              <a:cs typeface="+mn-cs"/>
            </a:rPr>
            <a:t>10. Servicios Personales, Culturales y Recreativos</a:t>
          </a:r>
          <a:r>
            <a:rPr lang="es-PE"/>
            <a:t> </a:t>
          </a:r>
        </a:p>
        <a:p>
          <a:r>
            <a:rPr lang="es-PE" sz="1100" b="0" i="0" u="none" strike="noStrike">
              <a:solidFill>
                <a:schemeClr val="dk1"/>
              </a:solidFill>
              <a:latin typeface="+mn-lt"/>
              <a:ea typeface="+mn-ea"/>
              <a:cs typeface="+mn-cs"/>
            </a:rPr>
            <a:t>11. Servicios de Mantenimiento y Reparaciones</a:t>
          </a:r>
        </a:p>
        <a:p>
          <a:r>
            <a:rPr lang="es-PE" sz="1100" b="0" i="0" u="none" strike="noStrike">
              <a:solidFill>
                <a:schemeClr val="dk1"/>
              </a:solidFill>
              <a:latin typeface="+mn-lt"/>
              <a:ea typeface="+mn-ea"/>
              <a:cs typeface="+mn-cs"/>
            </a:rPr>
            <a:t>12. Servicios del Gobierno, n.i.o.p.</a:t>
          </a:r>
          <a:r>
            <a:rPr lang="es-PE"/>
            <a:t> </a:t>
          </a:r>
          <a:endParaRPr lang="es-PE" sz="1100"/>
        </a:p>
      </xdr:txBody>
    </xdr:sp>
    <xdr:clientData/>
  </xdr:twoCellAnchor>
  <xdr:twoCellAnchor>
    <xdr:from>
      <xdr:col>2</xdr:col>
      <xdr:colOff>5266763</xdr:colOff>
      <xdr:row>4</xdr:row>
      <xdr:rowOff>56030</xdr:rowOff>
    </xdr:from>
    <xdr:to>
      <xdr:col>4</xdr:col>
      <xdr:colOff>0</xdr:colOff>
      <xdr:row>4</xdr:row>
      <xdr:rowOff>515470</xdr:rowOff>
    </xdr:to>
    <xdr:sp macro="[0]!Muestra_I" textlink="">
      <xdr:nvSpPr>
        <xdr:cNvPr id="15" name="14 Rectángulo redondeado">
          <a:extLst>
            <a:ext uri="{FF2B5EF4-FFF2-40B4-BE49-F238E27FC236}">
              <a16:creationId xmlns:a16="http://schemas.microsoft.com/office/drawing/2014/main" id="{00000000-0008-0000-0200-00000F000000}"/>
            </a:ext>
          </a:extLst>
        </xdr:cNvPr>
        <xdr:cNvSpPr/>
      </xdr:nvSpPr>
      <xdr:spPr bwMode="auto">
        <a:xfrm>
          <a:off x="5815851" y="1916206"/>
          <a:ext cx="986120" cy="459440"/>
        </a:xfrm>
        <a:prstGeom prst="roundRect">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wrap="square" lIns="18288" tIns="0" rIns="0" bIns="0" rtlCol="0" anchor="ctr" upright="1"/>
        <a:lstStyle/>
        <a:p>
          <a:pPr algn="ctr"/>
          <a:endParaRPr lang="es-PE" sz="1100" b="1"/>
        </a:p>
      </xdr:txBody>
    </xdr:sp>
    <xdr:clientData/>
  </xdr:twoCellAnchor>
  <xdr:twoCellAnchor>
    <xdr:from>
      <xdr:col>5</xdr:col>
      <xdr:colOff>11205</xdr:colOff>
      <xdr:row>5</xdr:row>
      <xdr:rowOff>33619</xdr:rowOff>
    </xdr:from>
    <xdr:to>
      <xdr:col>6</xdr:col>
      <xdr:colOff>4986617</xdr:colOff>
      <xdr:row>6</xdr:row>
      <xdr:rowOff>336178</xdr:rowOff>
    </xdr:to>
    <xdr:sp macro="" textlink="">
      <xdr:nvSpPr>
        <xdr:cNvPr id="16" name="15 CuadroTexto">
          <a:extLst>
            <a:ext uri="{FF2B5EF4-FFF2-40B4-BE49-F238E27FC236}">
              <a16:creationId xmlns:a16="http://schemas.microsoft.com/office/drawing/2014/main" id="{00000000-0008-0000-0200-000010000000}"/>
            </a:ext>
          </a:extLst>
        </xdr:cNvPr>
        <xdr:cNvSpPr txBox="1"/>
      </xdr:nvSpPr>
      <xdr:spPr>
        <a:xfrm>
          <a:off x="6925234" y="2465295"/>
          <a:ext cx="5233148" cy="61632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PE" sz="1100"/>
            <a:t>1. Activos: préstamos otorgados por su empresa al exterior, créditos a clientes comerciales del exterior, compra de papeles emitidos por no residentes (bonos), depósitos de su empresa en bancos del exterior.</a:t>
          </a:r>
        </a:p>
      </xdr:txBody>
    </xdr:sp>
    <xdr:clientData/>
  </xdr:twoCellAnchor>
  <xdr:twoCellAnchor>
    <xdr:from>
      <xdr:col>5</xdr:col>
      <xdr:colOff>11206</xdr:colOff>
      <xdr:row>7</xdr:row>
      <xdr:rowOff>1</xdr:rowOff>
    </xdr:from>
    <xdr:to>
      <xdr:col>6</xdr:col>
      <xdr:colOff>4986617</xdr:colOff>
      <xdr:row>9</xdr:row>
      <xdr:rowOff>156883</xdr:rowOff>
    </xdr:to>
    <xdr:sp macro="" textlink="">
      <xdr:nvSpPr>
        <xdr:cNvPr id="17" name="16 CuadroTexto">
          <a:extLst>
            <a:ext uri="{FF2B5EF4-FFF2-40B4-BE49-F238E27FC236}">
              <a16:creationId xmlns:a16="http://schemas.microsoft.com/office/drawing/2014/main" id="{00000000-0008-0000-0200-000011000000}"/>
            </a:ext>
          </a:extLst>
        </xdr:cNvPr>
        <xdr:cNvSpPr txBox="1"/>
      </xdr:nvSpPr>
      <xdr:spPr>
        <a:xfrm>
          <a:off x="6925235" y="2543736"/>
          <a:ext cx="5233147" cy="78441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PE" sz="1100"/>
            <a:t>2. Pasivos: préstamos recibidos del exterior de cualquier fuente (banca, organismos, agencias de gobierno, etc.), cuentas por pagar por créditos comerciales (proveedores de insumos, bienes de capital y bienes de consumo; proveedores de servicios), bonos emitidos por su empresa colocados en mercados externos, etc.</a:t>
          </a:r>
        </a:p>
      </xdr:txBody>
    </xdr:sp>
    <xdr:clientData/>
  </xdr:twoCellAnchor>
  <xdr:twoCellAnchor>
    <xdr:from>
      <xdr:col>0</xdr:col>
      <xdr:colOff>280147</xdr:colOff>
      <xdr:row>4</xdr:row>
      <xdr:rowOff>44824</xdr:rowOff>
    </xdr:from>
    <xdr:to>
      <xdr:col>2</xdr:col>
      <xdr:colOff>5154706</xdr:colOff>
      <xdr:row>4</xdr:row>
      <xdr:rowOff>515471</xdr:rowOff>
    </xdr:to>
    <xdr:sp macro="" textlink="">
      <xdr:nvSpPr>
        <xdr:cNvPr id="18" name="17 CuadroTexto">
          <a:extLst>
            <a:ext uri="{FF2B5EF4-FFF2-40B4-BE49-F238E27FC236}">
              <a16:creationId xmlns:a16="http://schemas.microsoft.com/office/drawing/2014/main" id="{00000000-0008-0000-0200-000012000000}"/>
            </a:ext>
          </a:extLst>
        </xdr:cNvPr>
        <xdr:cNvSpPr txBox="1"/>
      </xdr:nvSpPr>
      <xdr:spPr>
        <a:xfrm>
          <a:off x="280147" y="1905000"/>
          <a:ext cx="5423647" cy="470647"/>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s-PE" sz="1200" b="1">
              <a:latin typeface="Arial" pitchFamily="34" charset="0"/>
              <a:cs typeface="Arial" pitchFamily="34" charset="0"/>
            </a:rPr>
            <a:t>Si su empresa tiene alguna de las siguientes operaciones con no residentes, hacer "click" en el botón de la derecha.</a:t>
          </a:r>
        </a:p>
      </xdr:txBody>
    </xdr:sp>
    <xdr:clientData/>
  </xdr:twoCellAnchor>
  <xdr:twoCellAnchor>
    <xdr:from>
      <xdr:col>5</xdr:col>
      <xdr:colOff>11207</xdr:colOff>
      <xdr:row>4</xdr:row>
      <xdr:rowOff>67235</xdr:rowOff>
    </xdr:from>
    <xdr:to>
      <xdr:col>7</xdr:col>
      <xdr:colOff>1019734</xdr:colOff>
      <xdr:row>4</xdr:row>
      <xdr:rowOff>537882</xdr:rowOff>
    </xdr:to>
    <xdr:sp macro="" textlink="">
      <xdr:nvSpPr>
        <xdr:cNvPr id="19" name="18 CuadroTexto">
          <a:extLst>
            <a:ext uri="{FF2B5EF4-FFF2-40B4-BE49-F238E27FC236}">
              <a16:creationId xmlns:a16="http://schemas.microsoft.com/office/drawing/2014/main" id="{00000000-0008-0000-0200-000013000000}"/>
            </a:ext>
          </a:extLst>
        </xdr:cNvPr>
        <xdr:cNvSpPr txBox="1"/>
      </xdr:nvSpPr>
      <xdr:spPr>
        <a:xfrm>
          <a:off x="6925236" y="1927411"/>
          <a:ext cx="6398557" cy="470647"/>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s-PE" sz="1200" b="1">
              <a:latin typeface="Arial" pitchFamily="34" charset="0"/>
              <a:cs typeface="Arial" pitchFamily="34" charset="0"/>
            </a:rPr>
            <a:t>Si su empresa tiene alguna de las siguientes operaciones con no residentes, hacer "click" en el botón de la derecha.</a:t>
          </a:r>
        </a:p>
      </xdr:txBody>
    </xdr:sp>
    <xdr:clientData/>
  </xdr:twoCellAnchor>
  <xdr:twoCellAnchor>
    <xdr:from>
      <xdr:col>6</xdr:col>
      <xdr:colOff>5098677</xdr:colOff>
      <xdr:row>5</xdr:row>
      <xdr:rowOff>67235</xdr:rowOff>
    </xdr:from>
    <xdr:to>
      <xdr:col>7</xdr:col>
      <xdr:colOff>963707</xdr:colOff>
      <xdr:row>6</xdr:row>
      <xdr:rowOff>369793</xdr:rowOff>
    </xdr:to>
    <xdr:sp macro="[0]!Muestra_IIa" textlink="">
      <xdr:nvSpPr>
        <xdr:cNvPr id="21" name="20 Rectángulo redondeado">
          <a:extLst>
            <a:ext uri="{FF2B5EF4-FFF2-40B4-BE49-F238E27FC236}">
              <a16:creationId xmlns:a16="http://schemas.microsoft.com/office/drawing/2014/main" id="{00000000-0008-0000-0200-000015000000}"/>
            </a:ext>
          </a:extLst>
        </xdr:cNvPr>
        <xdr:cNvSpPr/>
      </xdr:nvSpPr>
      <xdr:spPr bwMode="auto">
        <a:xfrm>
          <a:off x="12270442" y="2498911"/>
          <a:ext cx="997324" cy="616323"/>
        </a:xfrm>
        <a:prstGeom prst="roundRect">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wrap="square" lIns="18288" tIns="0" rIns="0" bIns="0" rtlCol="0" anchor="ctr" upright="1"/>
        <a:lstStyle/>
        <a:p>
          <a:pPr algn="ctr"/>
          <a:endParaRPr lang="es-PE" sz="1100" b="1"/>
        </a:p>
      </xdr:txBody>
    </xdr:sp>
    <xdr:clientData/>
  </xdr:twoCellAnchor>
  <xdr:twoCellAnchor>
    <xdr:from>
      <xdr:col>0</xdr:col>
      <xdr:colOff>281826</xdr:colOff>
      <xdr:row>12</xdr:row>
      <xdr:rowOff>280148</xdr:rowOff>
    </xdr:from>
    <xdr:to>
      <xdr:col>2</xdr:col>
      <xdr:colOff>5199529</xdr:colOff>
      <xdr:row>13</xdr:row>
      <xdr:rowOff>257735</xdr:rowOff>
    </xdr:to>
    <xdr:sp macro="" textlink="">
      <xdr:nvSpPr>
        <xdr:cNvPr id="23" name="22 CuadroTexto">
          <a:extLst>
            <a:ext uri="{FF2B5EF4-FFF2-40B4-BE49-F238E27FC236}">
              <a16:creationId xmlns:a16="http://schemas.microsoft.com/office/drawing/2014/main" id="{00000000-0008-0000-0200-000017000000}"/>
            </a:ext>
          </a:extLst>
        </xdr:cNvPr>
        <xdr:cNvSpPr txBox="1"/>
      </xdr:nvSpPr>
      <xdr:spPr>
        <a:xfrm>
          <a:off x="281826" y="5042648"/>
          <a:ext cx="5466791" cy="29135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PE" sz="1100"/>
            <a:t>1.  Participación extranjera en su capital. (Incluir sucursales de empresas extranjeras).</a:t>
          </a:r>
        </a:p>
      </xdr:txBody>
    </xdr:sp>
    <xdr:clientData/>
  </xdr:twoCellAnchor>
  <xdr:twoCellAnchor>
    <xdr:from>
      <xdr:col>0</xdr:col>
      <xdr:colOff>281827</xdr:colOff>
      <xdr:row>11</xdr:row>
      <xdr:rowOff>44824</xdr:rowOff>
    </xdr:from>
    <xdr:to>
      <xdr:col>3</xdr:col>
      <xdr:colOff>941294</xdr:colOff>
      <xdr:row>12</xdr:row>
      <xdr:rowOff>201707</xdr:rowOff>
    </xdr:to>
    <xdr:sp macro="" textlink="">
      <xdr:nvSpPr>
        <xdr:cNvPr id="24" name="23 CuadroTexto">
          <a:extLst>
            <a:ext uri="{FF2B5EF4-FFF2-40B4-BE49-F238E27FC236}">
              <a16:creationId xmlns:a16="http://schemas.microsoft.com/office/drawing/2014/main" id="{00000000-0008-0000-0200-000018000000}"/>
            </a:ext>
          </a:extLst>
        </xdr:cNvPr>
        <xdr:cNvSpPr txBox="1"/>
      </xdr:nvSpPr>
      <xdr:spPr>
        <a:xfrm>
          <a:off x="281827" y="4493559"/>
          <a:ext cx="6508938" cy="470648"/>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PE" sz="1200" b="1">
              <a:latin typeface="Arial" pitchFamily="34" charset="0"/>
              <a:cs typeface="Arial" pitchFamily="34" charset="0"/>
            </a:rPr>
            <a:t>Si su empresa tiene alguna de las siguientes operaciones con no residentes , hacer "click" en el botón de la derecha:</a:t>
          </a:r>
        </a:p>
      </xdr:txBody>
    </xdr:sp>
    <xdr:clientData/>
  </xdr:twoCellAnchor>
  <xdr:twoCellAnchor>
    <xdr:from>
      <xdr:col>1</xdr:col>
      <xdr:colOff>0</xdr:colOff>
      <xdr:row>14</xdr:row>
      <xdr:rowOff>38100</xdr:rowOff>
    </xdr:from>
    <xdr:to>
      <xdr:col>2</xdr:col>
      <xdr:colOff>5200650</xdr:colOff>
      <xdr:row>15</xdr:row>
      <xdr:rowOff>104775</xdr:rowOff>
    </xdr:to>
    <xdr:sp macro="" textlink="">
      <xdr:nvSpPr>
        <xdr:cNvPr id="42740" name="24 CuadroTexto">
          <a:extLst>
            <a:ext uri="{FF2B5EF4-FFF2-40B4-BE49-F238E27FC236}">
              <a16:creationId xmlns:a16="http://schemas.microsoft.com/office/drawing/2014/main" id="{00000000-0008-0000-0200-0000F4A60000}"/>
            </a:ext>
          </a:extLst>
        </xdr:cNvPr>
        <xdr:cNvSpPr txBox="1">
          <a:spLocks noChangeArrowheads="1"/>
        </xdr:cNvSpPr>
      </xdr:nvSpPr>
      <xdr:spPr bwMode="auto">
        <a:xfrm>
          <a:off x="285750" y="4962525"/>
          <a:ext cx="5457825" cy="381000"/>
        </a:xfrm>
        <a:prstGeom prst="rect">
          <a:avLst/>
        </a:prstGeom>
        <a:solidFill>
          <a:srgbClr val="DCE6F2"/>
        </a:solidFill>
        <a:ln w="9525">
          <a:solidFill>
            <a:srgbClr val="BCBCBC"/>
          </a:solidFill>
          <a:miter lim="800000"/>
          <a:headEnd/>
          <a:tailEnd/>
        </a:ln>
      </xdr:spPr>
      <xdr:txBody>
        <a:bodyPr vertOverflow="clip" wrap="square" lIns="27432" tIns="27432" rIns="0" bIns="0" anchor="t" upright="1"/>
        <a:lstStyle/>
        <a:p>
          <a:pPr algn="l" rtl="0">
            <a:defRPr sz="1000"/>
          </a:pPr>
          <a:r>
            <a:rPr lang="es-PE" sz="1100" b="0" i="0" u="none" strike="noStrike" baseline="0">
              <a:solidFill>
                <a:srgbClr val="000000"/>
              </a:solidFill>
              <a:latin typeface="Calibri"/>
              <a:cs typeface="Calibri"/>
            </a:rPr>
            <a:t>2.  Participación de la empresa local en el capital  de empresas ubicadas en el exterior.</a:t>
          </a:r>
        </a:p>
      </xdr:txBody>
    </xdr:sp>
    <xdr:clientData/>
  </xdr:twoCellAnchor>
  <xdr:twoCellAnchor>
    <xdr:from>
      <xdr:col>0</xdr:col>
      <xdr:colOff>280146</xdr:colOff>
      <xdr:row>2</xdr:row>
      <xdr:rowOff>89646</xdr:rowOff>
    </xdr:from>
    <xdr:to>
      <xdr:col>7</xdr:col>
      <xdr:colOff>1008529</xdr:colOff>
      <xdr:row>2</xdr:row>
      <xdr:rowOff>481853</xdr:rowOff>
    </xdr:to>
    <xdr:sp macro="" textlink="">
      <xdr:nvSpPr>
        <xdr:cNvPr id="27" name="26 CuadroTexto">
          <a:extLst>
            <a:ext uri="{FF2B5EF4-FFF2-40B4-BE49-F238E27FC236}">
              <a16:creationId xmlns:a16="http://schemas.microsoft.com/office/drawing/2014/main" id="{00000000-0008-0000-0200-00001B000000}"/>
            </a:ext>
          </a:extLst>
        </xdr:cNvPr>
        <xdr:cNvSpPr txBox="1"/>
      </xdr:nvSpPr>
      <xdr:spPr>
        <a:xfrm>
          <a:off x="280146" y="661146"/>
          <a:ext cx="13032442" cy="392207"/>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PE" sz="1600">
              <a:solidFill>
                <a:schemeClr val="dk1"/>
              </a:solidFill>
              <a:latin typeface="Arial" pitchFamily="34" charset="0"/>
              <a:ea typeface="+mn-ea"/>
              <a:cs typeface="Arial" pitchFamily="34" charset="0"/>
            </a:rPr>
            <a:t>Con la finalidad de facilitar el llenado de la presente</a:t>
          </a:r>
          <a:r>
            <a:rPr lang="es-PE" sz="1600" baseline="0">
              <a:solidFill>
                <a:schemeClr val="dk1"/>
              </a:solidFill>
              <a:latin typeface="Arial" pitchFamily="34" charset="0"/>
              <a:ea typeface="+mn-ea"/>
              <a:cs typeface="Arial" pitchFamily="34" charset="0"/>
            </a:rPr>
            <a:t> encuesta, seleccione las secciones aplicables a su empresa.</a:t>
          </a:r>
          <a:endParaRPr lang="es-PE" sz="1600">
            <a:solidFill>
              <a:schemeClr val="dk1"/>
            </a:solidFill>
            <a:latin typeface="Arial" pitchFamily="34" charset="0"/>
            <a:ea typeface="+mn-ea"/>
            <a:cs typeface="Arial" pitchFamily="34" charset="0"/>
          </a:endParaRPr>
        </a:p>
      </xdr:txBody>
    </xdr:sp>
    <xdr:clientData/>
  </xdr:twoCellAnchor>
  <xdr:twoCellAnchor>
    <xdr:from>
      <xdr:col>5</xdr:col>
      <xdr:colOff>1</xdr:colOff>
      <xdr:row>11</xdr:row>
      <xdr:rowOff>44824</xdr:rowOff>
    </xdr:from>
    <xdr:to>
      <xdr:col>8</xdr:col>
      <xdr:colOff>0</xdr:colOff>
      <xdr:row>12</xdr:row>
      <xdr:rowOff>201707</xdr:rowOff>
    </xdr:to>
    <xdr:sp macro="" textlink="">
      <xdr:nvSpPr>
        <xdr:cNvPr id="28" name="27 CuadroTexto">
          <a:extLst>
            <a:ext uri="{FF2B5EF4-FFF2-40B4-BE49-F238E27FC236}">
              <a16:creationId xmlns:a16="http://schemas.microsoft.com/office/drawing/2014/main" id="{00000000-0008-0000-0200-00001C000000}"/>
            </a:ext>
          </a:extLst>
        </xdr:cNvPr>
        <xdr:cNvSpPr txBox="1"/>
      </xdr:nvSpPr>
      <xdr:spPr>
        <a:xfrm>
          <a:off x="6914030" y="4493559"/>
          <a:ext cx="6409764" cy="470648"/>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PE" sz="1200" b="1">
              <a:latin typeface="Arial" pitchFamily="34" charset="0"/>
              <a:cs typeface="Arial" pitchFamily="34" charset="0"/>
            </a:rPr>
            <a:t>Si su empresa no aplica a </a:t>
          </a:r>
          <a:r>
            <a:rPr lang="es-PE" sz="1200" b="1" baseline="0">
              <a:latin typeface="Arial" pitchFamily="34" charset="0"/>
              <a:cs typeface="Arial" pitchFamily="34" charset="0"/>
            </a:rPr>
            <a:t>ninguna de las </a:t>
          </a:r>
          <a:r>
            <a:rPr lang="es-PE" sz="1200" b="1">
              <a:latin typeface="Arial" pitchFamily="34" charset="0"/>
              <a:cs typeface="Arial" pitchFamily="34" charset="0"/>
            </a:rPr>
            <a:t>secciones I, II</a:t>
          </a:r>
          <a:r>
            <a:rPr lang="es-PE" sz="1200" b="1" baseline="0">
              <a:latin typeface="Arial" pitchFamily="34" charset="0"/>
              <a:cs typeface="Arial" pitchFamily="34" charset="0"/>
            </a:rPr>
            <a:t>  y  III sírvase  indicar  a  qué  caso corresponde ("click" en el botón de la derecha):</a:t>
          </a:r>
          <a:endParaRPr lang="es-PE" sz="1200" b="1">
            <a:latin typeface="Arial" pitchFamily="34" charset="0"/>
            <a:cs typeface="Arial" pitchFamily="34" charset="0"/>
          </a:endParaRPr>
        </a:p>
      </xdr:txBody>
    </xdr:sp>
    <xdr:clientData/>
  </xdr:twoCellAnchor>
  <xdr:twoCellAnchor>
    <xdr:from>
      <xdr:col>5</xdr:col>
      <xdr:colOff>11207</xdr:colOff>
      <xdr:row>12</xdr:row>
      <xdr:rowOff>268942</xdr:rowOff>
    </xdr:from>
    <xdr:to>
      <xdr:col>7</xdr:col>
      <xdr:colOff>87968</xdr:colOff>
      <xdr:row>13</xdr:row>
      <xdr:rowOff>246529</xdr:rowOff>
    </xdr:to>
    <xdr:sp macro="" textlink="">
      <xdr:nvSpPr>
        <xdr:cNvPr id="29" name="28 CuadroTexto">
          <a:extLst>
            <a:ext uri="{FF2B5EF4-FFF2-40B4-BE49-F238E27FC236}">
              <a16:creationId xmlns:a16="http://schemas.microsoft.com/office/drawing/2014/main" id="{00000000-0008-0000-0200-00001D000000}"/>
            </a:ext>
          </a:extLst>
        </xdr:cNvPr>
        <xdr:cNvSpPr txBox="1"/>
      </xdr:nvSpPr>
      <xdr:spPr>
        <a:xfrm>
          <a:off x="6925236" y="5031442"/>
          <a:ext cx="5466791" cy="29135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PE" sz="1100"/>
            <a:t>1.  La empresa no aplica en este trimestre.</a:t>
          </a:r>
        </a:p>
      </xdr:txBody>
    </xdr:sp>
    <xdr:clientData/>
  </xdr:twoCellAnchor>
  <xdr:twoCellAnchor>
    <xdr:from>
      <xdr:col>5</xdr:col>
      <xdr:colOff>9525</xdr:colOff>
      <xdr:row>14</xdr:row>
      <xdr:rowOff>19050</xdr:rowOff>
    </xdr:from>
    <xdr:to>
      <xdr:col>7</xdr:col>
      <xdr:colOff>76200</xdr:colOff>
      <xdr:row>15</xdr:row>
      <xdr:rowOff>95250</xdr:rowOff>
    </xdr:to>
    <xdr:sp macro="" textlink="">
      <xdr:nvSpPr>
        <xdr:cNvPr id="42744" name="29 CuadroTexto">
          <a:extLst>
            <a:ext uri="{FF2B5EF4-FFF2-40B4-BE49-F238E27FC236}">
              <a16:creationId xmlns:a16="http://schemas.microsoft.com/office/drawing/2014/main" id="{00000000-0008-0000-0200-0000F8A60000}"/>
            </a:ext>
          </a:extLst>
        </xdr:cNvPr>
        <xdr:cNvSpPr txBox="1">
          <a:spLocks noChangeArrowheads="1"/>
        </xdr:cNvSpPr>
      </xdr:nvSpPr>
      <xdr:spPr bwMode="auto">
        <a:xfrm>
          <a:off x="6924675" y="4943475"/>
          <a:ext cx="5457825" cy="390525"/>
        </a:xfrm>
        <a:prstGeom prst="rect">
          <a:avLst/>
        </a:prstGeom>
        <a:solidFill>
          <a:srgbClr val="DCE6F2"/>
        </a:solidFill>
        <a:ln w="9525">
          <a:solidFill>
            <a:srgbClr val="BCBCBC"/>
          </a:solidFill>
          <a:miter lim="800000"/>
          <a:headEnd/>
          <a:tailEnd/>
        </a:ln>
      </xdr:spPr>
      <xdr:txBody>
        <a:bodyPr vertOverflow="clip" wrap="square" lIns="27432" tIns="27432" rIns="0" bIns="0" anchor="t" upright="1"/>
        <a:lstStyle/>
        <a:p>
          <a:pPr algn="l" rtl="0">
            <a:defRPr sz="1000"/>
          </a:pPr>
          <a:r>
            <a:rPr lang="es-PE" sz="1100" b="0" i="0" u="none" strike="noStrike" baseline="0">
              <a:solidFill>
                <a:srgbClr val="000000"/>
              </a:solidFill>
              <a:latin typeface="Calibri"/>
              <a:cs typeface="Calibri"/>
            </a:rPr>
            <a:t>2.  La empresa nunca ha tenido este tipo de operaciones (no aplicará en ningún</a:t>
          </a:r>
        </a:p>
        <a:p>
          <a:pPr algn="l" rtl="0">
            <a:defRPr sz="1000"/>
          </a:pPr>
          <a:r>
            <a:rPr lang="es-PE" sz="1100" b="0" i="0" u="none" strike="noStrike" baseline="0">
              <a:solidFill>
                <a:srgbClr val="000000"/>
              </a:solidFill>
              <a:latin typeface="Calibri"/>
              <a:cs typeface="Calibri"/>
            </a:rPr>
            <a:t>       periodo.</a:t>
          </a:r>
        </a:p>
      </xdr:txBody>
    </xdr:sp>
    <xdr:clientData/>
  </xdr:twoCellAnchor>
  <xdr:twoCellAnchor>
    <xdr:from>
      <xdr:col>6</xdr:col>
      <xdr:colOff>5109881</xdr:colOff>
      <xdr:row>7</xdr:row>
      <xdr:rowOff>44823</xdr:rowOff>
    </xdr:from>
    <xdr:to>
      <xdr:col>7</xdr:col>
      <xdr:colOff>974912</xdr:colOff>
      <xdr:row>9</xdr:row>
      <xdr:rowOff>134471</xdr:rowOff>
    </xdr:to>
    <xdr:sp macro="[0]!Muestra_IIb" textlink="">
      <xdr:nvSpPr>
        <xdr:cNvPr id="32" name="31 Rectángulo redondeado">
          <a:extLst>
            <a:ext uri="{FF2B5EF4-FFF2-40B4-BE49-F238E27FC236}">
              <a16:creationId xmlns:a16="http://schemas.microsoft.com/office/drawing/2014/main" id="{00000000-0008-0000-0200-000020000000}"/>
            </a:ext>
          </a:extLst>
        </xdr:cNvPr>
        <xdr:cNvSpPr/>
      </xdr:nvSpPr>
      <xdr:spPr bwMode="auto">
        <a:xfrm>
          <a:off x="12281646" y="3193676"/>
          <a:ext cx="997325" cy="717177"/>
        </a:xfrm>
        <a:prstGeom prst="roundRect">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wrap="square" lIns="18288" tIns="0" rIns="0" bIns="0" rtlCol="0" anchor="ctr" upright="1"/>
        <a:lstStyle/>
        <a:p>
          <a:pPr algn="ctr"/>
          <a:endParaRPr lang="es-PE" sz="1100" b="1"/>
        </a:p>
      </xdr:txBody>
    </xdr:sp>
    <xdr:clientData/>
  </xdr:twoCellAnchor>
  <xdr:twoCellAnchor>
    <xdr:from>
      <xdr:col>2</xdr:col>
      <xdr:colOff>5289177</xdr:colOff>
      <xdr:row>13</xdr:row>
      <xdr:rowOff>1</xdr:rowOff>
    </xdr:from>
    <xdr:to>
      <xdr:col>3</xdr:col>
      <xdr:colOff>930088</xdr:colOff>
      <xdr:row>13</xdr:row>
      <xdr:rowOff>280147</xdr:rowOff>
    </xdr:to>
    <xdr:sp macro="[0]!Muestra_IIIa" textlink="">
      <xdr:nvSpPr>
        <xdr:cNvPr id="34" name="33 Rectángulo redondeado">
          <a:extLst>
            <a:ext uri="{FF2B5EF4-FFF2-40B4-BE49-F238E27FC236}">
              <a16:creationId xmlns:a16="http://schemas.microsoft.com/office/drawing/2014/main" id="{00000000-0008-0000-0200-000022000000}"/>
            </a:ext>
          </a:extLst>
        </xdr:cNvPr>
        <xdr:cNvSpPr/>
      </xdr:nvSpPr>
      <xdr:spPr bwMode="auto">
        <a:xfrm>
          <a:off x="5838265" y="5076266"/>
          <a:ext cx="941294" cy="280146"/>
        </a:xfrm>
        <a:prstGeom prst="roundRect">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wrap="square" lIns="18288" tIns="0" rIns="0" bIns="0" rtlCol="0" anchor="ctr" upright="1"/>
        <a:lstStyle/>
        <a:p>
          <a:pPr algn="ctr"/>
          <a:endParaRPr lang="es-PE" sz="1100" b="1"/>
        </a:p>
      </xdr:txBody>
    </xdr:sp>
    <xdr:clientData/>
  </xdr:twoCellAnchor>
  <xdr:twoCellAnchor>
    <xdr:from>
      <xdr:col>7</xdr:col>
      <xdr:colOff>212913</xdr:colOff>
      <xdr:row>14</xdr:row>
      <xdr:rowOff>33619</xdr:rowOff>
    </xdr:from>
    <xdr:to>
      <xdr:col>7</xdr:col>
      <xdr:colOff>974912</xdr:colOff>
      <xdr:row>15</xdr:row>
      <xdr:rowOff>8406</xdr:rowOff>
    </xdr:to>
    <xdr:sp macro="[0]!No_Aplic_Nunca" textlink="">
      <xdr:nvSpPr>
        <xdr:cNvPr id="35" name="34 Rectángulo redondeado">
          <a:extLst>
            <a:ext uri="{FF2B5EF4-FFF2-40B4-BE49-F238E27FC236}">
              <a16:creationId xmlns:a16="http://schemas.microsoft.com/office/drawing/2014/main" id="{00000000-0008-0000-0200-000023000000}"/>
            </a:ext>
          </a:extLst>
        </xdr:cNvPr>
        <xdr:cNvSpPr/>
      </xdr:nvSpPr>
      <xdr:spPr bwMode="auto">
        <a:xfrm>
          <a:off x="12516972" y="4941795"/>
          <a:ext cx="761999" cy="288552"/>
        </a:xfrm>
        <a:prstGeom prst="roundRect">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wrap="square" lIns="18288" tIns="0" rIns="0" bIns="0" rtlCol="0" anchor="ctr" upright="1"/>
        <a:lstStyle/>
        <a:p>
          <a:pPr algn="ctr"/>
          <a:endParaRPr lang="es-PE" sz="1100" b="1"/>
        </a:p>
      </xdr:txBody>
    </xdr:sp>
    <xdr:clientData/>
  </xdr:twoCellAnchor>
  <xdr:twoCellAnchor>
    <xdr:from>
      <xdr:col>7</xdr:col>
      <xdr:colOff>212913</xdr:colOff>
      <xdr:row>12</xdr:row>
      <xdr:rowOff>280148</xdr:rowOff>
    </xdr:from>
    <xdr:to>
      <xdr:col>7</xdr:col>
      <xdr:colOff>986117</xdr:colOff>
      <xdr:row>13</xdr:row>
      <xdr:rowOff>254935</xdr:rowOff>
    </xdr:to>
    <xdr:sp macro="[0]!No_Aplic_Trim" textlink="">
      <xdr:nvSpPr>
        <xdr:cNvPr id="36" name="35 Rectángulo redondeado">
          <a:extLst>
            <a:ext uri="{FF2B5EF4-FFF2-40B4-BE49-F238E27FC236}">
              <a16:creationId xmlns:a16="http://schemas.microsoft.com/office/drawing/2014/main" id="{00000000-0008-0000-0200-000024000000}"/>
            </a:ext>
          </a:extLst>
        </xdr:cNvPr>
        <xdr:cNvSpPr/>
      </xdr:nvSpPr>
      <xdr:spPr bwMode="auto">
        <a:xfrm>
          <a:off x="12516972" y="5042648"/>
          <a:ext cx="773204" cy="288552"/>
        </a:xfrm>
        <a:prstGeom prst="roundRect">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wrap="square" lIns="18288" tIns="0" rIns="0" bIns="0" rtlCol="0" anchor="ctr" upright="1"/>
        <a:lstStyle/>
        <a:p>
          <a:pPr algn="ctr"/>
          <a:endParaRPr lang="es-PE" sz="1100" b="1"/>
        </a:p>
      </xdr:txBody>
    </xdr:sp>
    <xdr:clientData/>
  </xdr:twoCellAnchor>
  <xdr:twoCellAnchor>
    <xdr:from>
      <xdr:col>8</xdr:col>
      <xdr:colOff>134470</xdr:colOff>
      <xdr:row>12</xdr:row>
      <xdr:rowOff>280147</xdr:rowOff>
    </xdr:from>
    <xdr:to>
      <xdr:col>10</xdr:col>
      <xdr:colOff>324969</xdr:colOff>
      <xdr:row>13</xdr:row>
      <xdr:rowOff>254934</xdr:rowOff>
    </xdr:to>
    <xdr:sp macro="[0]!Deshace_Aplic_Trim" textlink="">
      <xdr:nvSpPr>
        <xdr:cNvPr id="26" name="25 Rectángulo redondeado">
          <a:extLst>
            <a:ext uri="{FF2B5EF4-FFF2-40B4-BE49-F238E27FC236}">
              <a16:creationId xmlns:a16="http://schemas.microsoft.com/office/drawing/2014/main" id="{00000000-0008-0000-0200-00001A000000}"/>
            </a:ext>
          </a:extLst>
        </xdr:cNvPr>
        <xdr:cNvSpPr/>
      </xdr:nvSpPr>
      <xdr:spPr bwMode="auto">
        <a:xfrm>
          <a:off x="13458264" y="5042647"/>
          <a:ext cx="1199029" cy="288552"/>
        </a:xfrm>
        <a:prstGeom prst="roundRect">
          <a:avLst/>
        </a:prstGeom>
        <a:ln>
          <a:headEnd type="none" w="med" len="med"/>
          <a:tailEnd type="none" w="med" len="med"/>
        </a:ln>
      </xdr:spPr>
      <xdr:style>
        <a:lnRef idx="0">
          <a:schemeClr val="accent6"/>
        </a:lnRef>
        <a:fillRef idx="3">
          <a:schemeClr val="accent6"/>
        </a:fillRef>
        <a:effectRef idx="3">
          <a:schemeClr val="accent6"/>
        </a:effectRef>
        <a:fontRef idx="minor">
          <a:schemeClr val="lt1"/>
        </a:fontRef>
      </xdr:style>
      <xdr:txBody>
        <a:bodyPr vertOverflow="clip" wrap="square" lIns="18288" tIns="0" rIns="0" bIns="0" rtlCol="0" anchor="ctr" upright="1"/>
        <a:lstStyle/>
        <a:p>
          <a:pPr algn="ctr"/>
          <a:r>
            <a:rPr lang="es-PE" sz="1100" b="1"/>
            <a:t>Deshacer</a:t>
          </a:r>
          <a:r>
            <a:rPr lang="es-PE" sz="1100" b="1" baseline="0"/>
            <a:t> selección</a:t>
          </a:r>
          <a:endParaRPr lang="es-PE" sz="1100" b="1"/>
        </a:p>
      </xdr:txBody>
    </xdr:sp>
    <xdr:clientData/>
  </xdr:twoCellAnchor>
  <xdr:twoCellAnchor>
    <xdr:from>
      <xdr:col>8</xdr:col>
      <xdr:colOff>134470</xdr:colOff>
      <xdr:row>14</xdr:row>
      <xdr:rowOff>11206</xdr:rowOff>
    </xdr:from>
    <xdr:to>
      <xdr:col>10</xdr:col>
      <xdr:colOff>324969</xdr:colOff>
      <xdr:row>14</xdr:row>
      <xdr:rowOff>299758</xdr:rowOff>
    </xdr:to>
    <xdr:sp macro="[0]!Deshace_Aplic_Nunca" textlink="">
      <xdr:nvSpPr>
        <xdr:cNvPr id="33" name="32 Rectángulo redondeado">
          <a:extLst>
            <a:ext uri="{FF2B5EF4-FFF2-40B4-BE49-F238E27FC236}">
              <a16:creationId xmlns:a16="http://schemas.microsoft.com/office/drawing/2014/main" id="{00000000-0008-0000-0200-000021000000}"/>
            </a:ext>
          </a:extLst>
        </xdr:cNvPr>
        <xdr:cNvSpPr/>
      </xdr:nvSpPr>
      <xdr:spPr bwMode="auto">
        <a:xfrm>
          <a:off x="13458264" y="5401235"/>
          <a:ext cx="1199029" cy="288552"/>
        </a:xfrm>
        <a:prstGeom prst="roundRect">
          <a:avLst/>
        </a:prstGeom>
        <a:ln>
          <a:headEnd type="none" w="med" len="med"/>
          <a:tailEnd type="none" w="med" len="med"/>
        </a:ln>
      </xdr:spPr>
      <xdr:style>
        <a:lnRef idx="0">
          <a:schemeClr val="accent6"/>
        </a:lnRef>
        <a:fillRef idx="3">
          <a:schemeClr val="accent6"/>
        </a:fillRef>
        <a:effectRef idx="3">
          <a:schemeClr val="accent6"/>
        </a:effectRef>
        <a:fontRef idx="minor">
          <a:schemeClr val="lt1"/>
        </a:fontRef>
      </xdr:style>
      <xdr:txBody>
        <a:bodyPr vertOverflow="clip" wrap="square" lIns="18288" tIns="0" rIns="0" bIns="0" rtlCol="0" anchor="ctr" upright="1"/>
        <a:lstStyle/>
        <a:p>
          <a:pPr algn="ctr"/>
          <a:r>
            <a:rPr lang="es-PE" sz="1100" b="1"/>
            <a:t>Deshacer</a:t>
          </a:r>
          <a:r>
            <a:rPr lang="es-PE" sz="1100" b="1" baseline="0"/>
            <a:t> selección</a:t>
          </a:r>
          <a:endParaRPr lang="es-PE" sz="1100" b="1"/>
        </a:p>
      </xdr:txBody>
    </xdr:sp>
    <xdr:clientData/>
  </xdr:twoCellAnchor>
  <xdr:twoCellAnchor>
    <xdr:from>
      <xdr:col>8</xdr:col>
      <xdr:colOff>133350</xdr:colOff>
      <xdr:row>16</xdr:row>
      <xdr:rowOff>0</xdr:rowOff>
    </xdr:from>
    <xdr:to>
      <xdr:col>10</xdr:col>
      <xdr:colOff>323850</xdr:colOff>
      <xdr:row>20</xdr:row>
      <xdr:rowOff>9525</xdr:rowOff>
    </xdr:to>
    <xdr:sp macro="[0]!Oculta_Todo" textlink="">
      <xdr:nvSpPr>
        <xdr:cNvPr id="42775" name="30 Rectángulo redondeado">
          <a:extLst>
            <a:ext uri="{FF2B5EF4-FFF2-40B4-BE49-F238E27FC236}">
              <a16:creationId xmlns:a16="http://schemas.microsoft.com/office/drawing/2014/main" id="{00000000-0008-0000-0200-000017A70000}"/>
            </a:ext>
          </a:extLst>
        </xdr:cNvPr>
        <xdr:cNvSpPr>
          <a:spLocks noChangeArrowheads="1"/>
        </xdr:cNvSpPr>
      </xdr:nvSpPr>
      <xdr:spPr bwMode="auto">
        <a:xfrm>
          <a:off x="13458825" y="5476875"/>
          <a:ext cx="1200150" cy="962025"/>
        </a:xfrm>
        <a:prstGeom prst="roundRect">
          <a:avLst>
            <a:gd name="adj" fmla="val 16667"/>
          </a:avLst>
        </a:prstGeom>
        <a:gradFill rotWithShape="1">
          <a:gsLst>
            <a:gs pos="0">
              <a:srgbClr val="5D417E"/>
            </a:gs>
            <a:gs pos="80000">
              <a:srgbClr val="7B58A6"/>
            </a:gs>
            <a:gs pos="100000">
              <a:srgbClr val="7B57A8"/>
            </a:gs>
          </a:gsLst>
          <a:lin ang="16200000"/>
        </a:gradFill>
        <a:ln w="9525">
          <a:noFill/>
          <a:round/>
          <a:headEnd/>
          <a:tailEnd/>
        </a:ln>
        <a:effectLst>
          <a:outerShdw dist="23000" dir="5400000" rotWithShape="0">
            <a:srgbClr val="000000">
              <a:alpha val="34999"/>
            </a:srgbClr>
          </a:outerShdw>
        </a:effectLst>
      </xdr:spPr>
      <xdr:txBody>
        <a:bodyPr vertOverflow="clip" wrap="square" lIns="18288" tIns="0" rIns="0" bIns="0" anchor="ctr" upright="1"/>
        <a:lstStyle/>
        <a:p>
          <a:pPr algn="ctr" rtl="0">
            <a:defRPr sz="1000"/>
          </a:pPr>
          <a:r>
            <a:rPr lang="es-PE" sz="1800" b="1" i="0" u="none" strike="noStrike" baseline="0">
              <a:solidFill>
                <a:srgbClr val="FFFFFF"/>
              </a:solidFill>
              <a:latin typeface="Calibri"/>
            </a:rPr>
            <a:t>Oculta todo</a:t>
          </a:r>
        </a:p>
      </xdr:txBody>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15</xdr:row>
          <xdr:rowOff>9525</xdr:rowOff>
        </xdr:from>
        <xdr:to>
          <xdr:col>7</xdr:col>
          <xdr:colOff>7381875</xdr:colOff>
          <xdr:row>15</xdr:row>
          <xdr:rowOff>219075</xdr:rowOff>
        </xdr:to>
        <xdr:sp macro="" textlink="">
          <xdr:nvSpPr>
            <xdr:cNvPr id="188418" name="ComboBox2" hidden="1">
              <a:extLst>
                <a:ext uri="{63B3BB69-23CF-44E3-9099-C40C66FF867C}">
                  <a14:compatExt spid="_x0000_s188418"/>
                </a:ext>
                <a:ext uri="{FF2B5EF4-FFF2-40B4-BE49-F238E27FC236}">
                  <a16:creationId xmlns:a16="http://schemas.microsoft.com/office/drawing/2014/main" id="{00000000-0008-0000-1800-000002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9525</xdr:rowOff>
        </xdr:from>
        <xdr:to>
          <xdr:col>7</xdr:col>
          <xdr:colOff>7381875</xdr:colOff>
          <xdr:row>16</xdr:row>
          <xdr:rowOff>219075</xdr:rowOff>
        </xdr:to>
        <xdr:sp macro="" textlink="">
          <xdr:nvSpPr>
            <xdr:cNvPr id="188419" name="ComboBox3" hidden="1">
              <a:extLst>
                <a:ext uri="{63B3BB69-23CF-44E3-9099-C40C66FF867C}">
                  <a14:compatExt spid="_x0000_s188419"/>
                </a:ext>
                <a:ext uri="{FF2B5EF4-FFF2-40B4-BE49-F238E27FC236}">
                  <a16:creationId xmlns:a16="http://schemas.microsoft.com/office/drawing/2014/main" id="{00000000-0008-0000-1800-000003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9525</xdr:rowOff>
        </xdr:from>
        <xdr:to>
          <xdr:col>7</xdr:col>
          <xdr:colOff>7381875</xdr:colOff>
          <xdr:row>14</xdr:row>
          <xdr:rowOff>219075</xdr:rowOff>
        </xdr:to>
        <xdr:sp macro="" textlink="">
          <xdr:nvSpPr>
            <xdr:cNvPr id="188420" name="ComboBox1" hidden="1">
              <a:extLst>
                <a:ext uri="{63B3BB69-23CF-44E3-9099-C40C66FF867C}">
                  <a14:compatExt spid="_x0000_s188420"/>
                </a:ext>
                <a:ext uri="{FF2B5EF4-FFF2-40B4-BE49-F238E27FC236}">
                  <a16:creationId xmlns:a16="http://schemas.microsoft.com/office/drawing/2014/main" id="{00000000-0008-0000-1800-000004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9525</xdr:rowOff>
        </xdr:from>
        <xdr:to>
          <xdr:col>7</xdr:col>
          <xdr:colOff>7381875</xdr:colOff>
          <xdr:row>17</xdr:row>
          <xdr:rowOff>219075</xdr:rowOff>
        </xdr:to>
        <xdr:sp macro="" textlink="">
          <xdr:nvSpPr>
            <xdr:cNvPr id="188421" name="ComboBox4" hidden="1">
              <a:extLst>
                <a:ext uri="{63B3BB69-23CF-44E3-9099-C40C66FF867C}">
                  <a14:compatExt spid="_x0000_s188421"/>
                </a:ext>
                <a:ext uri="{FF2B5EF4-FFF2-40B4-BE49-F238E27FC236}">
                  <a16:creationId xmlns:a16="http://schemas.microsoft.com/office/drawing/2014/main" id="{00000000-0008-0000-1800-000005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9525</xdr:rowOff>
        </xdr:from>
        <xdr:to>
          <xdr:col>7</xdr:col>
          <xdr:colOff>7381875</xdr:colOff>
          <xdr:row>18</xdr:row>
          <xdr:rowOff>219075</xdr:rowOff>
        </xdr:to>
        <xdr:sp macro="" textlink="">
          <xdr:nvSpPr>
            <xdr:cNvPr id="188422" name="ComboBox5" hidden="1">
              <a:extLst>
                <a:ext uri="{63B3BB69-23CF-44E3-9099-C40C66FF867C}">
                  <a14:compatExt spid="_x0000_s188422"/>
                </a:ext>
                <a:ext uri="{FF2B5EF4-FFF2-40B4-BE49-F238E27FC236}">
                  <a16:creationId xmlns:a16="http://schemas.microsoft.com/office/drawing/2014/main" id="{00000000-0008-0000-1800-000006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xdr:row>
          <xdr:rowOff>9525</xdr:rowOff>
        </xdr:from>
        <xdr:to>
          <xdr:col>7</xdr:col>
          <xdr:colOff>7381875</xdr:colOff>
          <xdr:row>19</xdr:row>
          <xdr:rowOff>219075</xdr:rowOff>
        </xdr:to>
        <xdr:sp macro="" textlink="">
          <xdr:nvSpPr>
            <xdr:cNvPr id="188423" name="ComboBox6" hidden="1">
              <a:extLst>
                <a:ext uri="{63B3BB69-23CF-44E3-9099-C40C66FF867C}">
                  <a14:compatExt spid="_x0000_s188423"/>
                </a:ext>
                <a:ext uri="{FF2B5EF4-FFF2-40B4-BE49-F238E27FC236}">
                  <a16:creationId xmlns:a16="http://schemas.microsoft.com/office/drawing/2014/main" id="{00000000-0008-0000-1800-000007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9525</xdr:rowOff>
        </xdr:from>
        <xdr:to>
          <xdr:col>7</xdr:col>
          <xdr:colOff>7381875</xdr:colOff>
          <xdr:row>20</xdr:row>
          <xdr:rowOff>219075</xdr:rowOff>
        </xdr:to>
        <xdr:sp macro="" textlink="">
          <xdr:nvSpPr>
            <xdr:cNvPr id="188424" name="ComboBox7" hidden="1">
              <a:extLst>
                <a:ext uri="{63B3BB69-23CF-44E3-9099-C40C66FF867C}">
                  <a14:compatExt spid="_x0000_s188424"/>
                </a:ext>
                <a:ext uri="{FF2B5EF4-FFF2-40B4-BE49-F238E27FC236}">
                  <a16:creationId xmlns:a16="http://schemas.microsoft.com/office/drawing/2014/main" id="{00000000-0008-0000-1800-000008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9525</xdr:rowOff>
        </xdr:from>
        <xdr:to>
          <xdr:col>7</xdr:col>
          <xdr:colOff>7381875</xdr:colOff>
          <xdr:row>21</xdr:row>
          <xdr:rowOff>219075</xdr:rowOff>
        </xdr:to>
        <xdr:sp macro="" textlink="">
          <xdr:nvSpPr>
            <xdr:cNvPr id="188425" name="ComboBox8" hidden="1">
              <a:extLst>
                <a:ext uri="{63B3BB69-23CF-44E3-9099-C40C66FF867C}">
                  <a14:compatExt spid="_x0000_s188425"/>
                </a:ext>
                <a:ext uri="{FF2B5EF4-FFF2-40B4-BE49-F238E27FC236}">
                  <a16:creationId xmlns:a16="http://schemas.microsoft.com/office/drawing/2014/main" id="{00000000-0008-0000-1800-000009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xdr:row>
          <xdr:rowOff>9525</xdr:rowOff>
        </xdr:from>
        <xdr:to>
          <xdr:col>7</xdr:col>
          <xdr:colOff>7381875</xdr:colOff>
          <xdr:row>22</xdr:row>
          <xdr:rowOff>219075</xdr:rowOff>
        </xdr:to>
        <xdr:sp macro="" textlink="">
          <xdr:nvSpPr>
            <xdr:cNvPr id="188426" name="ComboBox9" hidden="1">
              <a:extLst>
                <a:ext uri="{63B3BB69-23CF-44E3-9099-C40C66FF867C}">
                  <a14:compatExt spid="_x0000_s188426"/>
                </a:ext>
                <a:ext uri="{FF2B5EF4-FFF2-40B4-BE49-F238E27FC236}">
                  <a16:creationId xmlns:a16="http://schemas.microsoft.com/office/drawing/2014/main" id="{00000000-0008-0000-1800-00000A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xdr:row>
          <xdr:rowOff>9525</xdr:rowOff>
        </xdr:from>
        <xdr:to>
          <xdr:col>7</xdr:col>
          <xdr:colOff>7381875</xdr:colOff>
          <xdr:row>23</xdr:row>
          <xdr:rowOff>219075</xdr:rowOff>
        </xdr:to>
        <xdr:sp macro="" textlink="">
          <xdr:nvSpPr>
            <xdr:cNvPr id="188427" name="ComboBox10" hidden="1">
              <a:extLst>
                <a:ext uri="{63B3BB69-23CF-44E3-9099-C40C66FF867C}">
                  <a14:compatExt spid="_x0000_s188427"/>
                </a:ext>
                <a:ext uri="{FF2B5EF4-FFF2-40B4-BE49-F238E27FC236}">
                  <a16:creationId xmlns:a16="http://schemas.microsoft.com/office/drawing/2014/main" id="{00000000-0008-0000-1800-00000B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9525</xdr:rowOff>
        </xdr:from>
        <xdr:to>
          <xdr:col>7</xdr:col>
          <xdr:colOff>7381875</xdr:colOff>
          <xdr:row>26</xdr:row>
          <xdr:rowOff>219075</xdr:rowOff>
        </xdr:to>
        <xdr:sp macro="" textlink="">
          <xdr:nvSpPr>
            <xdr:cNvPr id="188428" name="ComboBox11" hidden="1">
              <a:extLst>
                <a:ext uri="{63B3BB69-23CF-44E3-9099-C40C66FF867C}">
                  <a14:compatExt spid="_x0000_s188428"/>
                </a:ext>
                <a:ext uri="{FF2B5EF4-FFF2-40B4-BE49-F238E27FC236}">
                  <a16:creationId xmlns:a16="http://schemas.microsoft.com/office/drawing/2014/main" id="{00000000-0008-0000-1800-00000C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xdr:row>
          <xdr:rowOff>9525</xdr:rowOff>
        </xdr:from>
        <xdr:to>
          <xdr:col>7</xdr:col>
          <xdr:colOff>7381875</xdr:colOff>
          <xdr:row>27</xdr:row>
          <xdr:rowOff>219075</xdr:rowOff>
        </xdr:to>
        <xdr:sp macro="" textlink="">
          <xdr:nvSpPr>
            <xdr:cNvPr id="188429" name="ComboBox12" hidden="1">
              <a:extLst>
                <a:ext uri="{63B3BB69-23CF-44E3-9099-C40C66FF867C}">
                  <a14:compatExt spid="_x0000_s188429"/>
                </a:ext>
                <a:ext uri="{FF2B5EF4-FFF2-40B4-BE49-F238E27FC236}">
                  <a16:creationId xmlns:a16="http://schemas.microsoft.com/office/drawing/2014/main" id="{00000000-0008-0000-1800-00000D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xdr:row>
          <xdr:rowOff>9525</xdr:rowOff>
        </xdr:from>
        <xdr:to>
          <xdr:col>7</xdr:col>
          <xdr:colOff>7381875</xdr:colOff>
          <xdr:row>28</xdr:row>
          <xdr:rowOff>219075</xdr:rowOff>
        </xdr:to>
        <xdr:sp macro="" textlink="">
          <xdr:nvSpPr>
            <xdr:cNvPr id="188430" name="ComboBox13" hidden="1">
              <a:extLst>
                <a:ext uri="{63B3BB69-23CF-44E3-9099-C40C66FF867C}">
                  <a14:compatExt spid="_x0000_s188430"/>
                </a:ext>
                <a:ext uri="{FF2B5EF4-FFF2-40B4-BE49-F238E27FC236}">
                  <a16:creationId xmlns:a16="http://schemas.microsoft.com/office/drawing/2014/main" id="{00000000-0008-0000-1800-00000E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9525</xdr:rowOff>
        </xdr:from>
        <xdr:to>
          <xdr:col>7</xdr:col>
          <xdr:colOff>7381875</xdr:colOff>
          <xdr:row>29</xdr:row>
          <xdr:rowOff>219075</xdr:rowOff>
        </xdr:to>
        <xdr:sp macro="" textlink="">
          <xdr:nvSpPr>
            <xdr:cNvPr id="188431" name="ComboBox14" hidden="1">
              <a:extLst>
                <a:ext uri="{63B3BB69-23CF-44E3-9099-C40C66FF867C}">
                  <a14:compatExt spid="_x0000_s188431"/>
                </a:ext>
                <a:ext uri="{FF2B5EF4-FFF2-40B4-BE49-F238E27FC236}">
                  <a16:creationId xmlns:a16="http://schemas.microsoft.com/office/drawing/2014/main" id="{00000000-0008-0000-1800-00000F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xdr:row>
          <xdr:rowOff>9525</xdr:rowOff>
        </xdr:from>
        <xdr:to>
          <xdr:col>7</xdr:col>
          <xdr:colOff>7381875</xdr:colOff>
          <xdr:row>30</xdr:row>
          <xdr:rowOff>219075</xdr:rowOff>
        </xdr:to>
        <xdr:sp macro="" textlink="">
          <xdr:nvSpPr>
            <xdr:cNvPr id="188432" name="ComboBox15" hidden="1">
              <a:extLst>
                <a:ext uri="{63B3BB69-23CF-44E3-9099-C40C66FF867C}">
                  <a14:compatExt spid="_x0000_s188432"/>
                </a:ext>
                <a:ext uri="{FF2B5EF4-FFF2-40B4-BE49-F238E27FC236}">
                  <a16:creationId xmlns:a16="http://schemas.microsoft.com/office/drawing/2014/main" id="{00000000-0008-0000-1800-000010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9525</xdr:rowOff>
        </xdr:from>
        <xdr:to>
          <xdr:col>7</xdr:col>
          <xdr:colOff>7381875</xdr:colOff>
          <xdr:row>31</xdr:row>
          <xdr:rowOff>219075</xdr:rowOff>
        </xdr:to>
        <xdr:sp macro="" textlink="">
          <xdr:nvSpPr>
            <xdr:cNvPr id="188433" name="ComboBox16" hidden="1">
              <a:extLst>
                <a:ext uri="{63B3BB69-23CF-44E3-9099-C40C66FF867C}">
                  <a14:compatExt spid="_x0000_s188433"/>
                </a:ext>
                <a:ext uri="{FF2B5EF4-FFF2-40B4-BE49-F238E27FC236}">
                  <a16:creationId xmlns:a16="http://schemas.microsoft.com/office/drawing/2014/main" id="{00000000-0008-0000-1800-000011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9525</xdr:rowOff>
        </xdr:from>
        <xdr:to>
          <xdr:col>7</xdr:col>
          <xdr:colOff>7381875</xdr:colOff>
          <xdr:row>32</xdr:row>
          <xdr:rowOff>219075</xdr:rowOff>
        </xdr:to>
        <xdr:sp macro="" textlink="">
          <xdr:nvSpPr>
            <xdr:cNvPr id="188434" name="ComboBox17" hidden="1">
              <a:extLst>
                <a:ext uri="{63B3BB69-23CF-44E3-9099-C40C66FF867C}">
                  <a14:compatExt spid="_x0000_s188434"/>
                </a:ext>
                <a:ext uri="{FF2B5EF4-FFF2-40B4-BE49-F238E27FC236}">
                  <a16:creationId xmlns:a16="http://schemas.microsoft.com/office/drawing/2014/main" id="{00000000-0008-0000-1800-000012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9525</xdr:rowOff>
        </xdr:from>
        <xdr:to>
          <xdr:col>7</xdr:col>
          <xdr:colOff>7381875</xdr:colOff>
          <xdr:row>33</xdr:row>
          <xdr:rowOff>219075</xdr:rowOff>
        </xdr:to>
        <xdr:sp macro="" textlink="">
          <xdr:nvSpPr>
            <xdr:cNvPr id="188435" name="ComboBox18" hidden="1">
              <a:extLst>
                <a:ext uri="{63B3BB69-23CF-44E3-9099-C40C66FF867C}">
                  <a14:compatExt spid="_x0000_s188435"/>
                </a:ext>
                <a:ext uri="{FF2B5EF4-FFF2-40B4-BE49-F238E27FC236}">
                  <a16:creationId xmlns:a16="http://schemas.microsoft.com/office/drawing/2014/main" id="{00000000-0008-0000-1800-000013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9525</xdr:rowOff>
        </xdr:from>
        <xdr:to>
          <xdr:col>7</xdr:col>
          <xdr:colOff>7381875</xdr:colOff>
          <xdr:row>34</xdr:row>
          <xdr:rowOff>219075</xdr:rowOff>
        </xdr:to>
        <xdr:sp macro="" textlink="">
          <xdr:nvSpPr>
            <xdr:cNvPr id="188436" name="ComboBox19" hidden="1">
              <a:extLst>
                <a:ext uri="{63B3BB69-23CF-44E3-9099-C40C66FF867C}">
                  <a14:compatExt spid="_x0000_s188436"/>
                </a:ext>
                <a:ext uri="{FF2B5EF4-FFF2-40B4-BE49-F238E27FC236}">
                  <a16:creationId xmlns:a16="http://schemas.microsoft.com/office/drawing/2014/main" id="{00000000-0008-0000-1800-000014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9525</xdr:rowOff>
        </xdr:from>
        <xdr:to>
          <xdr:col>7</xdr:col>
          <xdr:colOff>7381875</xdr:colOff>
          <xdr:row>35</xdr:row>
          <xdr:rowOff>219075</xdr:rowOff>
        </xdr:to>
        <xdr:sp macro="" textlink="">
          <xdr:nvSpPr>
            <xdr:cNvPr id="188437" name="ComboBox20" hidden="1">
              <a:extLst>
                <a:ext uri="{63B3BB69-23CF-44E3-9099-C40C66FF867C}">
                  <a14:compatExt spid="_x0000_s188437"/>
                </a:ext>
                <a:ext uri="{FF2B5EF4-FFF2-40B4-BE49-F238E27FC236}">
                  <a16:creationId xmlns:a16="http://schemas.microsoft.com/office/drawing/2014/main" id="{00000000-0008-0000-1800-000015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9525</xdr:rowOff>
        </xdr:from>
        <xdr:to>
          <xdr:col>7</xdr:col>
          <xdr:colOff>7381875</xdr:colOff>
          <xdr:row>38</xdr:row>
          <xdr:rowOff>219075</xdr:rowOff>
        </xdr:to>
        <xdr:sp macro="" textlink="">
          <xdr:nvSpPr>
            <xdr:cNvPr id="188438" name="ComboBox21" hidden="1">
              <a:extLst>
                <a:ext uri="{63B3BB69-23CF-44E3-9099-C40C66FF867C}">
                  <a14:compatExt spid="_x0000_s188438"/>
                </a:ext>
                <a:ext uri="{FF2B5EF4-FFF2-40B4-BE49-F238E27FC236}">
                  <a16:creationId xmlns:a16="http://schemas.microsoft.com/office/drawing/2014/main" id="{00000000-0008-0000-1800-000016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xdr:row>
          <xdr:rowOff>9525</xdr:rowOff>
        </xdr:from>
        <xdr:to>
          <xdr:col>7</xdr:col>
          <xdr:colOff>7381875</xdr:colOff>
          <xdr:row>39</xdr:row>
          <xdr:rowOff>219075</xdr:rowOff>
        </xdr:to>
        <xdr:sp macro="" textlink="">
          <xdr:nvSpPr>
            <xdr:cNvPr id="188439" name="ComboBox22" hidden="1">
              <a:extLst>
                <a:ext uri="{63B3BB69-23CF-44E3-9099-C40C66FF867C}">
                  <a14:compatExt spid="_x0000_s188439"/>
                </a:ext>
                <a:ext uri="{FF2B5EF4-FFF2-40B4-BE49-F238E27FC236}">
                  <a16:creationId xmlns:a16="http://schemas.microsoft.com/office/drawing/2014/main" id="{00000000-0008-0000-1800-000017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40</xdr:row>
          <xdr:rowOff>9525</xdr:rowOff>
        </xdr:from>
        <xdr:to>
          <xdr:col>7</xdr:col>
          <xdr:colOff>7381875</xdr:colOff>
          <xdr:row>40</xdr:row>
          <xdr:rowOff>219075</xdr:rowOff>
        </xdr:to>
        <xdr:sp macro="" textlink="">
          <xdr:nvSpPr>
            <xdr:cNvPr id="188440" name="ComboBox23" hidden="1">
              <a:extLst>
                <a:ext uri="{63B3BB69-23CF-44E3-9099-C40C66FF867C}">
                  <a14:compatExt spid="_x0000_s188440"/>
                </a:ext>
                <a:ext uri="{FF2B5EF4-FFF2-40B4-BE49-F238E27FC236}">
                  <a16:creationId xmlns:a16="http://schemas.microsoft.com/office/drawing/2014/main" id="{00000000-0008-0000-1800-000018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9525</xdr:rowOff>
        </xdr:from>
        <xdr:to>
          <xdr:col>7</xdr:col>
          <xdr:colOff>7381875</xdr:colOff>
          <xdr:row>41</xdr:row>
          <xdr:rowOff>219075</xdr:rowOff>
        </xdr:to>
        <xdr:sp macro="" textlink="">
          <xdr:nvSpPr>
            <xdr:cNvPr id="188441" name="ComboBox24" hidden="1">
              <a:extLst>
                <a:ext uri="{63B3BB69-23CF-44E3-9099-C40C66FF867C}">
                  <a14:compatExt spid="_x0000_s188441"/>
                </a:ext>
                <a:ext uri="{FF2B5EF4-FFF2-40B4-BE49-F238E27FC236}">
                  <a16:creationId xmlns:a16="http://schemas.microsoft.com/office/drawing/2014/main" id="{00000000-0008-0000-1800-000019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xdr:row>
          <xdr:rowOff>9525</xdr:rowOff>
        </xdr:from>
        <xdr:to>
          <xdr:col>7</xdr:col>
          <xdr:colOff>7381875</xdr:colOff>
          <xdr:row>42</xdr:row>
          <xdr:rowOff>219075</xdr:rowOff>
        </xdr:to>
        <xdr:sp macro="" textlink="">
          <xdr:nvSpPr>
            <xdr:cNvPr id="188442" name="ComboBox25" hidden="1">
              <a:extLst>
                <a:ext uri="{63B3BB69-23CF-44E3-9099-C40C66FF867C}">
                  <a14:compatExt spid="_x0000_s188442"/>
                </a:ext>
                <a:ext uri="{FF2B5EF4-FFF2-40B4-BE49-F238E27FC236}">
                  <a16:creationId xmlns:a16="http://schemas.microsoft.com/office/drawing/2014/main" id="{00000000-0008-0000-1800-00001A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43</xdr:row>
          <xdr:rowOff>9525</xdr:rowOff>
        </xdr:from>
        <xdr:to>
          <xdr:col>7</xdr:col>
          <xdr:colOff>7381875</xdr:colOff>
          <xdr:row>43</xdr:row>
          <xdr:rowOff>219075</xdr:rowOff>
        </xdr:to>
        <xdr:sp macro="" textlink="">
          <xdr:nvSpPr>
            <xdr:cNvPr id="188443" name="ComboBox26" hidden="1">
              <a:extLst>
                <a:ext uri="{63B3BB69-23CF-44E3-9099-C40C66FF867C}">
                  <a14:compatExt spid="_x0000_s188443"/>
                </a:ext>
                <a:ext uri="{FF2B5EF4-FFF2-40B4-BE49-F238E27FC236}">
                  <a16:creationId xmlns:a16="http://schemas.microsoft.com/office/drawing/2014/main" id="{00000000-0008-0000-1800-00001B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44</xdr:row>
          <xdr:rowOff>9525</xdr:rowOff>
        </xdr:from>
        <xdr:to>
          <xdr:col>7</xdr:col>
          <xdr:colOff>7381875</xdr:colOff>
          <xdr:row>44</xdr:row>
          <xdr:rowOff>219075</xdr:rowOff>
        </xdr:to>
        <xdr:sp macro="" textlink="">
          <xdr:nvSpPr>
            <xdr:cNvPr id="188444" name="ComboBox27" hidden="1">
              <a:extLst>
                <a:ext uri="{63B3BB69-23CF-44E3-9099-C40C66FF867C}">
                  <a14:compatExt spid="_x0000_s188444"/>
                </a:ext>
                <a:ext uri="{FF2B5EF4-FFF2-40B4-BE49-F238E27FC236}">
                  <a16:creationId xmlns:a16="http://schemas.microsoft.com/office/drawing/2014/main" id="{00000000-0008-0000-1800-00001C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xdr:row>
          <xdr:rowOff>9525</xdr:rowOff>
        </xdr:from>
        <xdr:to>
          <xdr:col>7</xdr:col>
          <xdr:colOff>7381875</xdr:colOff>
          <xdr:row>45</xdr:row>
          <xdr:rowOff>219075</xdr:rowOff>
        </xdr:to>
        <xdr:sp macro="" textlink="">
          <xdr:nvSpPr>
            <xdr:cNvPr id="188445" name="ComboBox28" hidden="1">
              <a:extLst>
                <a:ext uri="{63B3BB69-23CF-44E3-9099-C40C66FF867C}">
                  <a14:compatExt spid="_x0000_s188445"/>
                </a:ext>
                <a:ext uri="{FF2B5EF4-FFF2-40B4-BE49-F238E27FC236}">
                  <a16:creationId xmlns:a16="http://schemas.microsoft.com/office/drawing/2014/main" id="{00000000-0008-0000-1800-00001D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46</xdr:row>
          <xdr:rowOff>9525</xdr:rowOff>
        </xdr:from>
        <xdr:to>
          <xdr:col>7</xdr:col>
          <xdr:colOff>7381875</xdr:colOff>
          <xdr:row>46</xdr:row>
          <xdr:rowOff>219075</xdr:rowOff>
        </xdr:to>
        <xdr:sp macro="" textlink="">
          <xdr:nvSpPr>
            <xdr:cNvPr id="188446" name="ComboBox29" hidden="1">
              <a:extLst>
                <a:ext uri="{63B3BB69-23CF-44E3-9099-C40C66FF867C}">
                  <a14:compatExt spid="_x0000_s188446"/>
                </a:ext>
                <a:ext uri="{FF2B5EF4-FFF2-40B4-BE49-F238E27FC236}">
                  <a16:creationId xmlns:a16="http://schemas.microsoft.com/office/drawing/2014/main" id="{00000000-0008-0000-1800-00001E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9525</xdr:rowOff>
        </xdr:from>
        <xdr:to>
          <xdr:col>7</xdr:col>
          <xdr:colOff>7381875</xdr:colOff>
          <xdr:row>47</xdr:row>
          <xdr:rowOff>219075</xdr:rowOff>
        </xdr:to>
        <xdr:sp macro="" textlink="">
          <xdr:nvSpPr>
            <xdr:cNvPr id="188447" name="ComboBox30" hidden="1">
              <a:extLst>
                <a:ext uri="{63B3BB69-23CF-44E3-9099-C40C66FF867C}">
                  <a14:compatExt spid="_x0000_s188447"/>
                </a:ext>
                <a:ext uri="{FF2B5EF4-FFF2-40B4-BE49-F238E27FC236}">
                  <a16:creationId xmlns:a16="http://schemas.microsoft.com/office/drawing/2014/main" id="{00000000-0008-0000-1800-00001F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9525</xdr:rowOff>
        </xdr:from>
        <xdr:to>
          <xdr:col>7</xdr:col>
          <xdr:colOff>7381875</xdr:colOff>
          <xdr:row>50</xdr:row>
          <xdr:rowOff>219075</xdr:rowOff>
        </xdr:to>
        <xdr:sp macro="" textlink="">
          <xdr:nvSpPr>
            <xdr:cNvPr id="188448" name="ComboBox31" hidden="1">
              <a:extLst>
                <a:ext uri="{63B3BB69-23CF-44E3-9099-C40C66FF867C}">
                  <a14:compatExt spid="_x0000_s188448"/>
                </a:ext>
                <a:ext uri="{FF2B5EF4-FFF2-40B4-BE49-F238E27FC236}">
                  <a16:creationId xmlns:a16="http://schemas.microsoft.com/office/drawing/2014/main" id="{00000000-0008-0000-1800-000020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51</xdr:row>
          <xdr:rowOff>9525</xdr:rowOff>
        </xdr:from>
        <xdr:to>
          <xdr:col>7</xdr:col>
          <xdr:colOff>7381875</xdr:colOff>
          <xdr:row>51</xdr:row>
          <xdr:rowOff>219075</xdr:rowOff>
        </xdr:to>
        <xdr:sp macro="" textlink="">
          <xdr:nvSpPr>
            <xdr:cNvPr id="188449" name="ComboBox32" hidden="1">
              <a:extLst>
                <a:ext uri="{63B3BB69-23CF-44E3-9099-C40C66FF867C}">
                  <a14:compatExt spid="_x0000_s188449"/>
                </a:ext>
                <a:ext uri="{FF2B5EF4-FFF2-40B4-BE49-F238E27FC236}">
                  <a16:creationId xmlns:a16="http://schemas.microsoft.com/office/drawing/2014/main" id="{00000000-0008-0000-1800-000021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52</xdr:row>
          <xdr:rowOff>9525</xdr:rowOff>
        </xdr:from>
        <xdr:to>
          <xdr:col>7</xdr:col>
          <xdr:colOff>7381875</xdr:colOff>
          <xdr:row>52</xdr:row>
          <xdr:rowOff>219075</xdr:rowOff>
        </xdr:to>
        <xdr:sp macro="" textlink="">
          <xdr:nvSpPr>
            <xdr:cNvPr id="188450" name="ComboBox33" hidden="1">
              <a:extLst>
                <a:ext uri="{63B3BB69-23CF-44E3-9099-C40C66FF867C}">
                  <a14:compatExt spid="_x0000_s188450"/>
                </a:ext>
                <a:ext uri="{FF2B5EF4-FFF2-40B4-BE49-F238E27FC236}">
                  <a16:creationId xmlns:a16="http://schemas.microsoft.com/office/drawing/2014/main" id="{00000000-0008-0000-1800-000022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53</xdr:row>
          <xdr:rowOff>9525</xdr:rowOff>
        </xdr:from>
        <xdr:to>
          <xdr:col>7</xdr:col>
          <xdr:colOff>7381875</xdr:colOff>
          <xdr:row>53</xdr:row>
          <xdr:rowOff>219075</xdr:rowOff>
        </xdr:to>
        <xdr:sp macro="" textlink="">
          <xdr:nvSpPr>
            <xdr:cNvPr id="188451" name="ComboBox34" hidden="1">
              <a:extLst>
                <a:ext uri="{63B3BB69-23CF-44E3-9099-C40C66FF867C}">
                  <a14:compatExt spid="_x0000_s188451"/>
                </a:ext>
                <a:ext uri="{FF2B5EF4-FFF2-40B4-BE49-F238E27FC236}">
                  <a16:creationId xmlns:a16="http://schemas.microsoft.com/office/drawing/2014/main" id="{00000000-0008-0000-1800-000023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9525</xdr:rowOff>
        </xdr:from>
        <xdr:to>
          <xdr:col>7</xdr:col>
          <xdr:colOff>7381875</xdr:colOff>
          <xdr:row>54</xdr:row>
          <xdr:rowOff>219075</xdr:rowOff>
        </xdr:to>
        <xdr:sp macro="" textlink="">
          <xdr:nvSpPr>
            <xdr:cNvPr id="188452" name="ComboBox35" hidden="1">
              <a:extLst>
                <a:ext uri="{63B3BB69-23CF-44E3-9099-C40C66FF867C}">
                  <a14:compatExt spid="_x0000_s188452"/>
                </a:ext>
                <a:ext uri="{FF2B5EF4-FFF2-40B4-BE49-F238E27FC236}">
                  <a16:creationId xmlns:a16="http://schemas.microsoft.com/office/drawing/2014/main" id="{00000000-0008-0000-1800-000024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55</xdr:row>
          <xdr:rowOff>9525</xdr:rowOff>
        </xdr:from>
        <xdr:to>
          <xdr:col>7</xdr:col>
          <xdr:colOff>7381875</xdr:colOff>
          <xdr:row>55</xdr:row>
          <xdr:rowOff>219075</xdr:rowOff>
        </xdr:to>
        <xdr:sp macro="" textlink="">
          <xdr:nvSpPr>
            <xdr:cNvPr id="188453" name="ComboBox36" hidden="1">
              <a:extLst>
                <a:ext uri="{63B3BB69-23CF-44E3-9099-C40C66FF867C}">
                  <a14:compatExt spid="_x0000_s188453"/>
                </a:ext>
                <a:ext uri="{FF2B5EF4-FFF2-40B4-BE49-F238E27FC236}">
                  <a16:creationId xmlns:a16="http://schemas.microsoft.com/office/drawing/2014/main" id="{00000000-0008-0000-1800-000025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56</xdr:row>
          <xdr:rowOff>9525</xdr:rowOff>
        </xdr:from>
        <xdr:to>
          <xdr:col>7</xdr:col>
          <xdr:colOff>7381875</xdr:colOff>
          <xdr:row>56</xdr:row>
          <xdr:rowOff>219075</xdr:rowOff>
        </xdr:to>
        <xdr:sp macro="" textlink="">
          <xdr:nvSpPr>
            <xdr:cNvPr id="188454" name="ComboBox37" hidden="1">
              <a:extLst>
                <a:ext uri="{63B3BB69-23CF-44E3-9099-C40C66FF867C}">
                  <a14:compatExt spid="_x0000_s188454"/>
                </a:ext>
                <a:ext uri="{FF2B5EF4-FFF2-40B4-BE49-F238E27FC236}">
                  <a16:creationId xmlns:a16="http://schemas.microsoft.com/office/drawing/2014/main" id="{00000000-0008-0000-1800-000026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9525</xdr:rowOff>
        </xdr:from>
        <xdr:to>
          <xdr:col>7</xdr:col>
          <xdr:colOff>7381875</xdr:colOff>
          <xdr:row>57</xdr:row>
          <xdr:rowOff>219075</xdr:rowOff>
        </xdr:to>
        <xdr:sp macro="" textlink="">
          <xdr:nvSpPr>
            <xdr:cNvPr id="188455" name="ComboBox38" hidden="1">
              <a:extLst>
                <a:ext uri="{63B3BB69-23CF-44E3-9099-C40C66FF867C}">
                  <a14:compatExt spid="_x0000_s188455"/>
                </a:ext>
                <a:ext uri="{FF2B5EF4-FFF2-40B4-BE49-F238E27FC236}">
                  <a16:creationId xmlns:a16="http://schemas.microsoft.com/office/drawing/2014/main" id="{00000000-0008-0000-1800-000027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9525</xdr:rowOff>
        </xdr:from>
        <xdr:to>
          <xdr:col>7</xdr:col>
          <xdr:colOff>7381875</xdr:colOff>
          <xdr:row>58</xdr:row>
          <xdr:rowOff>219075</xdr:rowOff>
        </xdr:to>
        <xdr:sp macro="" textlink="">
          <xdr:nvSpPr>
            <xdr:cNvPr id="188456" name="ComboBox39" hidden="1">
              <a:extLst>
                <a:ext uri="{63B3BB69-23CF-44E3-9099-C40C66FF867C}">
                  <a14:compatExt spid="_x0000_s188456"/>
                </a:ext>
                <a:ext uri="{FF2B5EF4-FFF2-40B4-BE49-F238E27FC236}">
                  <a16:creationId xmlns:a16="http://schemas.microsoft.com/office/drawing/2014/main" id="{00000000-0008-0000-1800-000028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9525</xdr:rowOff>
        </xdr:from>
        <xdr:to>
          <xdr:col>7</xdr:col>
          <xdr:colOff>7381875</xdr:colOff>
          <xdr:row>59</xdr:row>
          <xdr:rowOff>219075</xdr:rowOff>
        </xdr:to>
        <xdr:sp macro="" textlink="">
          <xdr:nvSpPr>
            <xdr:cNvPr id="188457" name="ComboBox40" hidden="1">
              <a:extLst>
                <a:ext uri="{63B3BB69-23CF-44E3-9099-C40C66FF867C}">
                  <a14:compatExt spid="_x0000_s188457"/>
                </a:ext>
                <a:ext uri="{FF2B5EF4-FFF2-40B4-BE49-F238E27FC236}">
                  <a16:creationId xmlns:a16="http://schemas.microsoft.com/office/drawing/2014/main" id="{00000000-0008-0000-1800-000029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9525</xdr:rowOff>
        </xdr:from>
        <xdr:to>
          <xdr:col>7</xdr:col>
          <xdr:colOff>7381875</xdr:colOff>
          <xdr:row>72</xdr:row>
          <xdr:rowOff>219075</xdr:rowOff>
        </xdr:to>
        <xdr:sp macro="" textlink="">
          <xdr:nvSpPr>
            <xdr:cNvPr id="188458" name="ComboBox41" hidden="1">
              <a:extLst>
                <a:ext uri="{63B3BB69-23CF-44E3-9099-C40C66FF867C}">
                  <a14:compatExt spid="_x0000_s188458"/>
                </a:ext>
                <a:ext uri="{FF2B5EF4-FFF2-40B4-BE49-F238E27FC236}">
                  <a16:creationId xmlns:a16="http://schemas.microsoft.com/office/drawing/2014/main" id="{00000000-0008-0000-1800-00002A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9525</xdr:rowOff>
        </xdr:from>
        <xdr:to>
          <xdr:col>7</xdr:col>
          <xdr:colOff>7381875</xdr:colOff>
          <xdr:row>73</xdr:row>
          <xdr:rowOff>219075</xdr:rowOff>
        </xdr:to>
        <xdr:sp macro="" textlink="">
          <xdr:nvSpPr>
            <xdr:cNvPr id="188459" name="ComboBox42" hidden="1">
              <a:extLst>
                <a:ext uri="{63B3BB69-23CF-44E3-9099-C40C66FF867C}">
                  <a14:compatExt spid="_x0000_s188459"/>
                </a:ext>
                <a:ext uri="{FF2B5EF4-FFF2-40B4-BE49-F238E27FC236}">
                  <a16:creationId xmlns:a16="http://schemas.microsoft.com/office/drawing/2014/main" id="{00000000-0008-0000-1800-00002B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9525</xdr:rowOff>
        </xdr:from>
        <xdr:to>
          <xdr:col>7</xdr:col>
          <xdr:colOff>7381875</xdr:colOff>
          <xdr:row>74</xdr:row>
          <xdr:rowOff>219075</xdr:rowOff>
        </xdr:to>
        <xdr:sp macro="" textlink="">
          <xdr:nvSpPr>
            <xdr:cNvPr id="188460" name="ComboBox43" hidden="1">
              <a:extLst>
                <a:ext uri="{63B3BB69-23CF-44E3-9099-C40C66FF867C}">
                  <a14:compatExt spid="_x0000_s188460"/>
                </a:ext>
                <a:ext uri="{FF2B5EF4-FFF2-40B4-BE49-F238E27FC236}">
                  <a16:creationId xmlns:a16="http://schemas.microsoft.com/office/drawing/2014/main" id="{00000000-0008-0000-1800-00002C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9525</xdr:rowOff>
        </xdr:from>
        <xdr:to>
          <xdr:col>7</xdr:col>
          <xdr:colOff>7381875</xdr:colOff>
          <xdr:row>75</xdr:row>
          <xdr:rowOff>219075</xdr:rowOff>
        </xdr:to>
        <xdr:sp macro="" textlink="">
          <xdr:nvSpPr>
            <xdr:cNvPr id="188461" name="ComboBox44" hidden="1">
              <a:extLst>
                <a:ext uri="{63B3BB69-23CF-44E3-9099-C40C66FF867C}">
                  <a14:compatExt spid="_x0000_s188461"/>
                </a:ext>
                <a:ext uri="{FF2B5EF4-FFF2-40B4-BE49-F238E27FC236}">
                  <a16:creationId xmlns:a16="http://schemas.microsoft.com/office/drawing/2014/main" id="{00000000-0008-0000-1800-00002D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9525</xdr:rowOff>
        </xdr:from>
        <xdr:to>
          <xdr:col>7</xdr:col>
          <xdr:colOff>7381875</xdr:colOff>
          <xdr:row>76</xdr:row>
          <xdr:rowOff>219075</xdr:rowOff>
        </xdr:to>
        <xdr:sp macro="" textlink="">
          <xdr:nvSpPr>
            <xdr:cNvPr id="188462" name="ComboBox45" hidden="1">
              <a:extLst>
                <a:ext uri="{63B3BB69-23CF-44E3-9099-C40C66FF867C}">
                  <a14:compatExt spid="_x0000_s188462"/>
                </a:ext>
                <a:ext uri="{FF2B5EF4-FFF2-40B4-BE49-F238E27FC236}">
                  <a16:creationId xmlns:a16="http://schemas.microsoft.com/office/drawing/2014/main" id="{00000000-0008-0000-1800-00002E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9525</xdr:rowOff>
        </xdr:from>
        <xdr:to>
          <xdr:col>7</xdr:col>
          <xdr:colOff>7381875</xdr:colOff>
          <xdr:row>77</xdr:row>
          <xdr:rowOff>219075</xdr:rowOff>
        </xdr:to>
        <xdr:sp macro="" textlink="">
          <xdr:nvSpPr>
            <xdr:cNvPr id="188463" name="ComboBox46" hidden="1">
              <a:extLst>
                <a:ext uri="{63B3BB69-23CF-44E3-9099-C40C66FF867C}">
                  <a14:compatExt spid="_x0000_s188463"/>
                </a:ext>
                <a:ext uri="{FF2B5EF4-FFF2-40B4-BE49-F238E27FC236}">
                  <a16:creationId xmlns:a16="http://schemas.microsoft.com/office/drawing/2014/main" id="{00000000-0008-0000-1800-00002F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9525</xdr:rowOff>
        </xdr:from>
        <xdr:to>
          <xdr:col>7</xdr:col>
          <xdr:colOff>7381875</xdr:colOff>
          <xdr:row>78</xdr:row>
          <xdr:rowOff>219075</xdr:rowOff>
        </xdr:to>
        <xdr:sp macro="" textlink="">
          <xdr:nvSpPr>
            <xdr:cNvPr id="188464" name="ComboBox47" hidden="1">
              <a:extLst>
                <a:ext uri="{63B3BB69-23CF-44E3-9099-C40C66FF867C}">
                  <a14:compatExt spid="_x0000_s188464"/>
                </a:ext>
                <a:ext uri="{FF2B5EF4-FFF2-40B4-BE49-F238E27FC236}">
                  <a16:creationId xmlns:a16="http://schemas.microsoft.com/office/drawing/2014/main" id="{00000000-0008-0000-1800-000030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9525</xdr:rowOff>
        </xdr:from>
        <xdr:to>
          <xdr:col>7</xdr:col>
          <xdr:colOff>7381875</xdr:colOff>
          <xdr:row>79</xdr:row>
          <xdr:rowOff>219075</xdr:rowOff>
        </xdr:to>
        <xdr:sp macro="" textlink="">
          <xdr:nvSpPr>
            <xdr:cNvPr id="188465" name="ComboBox48" hidden="1">
              <a:extLst>
                <a:ext uri="{63B3BB69-23CF-44E3-9099-C40C66FF867C}">
                  <a14:compatExt spid="_x0000_s188465"/>
                </a:ext>
                <a:ext uri="{FF2B5EF4-FFF2-40B4-BE49-F238E27FC236}">
                  <a16:creationId xmlns:a16="http://schemas.microsoft.com/office/drawing/2014/main" id="{00000000-0008-0000-1800-000031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9525</xdr:rowOff>
        </xdr:from>
        <xdr:to>
          <xdr:col>7</xdr:col>
          <xdr:colOff>7381875</xdr:colOff>
          <xdr:row>80</xdr:row>
          <xdr:rowOff>219075</xdr:rowOff>
        </xdr:to>
        <xdr:sp macro="" textlink="">
          <xdr:nvSpPr>
            <xdr:cNvPr id="188466" name="ComboBox49" hidden="1">
              <a:extLst>
                <a:ext uri="{63B3BB69-23CF-44E3-9099-C40C66FF867C}">
                  <a14:compatExt spid="_x0000_s188466"/>
                </a:ext>
                <a:ext uri="{FF2B5EF4-FFF2-40B4-BE49-F238E27FC236}">
                  <a16:creationId xmlns:a16="http://schemas.microsoft.com/office/drawing/2014/main" id="{00000000-0008-0000-1800-000032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9525</xdr:rowOff>
        </xdr:from>
        <xdr:to>
          <xdr:col>7</xdr:col>
          <xdr:colOff>7381875</xdr:colOff>
          <xdr:row>81</xdr:row>
          <xdr:rowOff>219075</xdr:rowOff>
        </xdr:to>
        <xdr:sp macro="" textlink="">
          <xdr:nvSpPr>
            <xdr:cNvPr id="188467" name="ComboBox50" hidden="1">
              <a:extLst>
                <a:ext uri="{63B3BB69-23CF-44E3-9099-C40C66FF867C}">
                  <a14:compatExt spid="_x0000_s188467"/>
                </a:ext>
                <a:ext uri="{FF2B5EF4-FFF2-40B4-BE49-F238E27FC236}">
                  <a16:creationId xmlns:a16="http://schemas.microsoft.com/office/drawing/2014/main" id="{00000000-0008-0000-1800-000033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9525</xdr:rowOff>
        </xdr:from>
        <xdr:to>
          <xdr:col>7</xdr:col>
          <xdr:colOff>7381875</xdr:colOff>
          <xdr:row>84</xdr:row>
          <xdr:rowOff>219075</xdr:rowOff>
        </xdr:to>
        <xdr:sp macro="" textlink="">
          <xdr:nvSpPr>
            <xdr:cNvPr id="188468" name="ComboBox51" hidden="1">
              <a:extLst>
                <a:ext uri="{63B3BB69-23CF-44E3-9099-C40C66FF867C}">
                  <a14:compatExt spid="_x0000_s188468"/>
                </a:ext>
                <a:ext uri="{FF2B5EF4-FFF2-40B4-BE49-F238E27FC236}">
                  <a16:creationId xmlns:a16="http://schemas.microsoft.com/office/drawing/2014/main" id="{00000000-0008-0000-1800-000034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9525</xdr:rowOff>
        </xdr:from>
        <xdr:to>
          <xdr:col>7</xdr:col>
          <xdr:colOff>7381875</xdr:colOff>
          <xdr:row>85</xdr:row>
          <xdr:rowOff>219075</xdr:rowOff>
        </xdr:to>
        <xdr:sp macro="" textlink="">
          <xdr:nvSpPr>
            <xdr:cNvPr id="188469" name="ComboBox52" hidden="1">
              <a:extLst>
                <a:ext uri="{63B3BB69-23CF-44E3-9099-C40C66FF867C}">
                  <a14:compatExt spid="_x0000_s188469"/>
                </a:ext>
                <a:ext uri="{FF2B5EF4-FFF2-40B4-BE49-F238E27FC236}">
                  <a16:creationId xmlns:a16="http://schemas.microsoft.com/office/drawing/2014/main" id="{00000000-0008-0000-1800-000035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9525</xdr:rowOff>
        </xdr:from>
        <xdr:to>
          <xdr:col>7</xdr:col>
          <xdr:colOff>7381875</xdr:colOff>
          <xdr:row>86</xdr:row>
          <xdr:rowOff>219075</xdr:rowOff>
        </xdr:to>
        <xdr:sp macro="" textlink="">
          <xdr:nvSpPr>
            <xdr:cNvPr id="188470" name="ComboBox53" hidden="1">
              <a:extLst>
                <a:ext uri="{63B3BB69-23CF-44E3-9099-C40C66FF867C}">
                  <a14:compatExt spid="_x0000_s188470"/>
                </a:ext>
                <a:ext uri="{FF2B5EF4-FFF2-40B4-BE49-F238E27FC236}">
                  <a16:creationId xmlns:a16="http://schemas.microsoft.com/office/drawing/2014/main" id="{00000000-0008-0000-1800-000036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9525</xdr:rowOff>
        </xdr:from>
        <xdr:to>
          <xdr:col>7</xdr:col>
          <xdr:colOff>7381875</xdr:colOff>
          <xdr:row>87</xdr:row>
          <xdr:rowOff>219075</xdr:rowOff>
        </xdr:to>
        <xdr:sp macro="" textlink="">
          <xdr:nvSpPr>
            <xdr:cNvPr id="188471" name="ComboBox54" hidden="1">
              <a:extLst>
                <a:ext uri="{63B3BB69-23CF-44E3-9099-C40C66FF867C}">
                  <a14:compatExt spid="_x0000_s188471"/>
                </a:ext>
                <a:ext uri="{FF2B5EF4-FFF2-40B4-BE49-F238E27FC236}">
                  <a16:creationId xmlns:a16="http://schemas.microsoft.com/office/drawing/2014/main" id="{00000000-0008-0000-1800-000037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9525</xdr:rowOff>
        </xdr:from>
        <xdr:to>
          <xdr:col>7</xdr:col>
          <xdr:colOff>7381875</xdr:colOff>
          <xdr:row>88</xdr:row>
          <xdr:rowOff>219075</xdr:rowOff>
        </xdr:to>
        <xdr:sp macro="" textlink="">
          <xdr:nvSpPr>
            <xdr:cNvPr id="188472" name="ComboBox55" hidden="1">
              <a:extLst>
                <a:ext uri="{63B3BB69-23CF-44E3-9099-C40C66FF867C}">
                  <a14:compatExt spid="_x0000_s188472"/>
                </a:ext>
                <a:ext uri="{FF2B5EF4-FFF2-40B4-BE49-F238E27FC236}">
                  <a16:creationId xmlns:a16="http://schemas.microsoft.com/office/drawing/2014/main" id="{00000000-0008-0000-1800-000038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9525</xdr:rowOff>
        </xdr:from>
        <xdr:to>
          <xdr:col>7</xdr:col>
          <xdr:colOff>7381875</xdr:colOff>
          <xdr:row>89</xdr:row>
          <xdr:rowOff>219075</xdr:rowOff>
        </xdr:to>
        <xdr:sp macro="" textlink="">
          <xdr:nvSpPr>
            <xdr:cNvPr id="188473" name="ComboBox56" hidden="1">
              <a:extLst>
                <a:ext uri="{63B3BB69-23CF-44E3-9099-C40C66FF867C}">
                  <a14:compatExt spid="_x0000_s188473"/>
                </a:ext>
                <a:ext uri="{FF2B5EF4-FFF2-40B4-BE49-F238E27FC236}">
                  <a16:creationId xmlns:a16="http://schemas.microsoft.com/office/drawing/2014/main" id="{00000000-0008-0000-1800-000039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9525</xdr:rowOff>
        </xdr:from>
        <xdr:to>
          <xdr:col>7</xdr:col>
          <xdr:colOff>7381875</xdr:colOff>
          <xdr:row>90</xdr:row>
          <xdr:rowOff>219075</xdr:rowOff>
        </xdr:to>
        <xdr:sp macro="" textlink="">
          <xdr:nvSpPr>
            <xdr:cNvPr id="188474" name="ComboBox57" hidden="1">
              <a:extLst>
                <a:ext uri="{63B3BB69-23CF-44E3-9099-C40C66FF867C}">
                  <a14:compatExt spid="_x0000_s188474"/>
                </a:ext>
                <a:ext uri="{FF2B5EF4-FFF2-40B4-BE49-F238E27FC236}">
                  <a16:creationId xmlns:a16="http://schemas.microsoft.com/office/drawing/2014/main" id="{00000000-0008-0000-1800-00003A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9525</xdr:rowOff>
        </xdr:from>
        <xdr:to>
          <xdr:col>7</xdr:col>
          <xdr:colOff>7381875</xdr:colOff>
          <xdr:row>91</xdr:row>
          <xdr:rowOff>219075</xdr:rowOff>
        </xdr:to>
        <xdr:sp macro="" textlink="">
          <xdr:nvSpPr>
            <xdr:cNvPr id="188475" name="ComboBox58" hidden="1">
              <a:extLst>
                <a:ext uri="{63B3BB69-23CF-44E3-9099-C40C66FF867C}">
                  <a14:compatExt spid="_x0000_s188475"/>
                </a:ext>
                <a:ext uri="{FF2B5EF4-FFF2-40B4-BE49-F238E27FC236}">
                  <a16:creationId xmlns:a16="http://schemas.microsoft.com/office/drawing/2014/main" id="{00000000-0008-0000-1800-00003B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9525</xdr:rowOff>
        </xdr:from>
        <xdr:to>
          <xdr:col>7</xdr:col>
          <xdr:colOff>7381875</xdr:colOff>
          <xdr:row>92</xdr:row>
          <xdr:rowOff>219075</xdr:rowOff>
        </xdr:to>
        <xdr:sp macro="" textlink="">
          <xdr:nvSpPr>
            <xdr:cNvPr id="188476" name="ComboBox59" hidden="1">
              <a:extLst>
                <a:ext uri="{63B3BB69-23CF-44E3-9099-C40C66FF867C}">
                  <a14:compatExt spid="_x0000_s188476"/>
                </a:ext>
                <a:ext uri="{FF2B5EF4-FFF2-40B4-BE49-F238E27FC236}">
                  <a16:creationId xmlns:a16="http://schemas.microsoft.com/office/drawing/2014/main" id="{00000000-0008-0000-1800-00003C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9525</xdr:rowOff>
        </xdr:from>
        <xdr:to>
          <xdr:col>7</xdr:col>
          <xdr:colOff>7381875</xdr:colOff>
          <xdr:row>93</xdr:row>
          <xdr:rowOff>219075</xdr:rowOff>
        </xdr:to>
        <xdr:sp macro="" textlink="">
          <xdr:nvSpPr>
            <xdr:cNvPr id="188477" name="ComboBox60" hidden="1">
              <a:extLst>
                <a:ext uri="{63B3BB69-23CF-44E3-9099-C40C66FF867C}">
                  <a14:compatExt spid="_x0000_s188477"/>
                </a:ext>
                <a:ext uri="{FF2B5EF4-FFF2-40B4-BE49-F238E27FC236}">
                  <a16:creationId xmlns:a16="http://schemas.microsoft.com/office/drawing/2014/main" id="{00000000-0008-0000-1800-00003D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9525</xdr:rowOff>
        </xdr:from>
        <xdr:to>
          <xdr:col>7</xdr:col>
          <xdr:colOff>7381875</xdr:colOff>
          <xdr:row>96</xdr:row>
          <xdr:rowOff>219075</xdr:rowOff>
        </xdr:to>
        <xdr:sp macro="" textlink="">
          <xdr:nvSpPr>
            <xdr:cNvPr id="188478" name="ComboBox61" hidden="1">
              <a:extLst>
                <a:ext uri="{63B3BB69-23CF-44E3-9099-C40C66FF867C}">
                  <a14:compatExt spid="_x0000_s188478"/>
                </a:ext>
                <a:ext uri="{FF2B5EF4-FFF2-40B4-BE49-F238E27FC236}">
                  <a16:creationId xmlns:a16="http://schemas.microsoft.com/office/drawing/2014/main" id="{00000000-0008-0000-1800-00003E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9525</xdr:rowOff>
        </xdr:from>
        <xdr:to>
          <xdr:col>7</xdr:col>
          <xdr:colOff>7381875</xdr:colOff>
          <xdr:row>97</xdr:row>
          <xdr:rowOff>219075</xdr:rowOff>
        </xdr:to>
        <xdr:sp macro="" textlink="">
          <xdr:nvSpPr>
            <xdr:cNvPr id="188479" name="ComboBox62" hidden="1">
              <a:extLst>
                <a:ext uri="{63B3BB69-23CF-44E3-9099-C40C66FF867C}">
                  <a14:compatExt spid="_x0000_s188479"/>
                </a:ext>
                <a:ext uri="{FF2B5EF4-FFF2-40B4-BE49-F238E27FC236}">
                  <a16:creationId xmlns:a16="http://schemas.microsoft.com/office/drawing/2014/main" id="{00000000-0008-0000-1800-00003F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9525</xdr:rowOff>
        </xdr:from>
        <xdr:to>
          <xdr:col>7</xdr:col>
          <xdr:colOff>7381875</xdr:colOff>
          <xdr:row>98</xdr:row>
          <xdr:rowOff>219075</xdr:rowOff>
        </xdr:to>
        <xdr:sp macro="" textlink="">
          <xdr:nvSpPr>
            <xdr:cNvPr id="188480" name="ComboBox63" hidden="1">
              <a:extLst>
                <a:ext uri="{63B3BB69-23CF-44E3-9099-C40C66FF867C}">
                  <a14:compatExt spid="_x0000_s188480"/>
                </a:ext>
                <a:ext uri="{FF2B5EF4-FFF2-40B4-BE49-F238E27FC236}">
                  <a16:creationId xmlns:a16="http://schemas.microsoft.com/office/drawing/2014/main" id="{00000000-0008-0000-1800-000040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9525</xdr:rowOff>
        </xdr:from>
        <xdr:to>
          <xdr:col>7</xdr:col>
          <xdr:colOff>7381875</xdr:colOff>
          <xdr:row>99</xdr:row>
          <xdr:rowOff>219075</xdr:rowOff>
        </xdr:to>
        <xdr:sp macro="" textlink="">
          <xdr:nvSpPr>
            <xdr:cNvPr id="188481" name="ComboBox64" hidden="1">
              <a:extLst>
                <a:ext uri="{63B3BB69-23CF-44E3-9099-C40C66FF867C}">
                  <a14:compatExt spid="_x0000_s188481"/>
                </a:ext>
                <a:ext uri="{FF2B5EF4-FFF2-40B4-BE49-F238E27FC236}">
                  <a16:creationId xmlns:a16="http://schemas.microsoft.com/office/drawing/2014/main" id="{00000000-0008-0000-1800-000041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9525</xdr:rowOff>
        </xdr:from>
        <xdr:to>
          <xdr:col>7</xdr:col>
          <xdr:colOff>7381875</xdr:colOff>
          <xdr:row>100</xdr:row>
          <xdr:rowOff>219075</xdr:rowOff>
        </xdr:to>
        <xdr:sp macro="" textlink="">
          <xdr:nvSpPr>
            <xdr:cNvPr id="188482" name="ComboBox65" hidden="1">
              <a:extLst>
                <a:ext uri="{63B3BB69-23CF-44E3-9099-C40C66FF867C}">
                  <a14:compatExt spid="_x0000_s188482"/>
                </a:ext>
                <a:ext uri="{FF2B5EF4-FFF2-40B4-BE49-F238E27FC236}">
                  <a16:creationId xmlns:a16="http://schemas.microsoft.com/office/drawing/2014/main" id="{00000000-0008-0000-1800-000042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9525</xdr:rowOff>
        </xdr:from>
        <xdr:to>
          <xdr:col>7</xdr:col>
          <xdr:colOff>7381875</xdr:colOff>
          <xdr:row>101</xdr:row>
          <xdr:rowOff>219075</xdr:rowOff>
        </xdr:to>
        <xdr:sp macro="" textlink="">
          <xdr:nvSpPr>
            <xdr:cNvPr id="188483" name="ComboBox66" hidden="1">
              <a:extLst>
                <a:ext uri="{63B3BB69-23CF-44E3-9099-C40C66FF867C}">
                  <a14:compatExt spid="_x0000_s188483"/>
                </a:ext>
                <a:ext uri="{FF2B5EF4-FFF2-40B4-BE49-F238E27FC236}">
                  <a16:creationId xmlns:a16="http://schemas.microsoft.com/office/drawing/2014/main" id="{00000000-0008-0000-1800-000043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9525</xdr:rowOff>
        </xdr:from>
        <xdr:to>
          <xdr:col>7</xdr:col>
          <xdr:colOff>7381875</xdr:colOff>
          <xdr:row>102</xdr:row>
          <xdr:rowOff>219075</xdr:rowOff>
        </xdr:to>
        <xdr:sp macro="" textlink="">
          <xdr:nvSpPr>
            <xdr:cNvPr id="188484" name="ComboBox67" hidden="1">
              <a:extLst>
                <a:ext uri="{63B3BB69-23CF-44E3-9099-C40C66FF867C}">
                  <a14:compatExt spid="_x0000_s188484"/>
                </a:ext>
                <a:ext uri="{FF2B5EF4-FFF2-40B4-BE49-F238E27FC236}">
                  <a16:creationId xmlns:a16="http://schemas.microsoft.com/office/drawing/2014/main" id="{00000000-0008-0000-1800-000044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9525</xdr:rowOff>
        </xdr:from>
        <xdr:to>
          <xdr:col>7</xdr:col>
          <xdr:colOff>7381875</xdr:colOff>
          <xdr:row>103</xdr:row>
          <xdr:rowOff>219075</xdr:rowOff>
        </xdr:to>
        <xdr:sp macro="" textlink="">
          <xdr:nvSpPr>
            <xdr:cNvPr id="188485" name="ComboBox68" hidden="1">
              <a:extLst>
                <a:ext uri="{63B3BB69-23CF-44E3-9099-C40C66FF867C}">
                  <a14:compatExt spid="_x0000_s188485"/>
                </a:ext>
                <a:ext uri="{FF2B5EF4-FFF2-40B4-BE49-F238E27FC236}">
                  <a16:creationId xmlns:a16="http://schemas.microsoft.com/office/drawing/2014/main" id="{00000000-0008-0000-1800-000045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9525</xdr:rowOff>
        </xdr:from>
        <xdr:to>
          <xdr:col>7</xdr:col>
          <xdr:colOff>7381875</xdr:colOff>
          <xdr:row>104</xdr:row>
          <xdr:rowOff>219075</xdr:rowOff>
        </xdr:to>
        <xdr:sp macro="" textlink="">
          <xdr:nvSpPr>
            <xdr:cNvPr id="188486" name="ComboBox69" hidden="1">
              <a:extLst>
                <a:ext uri="{63B3BB69-23CF-44E3-9099-C40C66FF867C}">
                  <a14:compatExt spid="_x0000_s188486"/>
                </a:ext>
                <a:ext uri="{FF2B5EF4-FFF2-40B4-BE49-F238E27FC236}">
                  <a16:creationId xmlns:a16="http://schemas.microsoft.com/office/drawing/2014/main" id="{00000000-0008-0000-1800-000046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9525</xdr:rowOff>
        </xdr:from>
        <xdr:to>
          <xdr:col>7</xdr:col>
          <xdr:colOff>7381875</xdr:colOff>
          <xdr:row>105</xdr:row>
          <xdr:rowOff>219075</xdr:rowOff>
        </xdr:to>
        <xdr:sp macro="" textlink="">
          <xdr:nvSpPr>
            <xdr:cNvPr id="188487" name="ComboBox70" hidden="1">
              <a:extLst>
                <a:ext uri="{63B3BB69-23CF-44E3-9099-C40C66FF867C}">
                  <a14:compatExt spid="_x0000_s188487"/>
                </a:ext>
                <a:ext uri="{FF2B5EF4-FFF2-40B4-BE49-F238E27FC236}">
                  <a16:creationId xmlns:a16="http://schemas.microsoft.com/office/drawing/2014/main" id="{00000000-0008-0000-1800-000047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9525</xdr:rowOff>
        </xdr:from>
        <xdr:to>
          <xdr:col>7</xdr:col>
          <xdr:colOff>7381875</xdr:colOff>
          <xdr:row>108</xdr:row>
          <xdr:rowOff>219075</xdr:rowOff>
        </xdr:to>
        <xdr:sp macro="" textlink="">
          <xdr:nvSpPr>
            <xdr:cNvPr id="188488" name="ComboBox71" hidden="1">
              <a:extLst>
                <a:ext uri="{63B3BB69-23CF-44E3-9099-C40C66FF867C}">
                  <a14:compatExt spid="_x0000_s188488"/>
                </a:ext>
                <a:ext uri="{FF2B5EF4-FFF2-40B4-BE49-F238E27FC236}">
                  <a16:creationId xmlns:a16="http://schemas.microsoft.com/office/drawing/2014/main" id="{00000000-0008-0000-1800-000048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9525</xdr:rowOff>
        </xdr:from>
        <xdr:to>
          <xdr:col>7</xdr:col>
          <xdr:colOff>7381875</xdr:colOff>
          <xdr:row>109</xdr:row>
          <xdr:rowOff>219075</xdr:rowOff>
        </xdr:to>
        <xdr:sp macro="" textlink="">
          <xdr:nvSpPr>
            <xdr:cNvPr id="188489" name="ComboBox72" hidden="1">
              <a:extLst>
                <a:ext uri="{63B3BB69-23CF-44E3-9099-C40C66FF867C}">
                  <a14:compatExt spid="_x0000_s188489"/>
                </a:ext>
                <a:ext uri="{FF2B5EF4-FFF2-40B4-BE49-F238E27FC236}">
                  <a16:creationId xmlns:a16="http://schemas.microsoft.com/office/drawing/2014/main" id="{00000000-0008-0000-1800-000049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9525</xdr:rowOff>
        </xdr:from>
        <xdr:to>
          <xdr:col>7</xdr:col>
          <xdr:colOff>7381875</xdr:colOff>
          <xdr:row>110</xdr:row>
          <xdr:rowOff>219075</xdr:rowOff>
        </xdr:to>
        <xdr:sp macro="" textlink="">
          <xdr:nvSpPr>
            <xdr:cNvPr id="188490" name="ComboBox73" hidden="1">
              <a:extLst>
                <a:ext uri="{63B3BB69-23CF-44E3-9099-C40C66FF867C}">
                  <a14:compatExt spid="_x0000_s188490"/>
                </a:ext>
                <a:ext uri="{FF2B5EF4-FFF2-40B4-BE49-F238E27FC236}">
                  <a16:creationId xmlns:a16="http://schemas.microsoft.com/office/drawing/2014/main" id="{00000000-0008-0000-1800-00004A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9525</xdr:rowOff>
        </xdr:from>
        <xdr:to>
          <xdr:col>7</xdr:col>
          <xdr:colOff>7381875</xdr:colOff>
          <xdr:row>111</xdr:row>
          <xdr:rowOff>219075</xdr:rowOff>
        </xdr:to>
        <xdr:sp macro="" textlink="">
          <xdr:nvSpPr>
            <xdr:cNvPr id="188491" name="ComboBox74" hidden="1">
              <a:extLst>
                <a:ext uri="{63B3BB69-23CF-44E3-9099-C40C66FF867C}">
                  <a14:compatExt spid="_x0000_s188491"/>
                </a:ext>
                <a:ext uri="{FF2B5EF4-FFF2-40B4-BE49-F238E27FC236}">
                  <a16:creationId xmlns:a16="http://schemas.microsoft.com/office/drawing/2014/main" id="{00000000-0008-0000-1800-00004B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9525</xdr:rowOff>
        </xdr:from>
        <xdr:to>
          <xdr:col>7</xdr:col>
          <xdr:colOff>7381875</xdr:colOff>
          <xdr:row>112</xdr:row>
          <xdr:rowOff>219075</xdr:rowOff>
        </xdr:to>
        <xdr:sp macro="" textlink="">
          <xdr:nvSpPr>
            <xdr:cNvPr id="188492" name="ComboBox75" hidden="1">
              <a:extLst>
                <a:ext uri="{63B3BB69-23CF-44E3-9099-C40C66FF867C}">
                  <a14:compatExt spid="_x0000_s188492"/>
                </a:ext>
                <a:ext uri="{FF2B5EF4-FFF2-40B4-BE49-F238E27FC236}">
                  <a16:creationId xmlns:a16="http://schemas.microsoft.com/office/drawing/2014/main" id="{00000000-0008-0000-1800-00004C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9525</xdr:rowOff>
        </xdr:from>
        <xdr:to>
          <xdr:col>7</xdr:col>
          <xdr:colOff>7381875</xdr:colOff>
          <xdr:row>113</xdr:row>
          <xdr:rowOff>219075</xdr:rowOff>
        </xdr:to>
        <xdr:sp macro="" textlink="">
          <xdr:nvSpPr>
            <xdr:cNvPr id="188493" name="ComboBox76" hidden="1">
              <a:extLst>
                <a:ext uri="{63B3BB69-23CF-44E3-9099-C40C66FF867C}">
                  <a14:compatExt spid="_x0000_s188493"/>
                </a:ext>
                <a:ext uri="{FF2B5EF4-FFF2-40B4-BE49-F238E27FC236}">
                  <a16:creationId xmlns:a16="http://schemas.microsoft.com/office/drawing/2014/main" id="{00000000-0008-0000-1800-00004D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9525</xdr:rowOff>
        </xdr:from>
        <xdr:to>
          <xdr:col>7</xdr:col>
          <xdr:colOff>7381875</xdr:colOff>
          <xdr:row>114</xdr:row>
          <xdr:rowOff>219075</xdr:rowOff>
        </xdr:to>
        <xdr:sp macro="" textlink="">
          <xdr:nvSpPr>
            <xdr:cNvPr id="188494" name="ComboBox77" hidden="1">
              <a:extLst>
                <a:ext uri="{63B3BB69-23CF-44E3-9099-C40C66FF867C}">
                  <a14:compatExt spid="_x0000_s188494"/>
                </a:ext>
                <a:ext uri="{FF2B5EF4-FFF2-40B4-BE49-F238E27FC236}">
                  <a16:creationId xmlns:a16="http://schemas.microsoft.com/office/drawing/2014/main" id="{00000000-0008-0000-1800-00004E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9525</xdr:rowOff>
        </xdr:from>
        <xdr:to>
          <xdr:col>7</xdr:col>
          <xdr:colOff>7381875</xdr:colOff>
          <xdr:row>115</xdr:row>
          <xdr:rowOff>219075</xdr:rowOff>
        </xdr:to>
        <xdr:sp macro="" textlink="">
          <xdr:nvSpPr>
            <xdr:cNvPr id="188495" name="ComboBox78" hidden="1">
              <a:extLst>
                <a:ext uri="{63B3BB69-23CF-44E3-9099-C40C66FF867C}">
                  <a14:compatExt spid="_x0000_s188495"/>
                </a:ext>
                <a:ext uri="{FF2B5EF4-FFF2-40B4-BE49-F238E27FC236}">
                  <a16:creationId xmlns:a16="http://schemas.microsoft.com/office/drawing/2014/main" id="{00000000-0008-0000-1800-00004F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9525</xdr:rowOff>
        </xdr:from>
        <xdr:to>
          <xdr:col>7</xdr:col>
          <xdr:colOff>7381875</xdr:colOff>
          <xdr:row>116</xdr:row>
          <xdr:rowOff>219075</xdr:rowOff>
        </xdr:to>
        <xdr:sp macro="" textlink="">
          <xdr:nvSpPr>
            <xdr:cNvPr id="188496" name="ComboBox79" hidden="1">
              <a:extLst>
                <a:ext uri="{63B3BB69-23CF-44E3-9099-C40C66FF867C}">
                  <a14:compatExt spid="_x0000_s188496"/>
                </a:ext>
                <a:ext uri="{FF2B5EF4-FFF2-40B4-BE49-F238E27FC236}">
                  <a16:creationId xmlns:a16="http://schemas.microsoft.com/office/drawing/2014/main" id="{00000000-0008-0000-1800-000050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9525</xdr:rowOff>
        </xdr:from>
        <xdr:to>
          <xdr:col>7</xdr:col>
          <xdr:colOff>7381875</xdr:colOff>
          <xdr:row>117</xdr:row>
          <xdr:rowOff>219075</xdr:rowOff>
        </xdr:to>
        <xdr:sp macro="" textlink="">
          <xdr:nvSpPr>
            <xdr:cNvPr id="188497" name="ComboBox80" hidden="1">
              <a:extLst>
                <a:ext uri="{63B3BB69-23CF-44E3-9099-C40C66FF867C}">
                  <a14:compatExt spid="_x0000_s188497"/>
                </a:ext>
                <a:ext uri="{FF2B5EF4-FFF2-40B4-BE49-F238E27FC236}">
                  <a16:creationId xmlns:a16="http://schemas.microsoft.com/office/drawing/2014/main" id="{00000000-0008-0000-1800-000051E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9</xdr:col>
      <xdr:colOff>721179</xdr:colOff>
      <xdr:row>66</xdr:row>
      <xdr:rowOff>81643</xdr:rowOff>
    </xdr:from>
    <xdr:to>
      <xdr:col>11</xdr:col>
      <xdr:colOff>606878</xdr:colOff>
      <xdr:row>67</xdr:row>
      <xdr:rowOff>112486</xdr:rowOff>
    </xdr:to>
    <xdr:sp macro="[0]!Indice" textlink="">
      <xdr:nvSpPr>
        <xdr:cNvPr id="85" name="Marco 84">
          <a:extLst>
            <a:ext uri="{FF2B5EF4-FFF2-40B4-BE49-F238E27FC236}">
              <a16:creationId xmlns:a16="http://schemas.microsoft.com/office/drawing/2014/main" id="{00000000-0008-0000-1800-000055000000}"/>
            </a:ext>
          </a:extLst>
        </xdr:cNvPr>
        <xdr:cNvSpPr/>
      </xdr:nvSpPr>
      <xdr:spPr bwMode="auto">
        <a:xfrm>
          <a:off x="15933965" y="23948572"/>
          <a:ext cx="1409699" cy="520700"/>
        </a:xfrm>
        <a:prstGeom prst="frame">
          <a:avLst/>
        </a:prstGeom>
        <a:solidFill>
          <a:schemeClr val="accent5">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twoCellAnchor>
    <xdr:from>
      <xdr:col>10</xdr:col>
      <xdr:colOff>40820</xdr:colOff>
      <xdr:row>8</xdr:row>
      <xdr:rowOff>13606</xdr:rowOff>
    </xdr:from>
    <xdr:to>
      <xdr:col>11</xdr:col>
      <xdr:colOff>688520</xdr:colOff>
      <xdr:row>9</xdr:row>
      <xdr:rowOff>122463</xdr:rowOff>
    </xdr:to>
    <xdr:sp macro="" textlink="">
      <xdr:nvSpPr>
        <xdr:cNvPr id="86" name="Marco 85">
          <a:hlinkClick xmlns:r="http://schemas.openxmlformats.org/officeDocument/2006/relationships" r:id="rId1"/>
          <a:extLst>
            <a:ext uri="{FF2B5EF4-FFF2-40B4-BE49-F238E27FC236}">
              <a16:creationId xmlns:a16="http://schemas.microsoft.com/office/drawing/2014/main" id="{00000000-0008-0000-1800-000056000000}"/>
            </a:ext>
          </a:extLst>
        </xdr:cNvPr>
        <xdr:cNvSpPr/>
      </xdr:nvSpPr>
      <xdr:spPr bwMode="auto">
        <a:xfrm>
          <a:off x="16015606" y="2653392"/>
          <a:ext cx="1409700" cy="489857"/>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158750</xdr:colOff>
      <xdr:row>2</xdr:row>
      <xdr:rowOff>31750</xdr:rowOff>
    </xdr:from>
    <xdr:to>
      <xdr:col>8</xdr:col>
      <xdr:colOff>44450</xdr:colOff>
      <xdr:row>2</xdr:row>
      <xdr:rowOff>537935</xdr:rowOff>
    </xdr:to>
    <xdr:sp macro="" textlink="">
      <xdr:nvSpPr>
        <xdr:cNvPr id="2" name="Marco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bwMode="auto">
        <a:xfrm>
          <a:off x="8837083" y="539750"/>
          <a:ext cx="1409700" cy="506185"/>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6</xdr:col>
      <xdr:colOff>571500</xdr:colOff>
      <xdr:row>1</xdr:row>
      <xdr:rowOff>107157</xdr:rowOff>
    </xdr:from>
    <xdr:to>
      <xdr:col>8</xdr:col>
      <xdr:colOff>457200</xdr:colOff>
      <xdr:row>3</xdr:row>
      <xdr:rowOff>25514</xdr:rowOff>
    </xdr:to>
    <xdr:sp macro="" textlink="">
      <xdr:nvSpPr>
        <xdr:cNvPr id="2" name="Marco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bwMode="auto">
        <a:xfrm>
          <a:off x="9655969" y="285751"/>
          <a:ext cx="1409700" cy="489857"/>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21</xdr:row>
          <xdr:rowOff>19050</xdr:rowOff>
        </xdr:from>
        <xdr:to>
          <xdr:col>7</xdr:col>
          <xdr:colOff>2676525</xdr:colOff>
          <xdr:row>21</xdr:row>
          <xdr:rowOff>228600</xdr:rowOff>
        </xdr:to>
        <xdr:sp macro="" textlink="">
          <xdr:nvSpPr>
            <xdr:cNvPr id="87876" name="ComboBox2" hidden="1">
              <a:extLst>
                <a:ext uri="{63B3BB69-23CF-44E3-9099-C40C66FF867C}">
                  <a14:compatExt spid="_x0000_s87876"/>
                </a:ext>
                <a:ext uri="{FF2B5EF4-FFF2-40B4-BE49-F238E27FC236}">
                  <a16:creationId xmlns:a16="http://schemas.microsoft.com/office/drawing/2014/main" id="{00000000-0008-0000-0500-000044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2676525</xdr:colOff>
          <xdr:row>22</xdr:row>
          <xdr:rowOff>228600</xdr:rowOff>
        </xdr:to>
        <xdr:sp macro="" textlink="">
          <xdr:nvSpPr>
            <xdr:cNvPr id="87878" name="ComboBox3" hidden="1">
              <a:extLst>
                <a:ext uri="{63B3BB69-23CF-44E3-9099-C40C66FF867C}">
                  <a14:compatExt spid="_x0000_s87878"/>
                </a:ext>
                <a:ext uri="{FF2B5EF4-FFF2-40B4-BE49-F238E27FC236}">
                  <a16:creationId xmlns:a16="http://schemas.microsoft.com/office/drawing/2014/main" id="{00000000-0008-0000-0500-000046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2676525</xdr:colOff>
          <xdr:row>23</xdr:row>
          <xdr:rowOff>228600</xdr:rowOff>
        </xdr:to>
        <xdr:sp macro="" textlink="">
          <xdr:nvSpPr>
            <xdr:cNvPr id="87879" name="ComboBox4" hidden="1">
              <a:extLst>
                <a:ext uri="{63B3BB69-23CF-44E3-9099-C40C66FF867C}">
                  <a14:compatExt spid="_x0000_s87879"/>
                </a:ext>
                <a:ext uri="{FF2B5EF4-FFF2-40B4-BE49-F238E27FC236}">
                  <a16:creationId xmlns:a16="http://schemas.microsoft.com/office/drawing/2014/main" id="{00000000-0008-0000-0500-000047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7</xdr:col>
          <xdr:colOff>2676525</xdr:colOff>
          <xdr:row>24</xdr:row>
          <xdr:rowOff>228600</xdr:rowOff>
        </xdr:to>
        <xdr:sp macro="" textlink="">
          <xdr:nvSpPr>
            <xdr:cNvPr id="87881" name="ComboBox5" hidden="1">
              <a:extLst>
                <a:ext uri="{63B3BB69-23CF-44E3-9099-C40C66FF867C}">
                  <a14:compatExt spid="_x0000_s87881"/>
                </a:ext>
                <a:ext uri="{FF2B5EF4-FFF2-40B4-BE49-F238E27FC236}">
                  <a16:creationId xmlns:a16="http://schemas.microsoft.com/office/drawing/2014/main" id="{00000000-0008-0000-0500-000049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19050</xdr:rowOff>
        </xdr:from>
        <xdr:to>
          <xdr:col>7</xdr:col>
          <xdr:colOff>2676525</xdr:colOff>
          <xdr:row>25</xdr:row>
          <xdr:rowOff>228600</xdr:rowOff>
        </xdr:to>
        <xdr:sp macro="" textlink="">
          <xdr:nvSpPr>
            <xdr:cNvPr id="87882" name="ComboBox6" hidden="1">
              <a:extLst>
                <a:ext uri="{63B3BB69-23CF-44E3-9099-C40C66FF867C}">
                  <a14:compatExt spid="_x0000_s87882"/>
                </a:ext>
                <a:ext uri="{FF2B5EF4-FFF2-40B4-BE49-F238E27FC236}">
                  <a16:creationId xmlns:a16="http://schemas.microsoft.com/office/drawing/2014/main" id="{00000000-0008-0000-0500-00004A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19050</xdr:rowOff>
        </xdr:from>
        <xdr:to>
          <xdr:col>7</xdr:col>
          <xdr:colOff>3124200</xdr:colOff>
          <xdr:row>26</xdr:row>
          <xdr:rowOff>266700</xdr:rowOff>
        </xdr:to>
        <xdr:sp macro="" textlink="">
          <xdr:nvSpPr>
            <xdr:cNvPr id="87883" name="ComboBox7" hidden="1">
              <a:extLst>
                <a:ext uri="{63B3BB69-23CF-44E3-9099-C40C66FF867C}">
                  <a14:compatExt spid="_x0000_s87883"/>
                </a:ext>
                <a:ext uri="{FF2B5EF4-FFF2-40B4-BE49-F238E27FC236}">
                  <a16:creationId xmlns:a16="http://schemas.microsoft.com/office/drawing/2014/main" id="{00000000-0008-0000-0500-00004B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19050</xdr:rowOff>
        </xdr:from>
        <xdr:to>
          <xdr:col>7</xdr:col>
          <xdr:colOff>2676525</xdr:colOff>
          <xdr:row>27</xdr:row>
          <xdr:rowOff>228600</xdr:rowOff>
        </xdr:to>
        <xdr:sp macro="" textlink="">
          <xdr:nvSpPr>
            <xdr:cNvPr id="87884" name="ComboBox8" hidden="1">
              <a:extLst>
                <a:ext uri="{63B3BB69-23CF-44E3-9099-C40C66FF867C}">
                  <a14:compatExt spid="_x0000_s87884"/>
                </a:ext>
                <a:ext uri="{FF2B5EF4-FFF2-40B4-BE49-F238E27FC236}">
                  <a16:creationId xmlns:a16="http://schemas.microsoft.com/office/drawing/2014/main" id="{00000000-0008-0000-0500-00004C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2676525</xdr:colOff>
          <xdr:row>28</xdr:row>
          <xdr:rowOff>228600</xdr:rowOff>
        </xdr:to>
        <xdr:sp macro="" textlink="">
          <xdr:nvSpPr>
            <xdr:cNvPr id="87885" name="ComboBox9" hidden="1">
              <a:extLst>
                <a:ext uri="{63B3BB69-23CF-44E3-9099-C40C66FF867C}">
                  <a14:compatExt spid="_x0000_s87885"/>
                </a:ext>
                <a:ext uri="{FF2B5EF4-FFF2-40B4-BE49-F238E27FC236}">
                  <a16:creationId xmlns:a16="http://schemas.microsoft.com/office/drawing/2014/main" id="{00000000-0008-0000-0500-00004D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2676525</xdr:colOff>
          <xdr:row>29</xdr:row>
          <xdr:rowOff>228600</xdr:rowOff>
        </xdr:to>
        <xdr:sp macro="" textlink="">
          <xdr:nvSpPr>
            <xdr:cNvPr id="87886" name="ComboBox10" hidden="1">
              <a:extLst>
                <a:ext uri="{63B3BB69-23CF-44E3-9099-C40C66FF867C}">
                  <a14:compatExt spid="_x0000_s87886"/>
                </a:ext>
                <a:ext uri="{FF2B5EF4-FFF2-40B4-BE49-F238E27FC236}">
                  <a16:creationId xmlns:a16="http://schemas.microsoft.com/office/drawing/2014/main" id="{00000000-0008-0000-0500-00004E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2676525</xdr:colOff>
          <xdr:row>30</xdr:row>
          <xdr:rowOff>228600</xdr:rowOff>
        </xdr:to>
        <xdr:sp macro="" textlink="">
          <xdr:nvSpPr>
            <xdr:cNvPr id="87887" name="ComboBox11" hidden="1">
              <a:extLst>
                <a:ext uri="{63B3BB69-23CF-44E3-9099-C40C66FF867C}">
                  <a14:compatExt spid="_x0000_s87887"/>
                </a:ext>
                <a:ext uri="{FF2B5EF4-FFF2-40B4-BE49-F238E27FC236}">
                  <a16:creationId xmlns:a16="http://schemas.microsoft.com/office/drawing/2014/main" id="{00000000-0008-0000-0500-00004F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2676525</xdr:colOff>
          <xdr:row>52</xdr:row>
          <xdr:rowOff>228600</xdr:rowOff>
        </xdr:to>
        <xdr:sp macro="" textlink="">
          <xdr:nvSpPr>
            <xdr:cNvPr id="87888" name="ComboBox12" hidden="1">
              <a:extLst>
                <a:ext uri="{63B3BB69-23CF-44E3-9099-C40C66FF867C}">
                  <a14:compatExt spid="_x0000_s87888"/>
                </a:ext>
                <a:ext uri="{FF2B5EF4-FFF2-40B4-BE49-F238E27FC236}">
                  <a16:creationId xmlns:a16="http://schemas.microsoft.com/office/drawing/2014/main" id="{00000000-0008-0000-0500-000050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2676525</xdr:colOff>
          <xdr:row>53</xdr:row>
          <xdr:rowOff>228600</xdr:rowOff>
        </xdr:to>
        <xdr:sp macro="" textlink="">
          <xdr:nvSpPr>
            <xdr:cNvPr id="87889" name="ComboBox13" hidden="1">
              <a:extLst>
                <a:ext uri="{63B3BB69-23CF-44E3-9099-C40C66FF867C}">
                  <a14:compatExt spid="_x0000_s87889"/>
                </a:ext>
                <a:ext uri="{FF2B5EF4-FFF2-40B4-BE49-F238E27FC236}">
                  <a16:creationId xmlns:a16="http://schemas.microsoft.com/office/drawing/2014/main" id="{00000000-0008-0000-0500-000051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2676525</xdr:colOff>
          <xdr:row>54</xdr:row>
          <xdr:rowOff>228600</xdr:rowOff>
        </xdr:to>
        <xdr:sp macro="" textlink="">
          <xdr:nvSpPr>
            <xdr:cNvPr id="87890" name="ComboBox14" hidden="1">
              <a:extLst>
                <a:ext uri="{63B3BB69-23CF-44E3-9099-C40C66FF867C}">
                  <a14:compatExt spid="_x0000_s87890"/>
                </a:ext>
                <a:ext uri="{FF2B5EF4-FFF2-40B4-BE49-F238E27FC236}">
                  <a16:creationId xmlns:a16="http://schemas.microsoft.com/office/drawing/2014/main" id="{00000000-0008-0000-0500-000052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2676525</xdr:colOff>
          <xdr:row>55</xdr:row>
          <xdr:rowOff>228600</xdr:rowOff>
        </xdr:to>
        <xdr:sp macro="" textlink="">
          <xdr:nvSpPr>
            <xdr:cNvPr id="87891" name="ComboBox15" hidden="1">
              <a:extLst>
                <a:ext uri="{63B3BB69-23CF-44E3-9099-C40C66FF867C}">
                  <a14:compatExt spid="_x0000_s87891"/>
                </a:ext>
                <a:ext uri="{FF2B5EF4-FFF2-40B4-BE49-F238E27FC236}">
                  <a16:creationId xmlns:a16="http://schemas.microsoft.com/office/drawing/2014/main" id="{00000000-0008-0000-0500-000053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2676525</xdr:colOff>
          <xdr:row>56</xdr:row>
          <xdr:rowOff>228600</xdr:rowOff>
        </xdr:to>
        <xdr:sp macro="" textlink="">
          <xdr:nvSpPr>
            <xdr:cNvPr id="87892" name="ComboBox16" hidden="1">
              <a:extLst>
                <a:ext uri="{63B3BB69-23CF-44E3-9099-C40C66FF867C}">
                  <a14:compatExt spid="_x0000_s87892"/>
                </a:ext>
                <a:ext uri="{FF2B5EF4-FFF2-40B4-BE49-F238E27FC236}">
                  <a16:creationId xmlns:a16="http://schemas.microsoft.com/office/drawing/2014/main" id="{00000000-0008-0000-0500-000054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2676525</xdr:colOff>
          <xdr:row>58</xdr:row>
          <xdr:rowOff>228600</xdr:rowOff>
        </xdr:to>
        <xdr:sp macro="" textlink="">
          <xdr:nvSpPr>
            <xdr:cNvPr id="87893" name="ComboBox17" hidden="1">
              <a:extLst>
                <a:ext uri="{63B3BB69-23CF-44E3-9099-C40C66FF867C}">
                  <a14:compatExt spid="_x0000_s87893"/>
                </a:ext>
                <a:ext uri="{FF2B5EF4-FFF2-40B4-BE49-F238E27FC236}">
                  <a16:creationId xmlns:a16="http://schemas.microsoft.com/office/drawing/2014/main" id="{00000000-0008-0000-0500-000055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2676525</xdr:colOff>
          <xdr:row>57</xdr:row>
          <xdr:rowOff>228600</xdr:rowOff>
        </xdr:to>
        <xdr:sp macro="" textlink="">
          <xdr:nvSpPr>
            <xdr:cNvPr id="87894" name="ComboBox18" hidden="1">
              <a:extLst>
                <a:ext uri="{63B3BB69-23CF-44E3-9099-C40C66FF867C}">
                  <a14:compatExt spid="_x0000_s87894"/>
                </a:ext>
                <a:ext uri="{FF2B5EF4-FFF2-40B4-BE49-F238E27FC236}">
                  <a16:creationId xmlns:a16="http://schemas.microsoft.com/office/drawing/2014/main" id="{00000000-0008-0000-0500-000056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2676525</xdr:colOff>
          <xdr:row>59</xdr:row>
          <xdr:rowOff>228600</xdr:rowOff>
        </xdr:to>
        <xdr:sp macro="" textlink="">
          <xdr:nvSpPr>
            <xdr:cNvPr id="87895" name="ComboBox19" hidden="1">
              <a:extLst>
                <a:ext uri="{63B3BB69-23CF-44E3-9099-C40C66FF867C}">
                  <a14:compatExt spid="_x0000_s87895"/>
                </a:ext>
                <a:ext uri="{FF2B5EF4-FFF2-40B4-BE49-F238E27FC236}">
                  <a16:creationId xmlns:a16="http://schemas.microsoft.com/office/drawing/2014/main" id="{00000000-0008-0000-0500-000057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2676525</xdr:colOff>
          <xdr:row>60</xdr:row>
          <xdr:rowOff>228600</xdr:rowOff>
        </xdr:to>
        <xdr:sp macro="" textlink="">
          <xdr:nvSpPr>
            <xdr:cNvPr id="87896" name="ComboBox20" hidden="1">
              <a:extLst>
                <a:ext uri="{63B3BB69-23CF-44E3-9099-C40C66FF867C}">
                  <a14:compatExt spid="_x0000_s87896"/>
                </a:ext>
                <a:ext uri="{FF2B5EF4-FFF2-40B4-BE49-F238E27FC236}">
                  <a16:creationId xmlns:a16="http://schemas.microsoft.com/office/drawing/2014/main" id="{00000000-0008-0000-0500-000058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2676525</xdr:colOff>
          <xdr:row>61</xdr:row>
          <xdr:rowOff>228600</xdr:rowOff>
        </xdr:to>
        <xdr:sp macro="" textlink="">
          <xdr:nvSpPr>
            <xdr:cNvPr id="87897" name="ComboBox21" hidden="1">
              <a:extLst>
                <a:ext uri="{63B3BB69-23CF-44E3-9099-C40C66FF867C}">
                  <a14:compatExt spid="_x0000_s87897"/>
                </a:ext>
                <a:ext uri="{FF2B5EF4-FFF2-40B4-BE49-F238E27FC236}">
                  <a16:creationId xmlns:a16="http://schemas.microsoft.com/office/drawing/2014/main" id="{00000000-0008-0000-0500-000059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2676525</xdr:colOff>
          <xdr:row>83</xdr:row>
          <xdr:rowOff>228600</xdr:rowOff>
        </xdr:to>
        <xdr:sp macro="" textlink="">
          <xdr:nvSpPr>
            <xdr:cNvPr id="87898" name="ComboBox22" hidden="1">
              <a:extLst>
                <a:ext uri="{63B3BB69-23CF-44E3-9099-C40C66FF867C}">
                  <a14:compatExt spid="_x0000_s87898"/>
                </a:ext>
                <a:ext uri="{FF2B5EF4-FFF2-40B4-BE49-F238E27FC236}">
                  <a16:creationId xmlns:a16="http://schemas.microsoft.com/office/drawing/2014/main" id="{00000000-0008-0000-0500-00005A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2676525</xdr:colOff>
          <xdr:row>84</xdr:row>
          <xdr:rowOff>228600</xdr:rowOff>
        </xdr:to>
        <xdr:sp macro="" textlink="">
          <xdr:nvSpPr>
            <xdr:cNvPr id="87899" name="ComboBox23" hidden="1">
              <a:extLst>
                <a:ext uri="{63B3BB69-23CF-44E3-9099-C40C66FF867C}">
                  <a14:compatExt spid="_x0000_s87899"/>
                </a:ext>
                <a:ext uri="{FF2B5EF4-FFF2-40B4-BE49-F238E27FC236}">
                  <a16:creationId xmlns:a16="http://schemas.microsoft.com/office/drawing/2014/main" id="{00000000-0008-0000-0500-00005B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19050</xdr:rowOff>
        </xdr:from>
        <xdr:to>
          <xdr:col>7</xdr:col>
          <xdr:colOff>2676525</xdr:colOff>
          <xdr:row>85</xdr:row>
          <xdr:rowOff>228600</xdr:rowOff>
        </xdr:to>
        <xdr:sp macro="" textlink="">
          <xdr:nvSpPr>
            <xdr:cNvPr id="87900" name="ComboBox24" hidden="1">
              <a:extLst>
                <a:ext uri="{63B3BB69-23CF-44E3-9099-C40C66FF867C}">
                  <a14:compatExt spid="_x0000_s87900"/>
                </a:ext>
                <a:ext uri="{FF2B5EF4-FFF2-40B4-BE49-F238E27FC236}">
                  <a16:creationId xmlns:a16="http://schemas.microsoft.com/office/drawing/2014/main" id="{00000000-0008-0000-0500-00005C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2676525</xdr:colOff>
          <xdr:row>86</xdr:row>
          <xdr:rowOff>228600</xdr:rowOff>
        </xdr:to>
        <xdr:sp macro="" textlink="">
          <xdr:nvSpPr>
            <xdr:cNvPr id="87901" name="ComboBox25" hidden="1">
              <a:extLst>
                <a:ext uri="{63B3BB69-23CF-44E3-9099-C40C66FF867C}">
                  <a14:compatExt spid="_x0000_s87901"/>
                </a:ext>
                <a:ext uri="{FF2B5EF4-FFF2-40B4-BE49-F238E27FC236}">
                  <a16:creationId xmlns:a16="http://schemas.microsoft.com/office/drawing/2014/main" id="{00000000-0008-0000-0500-00005D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2676525</xdr:colOff>
          <xdr:row>87</xdr:row>
          <xdr:rowOff>228600</xdr:rowOff>
        </xdr:to>
        <xdr:sp macro="" textlink="">
          <xdr:nvSpPr>
            <xdr:cNvPr id="87902" name="ComboBox26" hidden="1">
              <a:extLst>
                <a:ext uri="{63B3BB69-23CF-44E3-9099-C40C66FF867C}">
                  <a14:compatExt spid="_x0000_s87902"/>
                </a:ext>
                <a:ext uri="{FF2B5EF4-FFF2-40B4-BE49-F238E27FC236}">
                  <a16:creationId xmlns:a16="http://schemas.microsoft.com/office/drawing/2014/main" id="{00000000-0008-0000-0500-00005E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19050</xdr:rowOff>
        </xdr:from>
        <xdr:to>
          <xdr:col>7</xdr:col>
          <xdr:colOff>2676525</xdr:colOff>
          <xdr:row>88</xdr:row>
          <xdr:rowOff>228600</xdr:rowOff>
        </xdr:to>
        <xdr:sp macro="" textlink="">
          <xdr:nvSpPr>
            <xdr:cNvPr id="87903" name="ComboBox27" hidden="1">
              <a:extLst>
                <a:ext uri="{63B3BB69-23CF-44E3-9099-C40C66FF867C}">
                  <a14:compatExt spid="_x0000_s87903"/>
                </a:ext>
                <a:ext uri="{FF2B5EF4-FFF2-40B4-BE49-F238E27FC236}">
                  <a16:creationId xmlns:a16="http://schemas.microsoft.com/office/drawing/2014/main" id="{00000000-0008-0000-0500-00005F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19050</xdr:rowOff>
        </xdr:from>
        <xdr:to>
          <xdr:col>7</xdr:col>
          <xdr:colOff>2676525</xdr:colOff>
          <xdr:row>89</xdr:row>
          <xdr:rowOff>228600</xdr:rowOff>
        </xdr:to>
        <xdr:sp macro="" textlink="">
          <xdr:nvSpPr>
            <xdr:cNvPr id="87904" name="ComboBox28" hidden="1">
              <a:extLst>
                <a:ext uri="{63B3BB69-23CF-44E3-9099-C40C66FF867C}">
                  <a14:compatExt spid="_x0000_s87904"/>
                </a:ext>
                <a:ext uri="{FF2B5EF4-FFF2-40B4-BE49-F238E27FC236}">
                  <a16:creationId xmlns:a16="http://schemas.microsoft.com/office/drawing/2014/main" id="{00000000-0008-0000-0500-000060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90</xdr:row>
          <xdr:rowOff>19050</xdr:rowOff>
        </xdr:from>
        <xdr:to>
          <xdr:col>7</xdr:col>
          <xdr:colOff>2676525</xdr:colOff>
          <xdr:row>90</xdr:row>
          <xdr:rowOff>228600</xdr:rowOff>
        </xdr:to>
        <xdr:sp macro="" textlink="">
          <xdr:nvSpPr>
            <xdr:cNvPr id="87905" name="ComboBox29" hidden="1">
              <a:extLst>
                <a:ext uri="{63B3BB69-23CF-44E3-9099-C40C66FF867C}">
                  <a14:compatExt spid="_x0000_s87905"/>
                </a:ext>
                <a:ext uri="{FF2B5EF4-FFF2-40B4-BE49-F238E27FC236}">
                  <a16:creationId xmlns:a16="http://schemas.microsoft.com/office/drawing/2014/main" id="{00000000-0008-0000-0500-000061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91</xdr:row>
          <xdr:rowOff>19050</xdr:rowOff>
        </xdr:from>
        <xdr:to>
          <xdr:col>7</xdr:col>
          <xdr:colOff>2676525</xdr:colOff>
          <xdr:row>91</xdr:row>
          <xdr:rowOff>228600</xdr:rowOff>
        </xdr:to>
        <xdr:sp macro="" textlink="">
          <xdr:nvSpPr>
            <xdr:cNvPr id="87906" name="ComboBox30" hidden="1">
              <a:extLst>
                <a:ext uri="{63B3BB69-23CF-44E3-9099-C40C66FF867C}">
                  <a14:compatExt spid="_x0000_s87906"/>
                </a:ext>
                <a:ext uri="{FF2B5EF4-FFF2-40B4-BE49-F238E27FC236}">
                  <a16:creationId xmlns:a16="http://schemas.microsoft.com/office/drawing/2014/main" id="{00000000-0008-0000-0500-000062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92</xdr:row>
          <xdr:rowOff>19050</xdr:rowOff>
        </xdr:from>
        <xdr:to>
          <xdr:col>7</xdr:col>
          <xdr:colOff>2676525</xdr:colOff>
          <xdr:row>92</xdr:row>
          <xdr:rowOff>228600</xdr:rowOff>
        </xdr:to>
        <xdr:sp macro="" textlink="">
          <xdr:nvSpPr>
            <xdr:cNvPr id="87907" name="ComboBox1" hidden="1">
              <a:extLst>
                <a:ext uri="{63B3BB69-23CF-44E3-9099-C40C66FF867C}">
                  <a14:compatExt spid="_x0000_s87907"/>
                </a:ext>
                <a:ext uri="{FF2B5EF4-FFF2-40B4-BE49-F238E27FC236}">
                  <a16:creationId xmlns:a16="http://schemas.microsoft.com/office/drawing/2014/main" id="{00000000-0008-0000-0500-00006357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9</xdr:col>
      <xdr:colOff>503464</xdr:colOff>
      <xdr:row>7</xdr:row>
      <xdr:rowOff>149679</xdr:rowOff>
    </xdr:from>
    <xdr:to>
      <xdr:col>11</xdr:col>
      <xdr:colOff>389164</xdr:colOff>
      <xdr:row>8</xdr:row>
      <xdr:rowOff>220436</xdr:rowOff>
    </xdr:to>
    <xdr:sp macro="" textlink="">
      <xdr:nvSpPr>
        <xdr:cNvPr id="38" name="Marco 37">
          <a:hlinkClick xmlns:r="http://schemas.openxmlformats.org/officeDocument/2006/relationships" r:id="rId1"/>
          <a:extLst>
            <a:ext uri="{FF2B5EF4-FFF2-40B4-BE49-F238E27FC236}">
              <a16:creationId xmlns:a16="http://schemas.microsoft.com/office/drawing/2014/main" id="{00000000-0008-0000-0500-000026000000}"/>
            </a:ext>
          </a:extLst>
        </xdr:cNvPr>
        <xdr:cNvSpPr/>
      </xdr:nvSpPr>
      <xdr:spPr bwMode="auto">
        <a:xfrm>
          <a:off x="20982214" y="2299608"/>
          <a:ext cx="1409700" cy="506185"/>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twoCellAnchor>
    <xdr:from>
      <xdr:col>9</xdr:col>
      <xdr:colOff>381000</xdr:colOff>
      <xdr:row>38</xdr:row>
      <xdr:rowOff>231321</xdr:rowOff>
    </xdr:from>
    <xdr:to>
      <xdr:col>11</xdr:col>
      <xdr:colOff>266700</xdr:colOff>
      <xdr:row>39</xdr:row>
      <xdr:rowOff>234042</xdr:rowOff>
    </xdr:to>
    <xdr:sp macro="" textlink="">
      <xdr:nvSpPr>
        <xdr:cNvPr id="39" name="Marco 38">
          <a:hlinkClick xmlns:r="http://schemas.openxmlformats.org/officeDocument/2006/relationships" r:id="rId1"/>
          <a:extLst>
            <a:ext uri="{FF2B5EF4-FFF2-40B4-BE49-F238E27FC236}">
              <a16:creationId xmlns:a16="http://schemas.microsoft.com/office/drawing/2014/main" id="{00000000-0008-0000-0500-000027000000}"/>
            </a:ext>
          </a:extLst>
        </xdr:cNvPr>
        <xdr:cNvSpPr/>
      </xdr:nvSpPr>
      <xdr:spPr bwMode="auto">
        <a:xfrm>
          <a:off x="20859750" y="12994821"/>
          <a:ext cx="1409700" cy="506185"/>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twoCellAnchor>
    <xdr:from>
      <xdr:col>8</xdr:col>
      <xdr:colOff>666750</xdr:colOff>
      <xdr:row>69</xdr:row>
      <xdr:rowOff>122464</xdr:rowOff>
    </xdr:from>
    <xdr:to>
      <xdr:col>8</xdr:col>
      <xdr:colOff>2076450</xdr:colOff>
      <xdr:row>70</xdr:row>
      <xdr:rowOff>125185</xdr:rowOff>
    </xdr:to>
    <xdr:sp macro="" textlink="">
      <xdr:nvSpPr>
        <xdr:cNvPr id="40" name="Marco 39">
          <a:hlinkClick xmlns:r="http://schemas.openxmlformats.org/officeDocument/2006/relationships" r:id="rId1"/>
          <a:extLst>
            <a:ext uri="{FF2B5EF4-FFF2-40B4-BE49-F238E27FC236}">
              <a16:creationId xmlns:a16="http://schemas.microsoft.com/office/drawing/2014/main" id="{00000000-0008-0000-0500-000028000000}"/>
            </a:ext>
          </a:extLst>
        </xdr:cNvPr>
        <xdr:cNvSpPr/>
      </xdr:nvSpPr>
      <xdr:spPr bwMode="auto">
        <a:xfrm>
          <a:off x="18981964" y="23472321"/>
          <a:ext cx="1409700" cy="506185"/>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twoCellAnchor>
    <xdr:from>
      <xdr:col>9</xdr:col>
      <xdr:colOff>57150</xdr:colOff>
      <xdr:row>9</xdr:row>
      <xdr:rowOff>247650</xdr:rowOff>
    </xdr:from>
    <xdr:to>
      <xdr:col>17</xdr:col>
      <xdr:colOff>718704</xdr:colOff>
      <xdr:row>20</xdr:row>
      <xdr:rowOff>216477</xdr:rowOff>
    </xdr:to>
    <xdr:sp macro="" textlink="">
      <xdr:nvSpPr>
        <xdr:cNvPr id="37" name="Rectángulo 36">
          <a:hlinkClick xmlns:r="http://schemas.openxmlformats.org/officeDocument/2006/relationships" r:id="rId2"/>
          <a:extLst>
            <a:ext uri="{FF2B5EF4-FFF2-40B4-BE49-F238E27FC236}">
              <a16:creationId xmlns:a16="http://schemas.microsoft.com/office/drawing/2014/main" id="{00000000-0008-0000-0500-000025000000}"/>
            </a:ext>
          </a:extLst>
        </xdr:cNvPr>
        <xdr:cNvSpPr/>
      </xdr:nvSpPr>
      <xdr:spPr bwMode="auto">
        <a:xfrm flipH="1">
          <a:off x="19621500" y="3200400"/>
          <a:ext cx="10700904" cy="4274127"/>
        </a:xfrm>
        <a:prstGeom prst="rect">
          <a:avLst/>
        </a:prstGeom>
        <a:ln w="57150">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algn="l"/>
          <a:r>
            <a:rPr lang="es-PE" sz="3200" b="1">
              <a:latin typeface="Arial Narrow" panose="020B0606020202030204" pitchFamily="34" charset="0"/>
              <a:cs typeface="Arial" panose="020B0604020202020204" pitchFamily="34" charset="0"/>
            </a:rPr>
            <a:t>PARA EL LLENADO DE ESTAS TABLAS</a:t>
          </a:r>
          <a:r>
            <a:rPr lang="es-PE" sz="3200" b="1" baseline="0">
              <a:latin typeface="Arial Narrow" panose="020B0606020202030204" pitchFamily="34" charset="0"/>
              <a:cs typeface="Arial" panose="020B0604020202020204" pitchFamily="34" charset="0"/>
            </a:rPr>
            <a:t>, POR FAVOR REVISAR PREVIAMENTE EL ARCHIVO </a:t>
          </a:r>
          <a:r>
            <a:rPr lang="es-PE" sz="3200" b="1" i="1" u="sng" baseline="0">
              <a:solidFill>
                <a:srgbClr val="FF0000"/>
              </a:solidFill>
              <a:latin typeface="Arial Narrow" panose="020B0606020202030204" pitchFamily="34" charset="0"/>
              <a:cs typeface="Arial" panose="020B0604020202020204" pitchFamily="34" charset="0"/>
            </a:rPr>
            <a:t>"Consideraciones prácticas para el llenado de la Encuesta Trimestral de Balanza de Pagos (ETBP)"</a:t>
          </a:r>
          <a:r>
            <a:rPr lang="es-PE" sz="3200" b="1" u="sng" baseline="0">
              <a:solidFill>
                <a:srgbClr val="FF0000"/>
              </a:solidFill>
              <a:latin typeface="Arial Narrow" panose="020B0606020202030204" pitchFamily="34" charset="0"/>
              <a:cs typeface="Arial" panose="020B0604020202020204" pitchFamily="34" charset="0"/>
            </a:rPr>
            <a:t> </a:t>
          </a:r>
          <a:r>
            <a:rPr lang="es-PE" sz="3200" b="1" baseline="0">
              <a:latin typeface="Arial Narrow" panose="020B0606020202030204" pitchFamily="34" charset="0"/>
              <a:cs typeface="Arial" panose="020B0604020202020204" pitchFamily="34" charset="0"/>
            </a:rPr>
            <a:t>DISPONIBLE EN https://www.bcrp.gob.pe/encuestas/trimestral.html</a:t>
          </a:r>
        </a:p>
        <a:p>
          <a:pPr algn="l"/>
          <a:endParaRPr lang="es-PE" sz="2000"/>
        </a:p>
      </xdr:txBody>
    </xdr:sp>
    <xdr:clientData/>
  </xdr:twoCellAnchor>
  <xdr:twoCellAnchor>
    <xdr:from>
      <xdr:col>9</xdr:col>
      <xdr:colOff>19050</xdr:colOff>
      <xdr:row>44</xdr:row>
      <xdr:rowOff>228600</xdr:rowOff>
    </xdr:from>
    <xdr:to>
      <xdr:col>17</xdr:col>
      <xdr:colOff>680604</xdr:colOff>
      <xdr:row>55</xdr:row>
      <xdr:rowOff>197427</xdr:rowOff>
    </xdr:to>
    <xdr:sp macro="" textlink="">
      <xdr:nvSpPr>
        <xdr:cNvPr id="41" name="Rectángulo 40">
          <a:hlinkClick xmlns:r="http://schemas.openxmlformats.org/officeDocument/2006/relationships" r:id="rId2"/>
          <a:extLst>
            <a:ext uri="{FF2B5EF4-FFF2-40B4-BE49-F238E27FC236}">
              <a16:creationId xmlns:a16="http://schemas.microsoft.com/office/drawing/2014/main" id="{00000000-0008-0000-0500-000029000000}"/>
            </a:ext>
          </a:extLst>
        </xdr:cNvPr>
        <xdr:cNvSpPr/>
      </xdr:nvSpPr>
      <xdr:spPr bwMode="auto">
        <a:xfrm flipH="1">
          <a:off x="19583400" y="16078200"/>
          <a:ext cx="10700904" cy="4274127"/>
        </a:xfrm>
        <a:prstGeom prst="rect">
          <a:avLst/>
        </a:prstGeom>
        <a:ln w="57150">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algn="l"/>
          <a:r>
            <a:rPr lang="es-PE" sz="3200" b="1">
              <a:latin typeface="Arial Narrow" panose="020B0606020202030204" pitchFamily="34" charset="0"/>
              <a:cs typeface="Arial" panose="020B0604020202020204" pitchFamily="34" charset="0"/>
            </a:rPr>
            <a:t>PARA EL LLENADO DE ESTAS TABLAS</a:t>
          </a:r>
          <a:r>
            <a:rPr lang="es-PE" sz="3200" b="1" baseline="0">
              <a:latin typeface="Arial Narrow" panose="020B0606020202030204" pitchFamily="34" charset="0"/>
              <a:cs typeface="Arial" panose="020B0604020202020204" pitchFamily="34" charset="0"/>
            </a:rPr>
            <a:t>, POR FAVOR REVISAR PREVIAMENTE EL ARCHIVO </a:t>
          </a:r>
          <a:r>
            <a:rPr lang="es-PE" sz="3200" b="1" i="1" u="sng" baseline="0">
              <a:solidFill>
                <a:srgbClr val="FF0000"/>
              </a:solidFill>
              <a:latin typeface="Arial Narrow" panose="020B0606020202030204" pitchFamily="34" charset="0"/>
              <a:cs typeface="Arial" panose="020B0604020202020204" pitchFamily="34" charset="0"/>
            </a:rPr>
            <a:t>"Consideraciones prácticas para el llenado de la Encuesta Trimestral de Balanza de Pagos (ETBP)"</a:t>
          </a:r>
          <a:r>
            <a:rPr lang="es-PE" sz="3200" b="1" u="sng" baseline="0">
              <a:solidFill>
                <a:srgbClr val="FF0000"/>
              </a:solidFill>
              <a:latin typeface="Arial Narrow" panose="020B0606020202030204" pitchFamily="34" charset="0"/>
              <a:cs typeface="Arial" panose="020B0604020202020204" pitchFamily="34" charset="0"/>
            </a:rPr>
            <a:t> </a:t>
          </a:r>
          <a:r>
            <a:rPr lang="es-PE" sz="3200" b="1" baseline="0">
              <a:latin typeface="Arial Narrow" panose="020B0606020202030204" pitchFamily="34" charset="0"/>
              <a:cs typeface="Arial" panose="020B0604020202020204" pitchFamily="34" charset="0"/>
            </a:rPr>
            <a:t>DISPONIBLE EN https://www.bcrp.gob.pe/encuestas/trimestral.html</a:t>
          </a:r>
        </a:p>
        <a:p>
          <a:pPr algn="l"/>
          <a:endParaRPr lang="es-PE" sz="2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625760</xdr:colOff>
      <xdr:row>2</xdr:row>
      <xdr:rowOff>142164</xdr:rowOff>
    </xdr:from>
    <xdr:to>
      <xdr:col>16</xdr:col>
      <xdr:colOff>273303</xdr:colOff>
      <xdr:row>4</xdr:row>
      <xdr:rowOff>14285</xdr:rowOff>
    </xdr:to>
    <xdr:sp macro="" textlink="">
      <xdr:nvSpPr>
        <xdr:cNvPr id="2" name="Marco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bwMode="auto">
        <a:xfrm>
          <a:off x="24049431" y="538822"/>
          <a:ext cx="1933543" cy="508860"/>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488156</xdr:colOff>
      <xdr:row>6</xdr:row>
      <xdr:rowOff>83344</xdr:rowOff>
    </xdr:from>
    <xdr:to>
      <xdr:col>11</xdr:col>
      <xdr:colOff>373856</xdr:colOff>
      <xdr:row>7</xdr:row>
      <xdr:rowOff>279967</xdr:rowOff>
    </xdr:to>
    <xdr:sp macro="" textlink="">
      <xdr:nvSpPr>
        <xdr:cNvPr id="6" name="Marco 5">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bwMode="auto">
        <a:xfrm>
          <a:off x="9060656" y="1690688"/>
          <a:ext cx="1409700" cy="506185"/>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539750</xdr:colOff>
      <xdr:row>5</xdr:row>
      <xdr:rowOff>582084</xdr:rowOff>
    </xdr:from>
    <xdr:to>
      <xdr:col>9</xdr:col>
      <xdr:colOff>256116</xdr:colOff>
      <xdr:row>7</xdr:row>
      <xdr:rowOff>156935</xdr:rowOff>
    </xdr:to>
    <xdr:sp macro="" textlink="">
      <xdr:nvSpPr>
        <xdr:cNvPr id="7" name="Marco 6">
          <a:hlinkClick xmlns:r="http://schemas.openxmlformats.org/officeDocument/2006/relationships" r:id="rId1"/>
          <a:extLst>
            <a:ext uri="{FF2B5EF4-FFF2-40B4-BE49-F238E27FC236}">
              <a16:creationId xmlns:a16="http://schemas.microsoft.com/office/drawing/2014/main" id="{00000000-0008-0000-0800-000007000000}"/>
            </a:ext>
          </a:extLst>
        </xdr:cNvPr>
        <xdr:cNvSpPr/>
      </xdr:nvSpPr>
      <xdr:spPr bwMode="auto">
        <a:xfrm>
          <a:off x="6995583" y="2180167"/>
          <a:ext cx="1409700" cy="506185"/>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2943225</xdr:colOff>
          <xdr:row>40</xdr:row>
          <xdr:rowOff>47625</xdr:rowOff>
        </xdr:from>
        <xdr:to>
          <xdr:col>4</xdr:col>
          <xdr:colOff>6172200</xdr:colOff>
          <xdr:row>40</xdr:row>
          <xdr:rowOff>247650</xdr:rowOff>
        </xdr:to>
        <xdr:sp macro="" textlink="">
          <xdr:nvSpPr>
            <xdr:cNvPr id="225293" name="TextBox1" hidden="1">
              <a:extLst>
                <a:ext uri="{63B3BB69-23CF-44E3-9099-C40C66FF867C}">
                  <a14:compatExt spid="_x0000_s225293"/>
                </a:ext>
                <a:ext uri="{FF2B5EF4-FFF2-40B4-BE49-F238E27FC236}">
                  <a16:creationId xmlns:a16="http://schemas.microsoft.com/office/drawing/2014/main" id="{00000000-0008-0000-0900-00000D70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58</xdr:row>
          <xdr:rowOff>47625</xdr:rowOff>
        </xdr:from>
        <xdr:to>
          <xdr:col>6</xdr:col>
          <xdr:colOff>171450</xdr:colOff>
          <xdr:row>58</xdr:row>
          <xdr:rowOff>238125</xdr:rowOff>
        </xdr:to>
        <xdr:sp macro="" textlink="">
          <xdr:nvSpPr>
            <xdr:cNvPr id="225294" name="ComboBox1" hidden="1">
              <a:extLst>
                <a:ext uri="{63B3BB69-23CF-44E3-9099-C40C66FF867C}">
                  <a14:compatExt spid="_x0000_s225294"/>
                </a:ext>
                <a:ext uri="{FF2B5EF4-FFF2-40B4-BE49-F238E27FC236}">
                  <a16:creationId xmlns:a16="http://schemas.microsoft.com/office/drawing/2014/main" id="{00000000-0008-0000-0900-00000E70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59</xdr:row>
          <xdr:rowOff>47625</xdr:rowOff>
        </xdr:from>
        <xdr:to>
          <xdr:col>6</xdr:col>
          <xdr:colOff>171450</xdr:colOff>
          <xdr:row>59</xdr:row>
          <xdr:rowOff>238125</xdr:rowOff>
        </xdr:to>
        <xdr:sp macro="" textlink="">
          <xdr:nvSpPr>
            <xdr:cNvPr id="225296" name="ComboBox3" hidden="1">
              <a:extLst>
                <a:ext uri="{63B3BB69-23CF-44E3-9099-C40C66FF867C}">
                  <a14:compatExt spid="_x0000_s225296"/>
                </a:ext>
                <a:ext uri="{FF2B5EF4-FFF2-40B4-BE49-F238E27FC236}">
                  <a16:creationId xmlns:a16="http://schemas.microsoft.com/office/drawing/2014/main" id="{00000000-0008-0000-0900-00001070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60</xdr:row>
          <xdr:rowOff>47625</xdr:rowOff>
        </xdr:from>
        <xdr:to>
          <xdr:col>6</xdr:col>
          <xdr:colOff>171450</xdr:colOff>
          <xdr:row>60</xdr:row>
          <xdr:rowOff>238125</xdr:rowOff>
        </xdr:to>
        <xdr:sp macro="" textlink="">
          <xdr:nvSpPr>
            <xdr:cNvPr id="225297" name="ComboBox4" hidden="1">
              <a:extLst>
                <a:ext uri="{63B3BB69-23CF-44E3-9099-C40C66FF867C}">
                  <a14:compatExt spid="_x0000_s225297"/>
                </a:ext>
                <a:ext uri="{FF2B5EF4-FFF2-40B4-BE49-F238E27FC236}">
                  <a16:creationId xmlns:a16="http://schemas.microsoft.com/office/drawing/2014/main" id="{00000000-0008-0000-0900-00001170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5</xdr:col>
      <xdr:colOff>1107622</xdr:colOff>
      <xdr:row>1</xdr:row>
      <xdr:rowOff>189140</xdr:rowOff>
    </xdr:from>
    <xdr:to>
      <xdr:col>6</xdr:col>
      <xdr:colOff>1134836</xdr:colOff>
      <xdr:row>2</xdr:row>
      <xdr:rowOff>249011</xdr:rowOff>
    </xdr:to>
    <xdr:sp macro="" textlink="">
      <xdr:nvSpPr>
        <xdr:cNvPr id="8" name="Marco 7">
          <a:hlinkClick xmlns:r="http://schemas.openxmlformats.org/officeDocument/2006/relationships" r:id="rId1"/>
          <a:extLst>
            <a:ext uri="{FF2B5EF4-FFF2-40B4-BE49-F238E27FC236}">
              <a16:creationId xmlns:a16="http://schemas.microsoft.com/office/drawing/2014/main" id="{00000000-0008-0000-0900-000008000000}"/>
            </a:ext>
          </a:extLst>
        </xdr:cNvPr>
        <xdr:cNvSpPr/>
      </xdr:nvSpPr>
      <xdr:spPr bwMode="auto">
        <a:xfrm>
          <a:off x="10165897" y="465365"/>
          <a:ext cx="1408339" cy="507546"/>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523875</xdr:colOff>
      <xdr:row>85</xdr:row>
      <xdr:rowOff>676275</xdr:rowOff>
    </xdr:from>
    <xdr:to>
      <xdr:col>8</xdr:col>
      <xdr:colOff>962025</xdr:colOff>
      <xdr:row>85</xdr:row>
      <xdr:rowOff>2085975</xdr:rowOff>
    </xdr:to>
    <xdr:sp macro="" textlink="">
      <xdr:nvSpPr>
        <xdr:cNvPr id="254531" name="Oval 37">
          <a:extLst>
            <a:ext uri="{FF2B5EF4-FFF2-40B4-BE49-F238E27FC236}">
              <a16:creationId xmlns:a16="http://schemas.microsoft.com/office/drawing/2014/main" id="{00000000-0008-0000-0A00-000043E20300}"/>
            </a:ext>
          </a:extLst>
        </xdr:cNvPr>
        <xdr:cNvSpPr>
          <a:spLocks noChangeArrowheads="1"/>
        </xdr:cNvSpPr>
      </xdr:nvSpPr>
      <xdr:spPr bwMode="auto">
        <a:xfrm>
          <a:off x="8010525" y="31261050"/>
          <a:ext cx="2038350" cy="0"/>
        </a:xfrm>
        <a:prstGeom prst="ellipse">
          <a:avLst/>
        </a:prstGeom>
        <a:solidFill>
          <a:srgbClr val="FFFF99"/>
        </a:solidFill>
        <a:ln w="50800">
          <a:solidFill>
            <a:srgbClr val="000000"/>
          </a:solidFill>
          <a:round/>
          <a:headEnd/>
          <a:tailEnd/>
        </a:ln>
      </xdr:spPr>
    </xdr:sp>
    <xdr:clientData/>
  </xdr:twoCellAnchor>
  <xdr:twoCellAnchor>
    <xdr:from>
      <xdr:col>10</xdr:col>
      <xdr:colOff>1752600</xdr:colOff>
      <xdr:row>85</xdr:row>
      <xdr:rowOff>676275</xdr:rowOff>
    </xdr:from>
    <xdr:to>
      <xdr:col>12</xdr:col>
      <xdr:colOff>190500</xdr:colOff>
      <xdr:row>85</xdr:row>
      <xdr:rowOff>2085975</xdr:rowOff>
    </xdr:to>
    <xdr:sp macro="" textlink="">
      <xdr:nvSpPr>
        <xdr:cNvPr id="254532" name="Oval 38">
          <a:extLst>
            <a:ext uri="{FF2B5EF4-FFF2-40B4-BE49-F238E27FC236}">
              <a16:creationId xmlns:a16="http://schemas.microsoft.com/office/drawing/2014/main" id="{00000000-0008-0000-0A00-000044E20300}"/>
            </a:ext>
          </a:extLst>
        </xdr:cNvPr>
        <xdr:cNvSpPr>
          <a:spLocks noChangeArrowheads="1"/>
        </xdr:cNvSpPr>
      </xdr:nvSpPr>
      <xdr:spPr bwMode="auto">
        <a:xfrm>
          <a:off x="13887450" y="31261050"/>
          <a:ext cx="1790700" cy="0"/>
        </a:xfrm>
        <a:prstGeom prst="ellipse">
          <a:avLst/>
        </a:prstGeom>
        <a:solidFill>
          <a:srgbClr val="FFFF99"/>
        </a:solidFill>
        <a:ln w="50800">
          <a:solidFill>
            <a:srgbClr val="000000"/>
          </a:solidFill>
          <a:round/>
          <a:headEnd/>
          <a:tailEnd/>
        </a:ln>
      </xdr:spPr>
    </xdr:sp>
    <xdr:clientData/>
  </xdr:twoCellAnchor>
  <xdr:twoCellAnchor>
    <xdr:from>
      <xdr:col>8</xdr:col>
      <xdr:colOff>504825</xdr:colOff>
      <xdr:row>84</xdr:row>
      <xdr:rowOff>142875</xdr:rowOff>
    </xdr:from>
    <xdr:to>
      <xdr:col>11</xdr:col>
      <xdr:colOff>419100</xdr:colOff>
      <xdr:row>85</xdr:row>
      <xdr:rowOff>828675</xdr:rowOff>
    </xdr:to>
    <xdr:sp macro="" textlink="">
      <xdr:nvSpPr>
        <xdr:cNvPr id="254533" name="Freeform 41">
          <a:extLst>
            <a:ext uri="{FF2B5EF4-FFF2-40B4-BE49-F238E27FC236}">
              <a16:creationId xmlns:a16="http://schemas.microsoft.com/office/drawing/2014/main" id="{00000000-0008-0000-0A00-000045E20300}"/>
            </a:ext>
          </a:extLst>
        </xdr:cNvPr>
        <xdr:cNvSpPr>
          <a:spLocks/>
        </xdr:cNvSpPr>
      </xdr:nvSpPr>
      <xdr:spPr bwMode="auto">
        <a:xfrm>
          <a:off x="9591675" y="31261050"/>
          <a:ext cx="4714875" cy="0"/>
        </a:xfrm>
        <a:custGeom>
          <a:avLst/>
          <a:gdLst>
            <a:gd name="T0" fmla="*/ 2147483646 w 550"/>
            <a:gd name="T1" fmla="*/ 0 h 93"/>
            <a:gd name="T2" fmla="*/ 2147483646 w 550"/>
            <a:gd name="T3" fmla="*/ 0 h 93"/>
            <a:gd name="T4" fmla="*/ 0 w 550"/>
            <a:gd name="T5" fmla="*/ 0 h 93"/>
            <a:gd name="T6" fmla="*/ 0 60000 65536"/>
            <a:gd name="T7" fmla="*/ 0 60000 65536"/>
            <a:gd name="T8" fmla="*/ 0 60000 65536"/>
            <a:gd name="T9" fmla="*/ 0 w 550"/>
            <a:gd name="T10" fmla="*/ 0 h 93"/>
            <a:gd name="T11" fmla="*/ 550 w 550"/>
            <a:gd name="T12" fmla="*/ 0 h 93"/>
          </a:gdLst>
          <a:ahLst/>
          <a:cxnLst>
            <a:cxn ang="T6">
              <a:pos x="T0" y="T1"/>
            </a:cxn>
            <a:cxn ang="T7">
              <a:pos x="T2" y="T3"/>
            </a:cxn>
            <a:cxn ang="T8">
              <a:pos x="T4" y="T5"/>
            </a:cxn>
          </a:cxnLst>
          <a:rect l="T9" t="T10" r="T11" b="T12"/>
          <a:pathLst>
            <a:path w="550" h="93">
              <a:moveTo>
                <a:pt x="550" y="86"/>
              </a:moveTo>
              <a:cubicBezTo>
                <a:pt x="448" y="43"/>
                <a:pt x="347" y="0"/>
                <a:pt x="255" y="1"/>
              </a:cubicBezTo>
              <a:cubicBezTo>
                <a:pt x="163" y="2"/>
                <a:pt x="81" y="47"/>
                <a:pt x="0" y="93"/>
              </a:cubicBezTo>
            </a:path>
          </a:pathLst>
        </a:custGeom>
        <a:noFill/>
        <a:ln w="63500">
          <a:solidFill>
            <a:srgbClr val="0000FF"/>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419100</xdr:colOff>
      <xdr:row>85</xdr:row>
      <xdr:rowOff>2057400</xdr:rowOff>
    </xdr:from>
    <xdr:to>
      <xdr:col>11</xdr:col>
      <xdr:colOff>504825</xdr:colOff>
      <xdr:row>85</xdr:row>
      <xdr:rowOff>2857500</xdr:rowOff>
    </xdr:to>
    <xdr:sp macro="" textlink="">
      <xdr:nvSpPr>
        <xdr:cNvPr id="254534" name="Freeform 44">
          <a:extLst>
            <a:ext uri="{FF2B5EF4-FFF2-40B4-BE49-F238E27FC236}">
              <a16:creationId xmlns:a16="http://schemas.microsoft.com/office/drawing/2014/main" id="{00000000-0008-0000-0A00-000046E20300}"/>
            </a:ext>
          </a:extLst>
        </xdr:cNvPr>
        <xdr:cNvSpPr>
          <a:spLocks/>
        </xdr:cNvSpPr>
      </xdr:nvSpPr>
      <xdr:spPr bwMode="auto">
        <a:xfrm>
          <a:off x="9505950" y="31261050"/>
          <a:ext cx="4886325" cy="0"/>
        </a:xfrm>
        <a:custGeom>
          <a:avLst/>
          <a:gdLst>
            <a:gd name="T0" fmla="*/ 0 w 572"/>
            <a:gd name="T1" fmla="*/ 0 h 145"/>
            <a:gd name="T2" fmla="*/ 2147483646 w 572"/>
            <a:gd name="T3" fmla="*/ 0 h 145"/>
            <a:gd name="T4" fmla="*/ 2147483646 w 572"/>
            <a:gd name="T5" fmla="*/ 0 h 145"/>
            <a:gd name="T6" fmla="*/ 0 60000 65536"/>
            <a:gd name="T7" fmla="*/ 0 60000 65536"/>
            <a:gd name="T8" fmla="*/ 0 60000 65536"/>
            <a:gd name="T9" fmla="*/ 0 w 572"/>
            <a:gd name="T10" fmla="*/ 0 h 145"/>
            <a:gd name="T11" fmla="*/ 572 w 572"/>
            <a:gd name="T12" fmla="*/ 0 h 145"/>
          </a:gdLst>
          <a:ahLst/>
          <a:cxnLst>
            <a:cxn ang="T6">
              <a:pos x="T0" y="T1"/>
            </a:cxn>
            <a:cxn ang="T7">
              <a:pos x="T2" y="T3"/>
            </a:cxn>
            <a:cxn ang="T8">
              <a:pos x="T4" y="T5"/>
            </a:cxn>
          </a:cxnLst>
          <a:rect l="T9" t="T10" r="T11" b="T12"/>
          <a:pathLst>
            <a:path w="572" h="145">
              <a:moveTo>
                <a:pt x="0" y="0"/>
              </a:moveTo>
              <a:cubicBezTo>
                <a:pt x="85" y="72"/>
                <a:pt x="171" y="145"/>
                <a:pt x="266" y="145"/>
              </a:cubicBezTo>
              <a:cubicBezTo>
                <a:pt x="361" y="145"/>
                <a:pt x="466" y="73"/>
                <a:pt x="572" y="2"/>
              </a:cubicBezTo>
            </a:path>
          </a:pathLst>
        </a:custGeom>
        <a:noFill/>
        <a:ln w="63500">
          <a:solidFill>
            <a:srgbClr val="FF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800100</xdr:colOff>
      <xdr:row>85</xdr:row>
      <xdr:rowOff>866775</xdr:rowOff>
    </xdr:from>
    <xdr:to>
      <xdr:col>8</xdr:col>
      <xdr:colOff>666750</xdr:colOff>
      <xdr:row>85</xdr:row>
      <xdr:rowOff>1771650</xdr:rowOff>
    </xdr:to>
    <xdr:sp macro="" textlink="">
      <xdr:nvSpPr>
        <xdr:cNvPr id="6" name="Text Box 45">
          <a:extLst>
            <a:ext uri="{FF2B5EF4-FFF2-40B4-BE49-F238E27FC236}">
              <a16:creationId xmlns:a16="http://schemas.microsoft.com/office/drawing/2014/main" id="{00000000-0008-0000-0A00-000006000000}"/>
            </a:ext>
          </a:extLst>
        </xdr:cNvPr>
        <xdr:cNvSpPr txBox="1">
          <a:spLocks noChangeArrowheads="1"/>
        </xdr:cNvSpPr>
      </xdr:nvSpPr>
      <xdr:spPr bwMode="auto">
        <a:xfrm>
          <a:off x="12325350" y="21536025"/>
          <a:ext cx="1562100" cy="0"/>
        </a:xfrm>
        <a:prstGeom prst="rect">
          <a:avLst/>
        </a:prstGeom>
        <a:noFill/>
        <a:ln w="9525">
          <a:noFill/>
          <a:miter lim="800000"/>
          <a:headEnd/>
          <a:tailEnd/>
        </a:ln>
      </xdr:spPr>
      <xdr:txBody>
        <a:bodyPr vertOverflow="clip" wrap="square" lIns="36576" tIns="32004" rIns="36576" bIns="0" anchor="t" upright="1"/>
        <a:lstStyle/>
        <a:p>
          <a:pPr algn="ctr" rtl="0">
            <a:defRPr sz="1000"/>
          </a:pPr>
          <a:r>
            <a:rPr lang="es-PE" sz="1600" b="0" i="0" u="none" strike="noStrike" baseline="0">
              <a:solidFill>
                <a:srgbClr val="000000"/>
              </a:solidFill>
              <a:latin typeface="Arial"/>
              <a:cs typeface="Arial"/>
            </a:rPr>
            <a:t>"B"</a:t>
          </a:r>
        </a:p>
        <a:p>
          <a:pPr algn="ctr" rtl="0">
            <a:defRPr sz="1000"/>
          </a:pPr>
          <a:r>
            <a:rPr lang="es-PE" sz="1600" b="0" i="0" u="none" strike="noStrike" baseline="0">
              <a:solidFill>
                <a:srgbClr val="000000"/>
              </a:solidFill>
              <a:latin typeface="Arial"/>
              <a:cs typeface="Arial"/>
            </a:rPr>
            <a:t>EMPRESA </a:t>
          </a:r>
        </a:p>
        <a:p>
          <a:pPr algn="ctr" rtl="0">
            <a:defRPr sz="1000"/>
          </a:pPr>
          <a:r>
            <a:rPr lang="es-PE" sz="1600" b="0" i="0" u="none" strike="noStrike" baseline="0">
              <a:solidFill>
                <a:srgbClr val="000000"/>
              </a:solidFill>
              <a:latin typeface="Arial"/>
              <a:cs typeface="Arial"/>
            </a:rPr>
            <a:t>RESIDENTE</a:t>
          </a:r>
        </a:p>
      </xdr:txBody>
    </xdr:sp>
    <xdr:clientData/>
  </xdr:twoCellAnchor>
  <xdr:twoCellAnchor>
    <xdr:from>
      <xdr:col>10</xdr:col>
      <xdr:colOff>1647825</xdr:colOff>
      <xdr:row>85</xdr:row>
      <xdr:rowOff>895350</xdr:rowOff>
    </xdr:from>
    <xdr:to>
      <xdr:col>12</xdr:col>
      <xdr:colOff>333375</xdr:colOff>
      <xdr:row>85</xdr:row>
      <xdr:rowOff>1838325</xdr:rowOff>
    </xdr:to>
    <xdr:sp macro="" textlink="">
      <xdr:nvSpPr>
        <xdr:cNvPr id="7" name="Text Box 46">
          <a:extLst>
            <a:ext uri="{FF2B5EF4-FFF2-40B4-BE49-F238E27FC236}">
              <a16:creationId xmlns:a16="http://schemas.microsoft.com/office/drawing/2014/main" id="{00000000-0008-0000-0A00-000007000000}"/>
            </a:ext>
          </a:extLst>
        </xdr:cNvPr>
        <xdr:cNvSpPr txBox="1">
          <a:spLocks noChangeArrowheads="1"/>
        </xdr:cNvSpPr>
      </xdr:nvSpPr>
      <xdr:spPr bwMode="auto">
        <a:xfrm>
          <a:off x="18259425" y="21536025"/>
          <a:ext cx="2076450" cy="0"/>
        </a:xfrm>
        <a:prstGeom prst="rect">
          <a:avLst/>
        </a:prstGeom>
        <a:noFill/>
        <a:ln w="9525">
          <a:noFill/>
          <a:miter lim="800000"/>
          <a:headEnd/>
          <a:tailEnd/>
        </a:ln>
      </xdr:spPr>
      <xdr:txBody>
        <a:bodyPr vertOverflow="clip" wrap="square" lIns="36576" tIns="32004" rIns="36576" bIns="0" anchor="t" upright="1"/>
        <a:lstStyle/>
        <a:p>
          <a:pPr algn="ctr" rtl="0">
            <a:defRPr sz="1000"/>
          </a:pPr>
          <a:r>
            <a:rPr lang="es-PE" sz="1600" b="0" i="0" u="none" strike="noStrike" baseline="0">
              <a:solidFill>
                <a:srgbClr val="000000"/>
              </a:solidFill>
              <a:latin typeface="Arial"/>
              <a:cs typeface="Arial"/>
            </a:rPr>
            <a:t>"A"</a:t>
          </a:r>
        </a:p>
        <a:p>
          <a:pPr algn="ctr" rtl="0">
            <a:defRPr sz="1000"/>
          </a:pPr>
          <a:r>
            <a:rPr lang="es-PE" sz="1600" b="0" i="0" u="none" strike="noStrike" baseline="0">
              <a:solidFill>
                <a:srgbClr val="000000"/>
              </a:solidFill>
              <a:latin typeface="Arial"/>
              <a:cs typeface="Arial"/>
            </a:rPr>
            <a:t>EMPRESA  NO RESIDENTE</a:t>
          </a:r>
        </a:p>
        <a:p>
          <a:pPr algn="ctr" rtl="0">
            <a:defRPr sz="1000"/>
          </a:pPr>
          <a:endParaRPr lang="es-PE" sz="1600" b="0" i="0" u="none" strike="noStrike" baseline="0">
            <a:solidFill>
              <a:srgbClr val="000000"/>
            </a:solidFill>
            <a:latin typeface="Arial"/>
            <a:cs typeface="Arial"/>
          </a:endParaRPr>
        </a:p>
      </xdr:txBody>
    </xdr:sp>
    <xdr:clientData/>
  </xdr:twoCellAnchor>
  <xdr:twoCellAnchor>
    <xdr:from>
      <xdr:col>9</xdr:col>
      <xdr:colOff>1266825</xdr:colOff>
      <xdr:row>83</xdr:row>
      <xdr:rowOff>571500</xdr:rowOff>
    </xdr:from>
    <xdr:to>
      <xdr:col>9</xdr:col>
      <xdr:colOff>1266825</xdr:colOff>
      <xdr:row>88</xdr:row>
      <xdr:rowOff>9525</xdr:rowOff>
    </xdr:to>
    <xdr:sp macro="" textlink="">
      <xdr:nvSpPr>
        <xdr:cNvPr id="254537" name="Line 47">
          <a:extLst>
            <a:ext uri="{FF2B5EF4-FFF2-40B4-BE49-F238E27FC236}">
              <a16:creationId xmlns:a16="http://schemas.microsoft.com/office/drawing/2014/main" id="{00000000-0008-0000-0A00-000049E20300}"/>
            </a:ext>
          </a:extLst>
        </xdr:cNvPr>
        <xdr:cNvSpPr>
          <a:spLocks noChangeShapeType="1"/>
        </xdr:cNvSpPr>
      </xdr:nvSpPr>
      <xdr:spPr bwMode="auto">
        <a:xfrm>
          <a:off x="11953875" y="31261050"/>
          <a:ext cx="0" cy="0"/>
        </a:xfrm>
        <a:prstGeom prst="line">
          <a:avLst/>
        </a:prstGeom>
        <a:noFill/>
        <a:ln w="571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314325</xdr:colOff>
      <xdr:row>85</xdr:row>
      <xdr:rowOff>1104900</xdr:rowOff>
    </xdr:from>
    <xdr:to>
      <xdr:col>9</xdr:col>
      <xdr:colOff>1200150</xdr:colOff>
      <xdr:row>85</xdr:row>
      <xdr:rowOff>1466850</xdr:rowOff>
    </xdr:to>
    <xdr:sp macro="" textlink="">
      <xdr:nvSpPr>
        <xdr:cNvPr id="9" name="Text Box 49">
          <a:extLst>
            <a:ext uri="{FF2B5EF4-FFF2-40B4-BE49-F238E27FC236}">
              <a16:creationId xmlns:a16="http://schemas.microsoft.com/office/drawing/2014/main" id="{00000000-0008-0000-0A00-000009000000}"/>
            </a:ext>
          </a:extLst>
        </xdr:cNvPr>
        <xdr:cNvSpPr txBox="1">
          <a:spLocks noChangeArrowheads="1"/>
        </xdr:cNvSpPr>
      </xdr:nvSpPr>
      <xdr:spPr bwMode="auto">
        <a:xfrm>
          <a:off x="15230475" y="21536025"/>
          <a:ext cx="885825" cy="0"/>
        </a:xfrm>
        <a:prstGeom prst="rect">
          <a:avLst/>
        </a:prstGeom>
        <a:solidFill>
          <a:srgbClr val="FFFFFF"/>
        </a:solidFill>
        <a:ln w="9525">
          <a:noFill/>
          <a:miter lim="800000"/>
          <a:headEnd/>
          <a:tailEnd/>
        </a:ln>
      </xdr:spPr>
      <xdr:txBody>
        <a:bodyPr vertOverflow="clip" wrap="square" lIns="45720" tIns="41148" rIns="0" bIns="0" anchor="t" upright="1"/>
        <a:lstStyle/>
        <a:p>
          <a:pPr algn="l" rtl="0">
            <a:defRPr sz="1000"/>
          </a:pPr>
          <a:r>
            <a:rPr lang="es-PE" sz="2000" b="1" i="0" u="none" strike="noStrike" baseline="0">
              <a:solidFill>
                <a:srgbClr val="000000"/>
              </a:solidFill>
              <a:latin typeface="Arial"/>
              <a:cs typeface="Arial"/>
            </a:rPr>
            <a:t>PERÚ</a:t>
          </a:r>
        </a:p>
      </xdr:txBody>
    </xdr:sp>
    <xdr:clientData/>
  </xdr:twoCellAnchor>
  <xdr:twoCellAnchor>
    <xdr:from>
      <xdr:col>9</xdr:col>
      <xdr:colOff>1457325</xdr:colOff>
      <xdr:row>85</xdr:row>
      <xdr:rowOff>1143000</xdr:rowOff>
    </xdr:from>
    <xdr:to>
      <xdr:col>10</xdr:col>
      <xdr:colOff>1676400</xdr:colOff>
      <xdr:row>85</xdr:row>
      <xdr:rowOff>1485900</xdr:rowOff>
    </xdr:to>
    <xdr:sp macro="" textlink="">
      <xdr:nvSpPr>
        <xdr:cNvPr id="10" name="Text Box 50">
          <a:extLst>
            <a:ext uri="{FF2B5EF4-FFF2-40B4-BE49-F238E27FC236}">
              <a16:creationId xmlns:a16="http://schemas.microsoft.com/office/drawing/2014/main" id="{00000000-0008-0000-0A00-00000A000000}"/>
            </a:ext>
          </a:extLst>
        </xdr:cNvPr>
        <xdr:cNvSpPr txBox="1">
          <a:spLocks noChangeArrowheads="1"/>
        </xdr:cNvSpPr>
      </xdr:nvSpPr>
      <xdr:spPr bwMode="auto">
        <a:xfrm>
          <a:off x="16373475" y="21536025"/>
          <a:ext cx="1914525" cy="0"/>
        </a:xfrm>
        <a:prstGeom prst="rect">
          <a:avLst/>
        </a:prstGeom>
        <a:solidFill>
          <a:srgbClr val="FFFFFF"/>
        </a:solidFill>
        <a:ln w="9525">
          <a:noFill/>
          <a:miter lim="800000"/>
          <a:headEnd/>
          <a:tailEnd/>
        </a:ln>
      </xdr:spPr>
      <xdr:txBody>
        <a:bodyPr vertOverflow="clip" wrap="square" lIns="45720" tIns="36576" rIns="0" bIns="0" anchor="t" upright="1"/>
        <a:lstStyle/>
        <a:p>
          <a:pPr algn="l" rtl="0">
            <a:defRPr sz="1000"/>
          </a:pPr>
          <a:r>
            <a:rPr lang="es-PE" sz="1800" b="1" i="0" u="none" strike="noStrike" baseline="0">
              <a:solidFill>
                <a:srgbClr val="000000"/>
              </a:solidFill>
              <a:latin typeface="Arial"/>
              <a:cs typeface="Arial"/>
            </a:rPr>
            <a:t>EXTRANJERO</a:t>
          </a:r>
        </a:p>
      </xdr:txBody>
    </xdr:sp>
    <xdr:clientData/>
  </xdr:twoCellAnchor>
  <xdr:twoCellAnchor>
    <xdr:from>
      <xdr:col>7</xdr:col>
      <xdr:colOff>781050</xdr:colOff>
      <xdr:row>86</xdr:row>
      <xdr:rowOff>152400</xdr:rowOff>
    </xdr:from>
    <xdr:to>
      <xdr:col>8</xdr:col>
      <xdr:colOff>1333500</xdr:colOff>
      <xdr:row>91</xdr:row>
      <xdr:rowOff>85725</xdr:rowOff>
    </xdr:to>
    <xdr:sp macro="" textlink="">
      <xdr:nvSpPr>
        <xdr:cNvPr id="11" name="AutoShape 51">
          <a:extLst>
            <a:ext uri="{FF2B5EF4-FFF2-40B4-BE49-F238E27FC236}">
              <a16:creationId xmlns:a16="http://schemas.microsoft.com/office/drawing/2014/main" id="{00000000-0008-0000-0A00-00000B000000}"/>
            </a:ext>
          </a:extLst>
        </xdr:cNvPr>
        <xdr:cNvSpPr>
          <a:spLocks/>
        </xdr:cNvSpPr>
      </xdr:nvSpPr>
      <xdr:spPr bwMode="auto">
        <a:xfrm>
          <a:off x="12306300" y="21536025"/>
          <a:ext cx="2247900" cy="0"/>
        </a:xfrm>
        <a:prstGeom prst="borderCallout1">
          <a:avLst>
            <a:gd name="adj1" fmla="val 12245"/>
            <a:gd name="adj2" fmla="val 103685"/>
            <a:gd name="adj3" fmla="val -28569"/>
            <a:gd name="adj4" fmla="val 141935"/>
          </a:avLst>
        </a:prstGeom>
        <a:solidFill>
          <a:srgbClr val="FFFFFF"/>
        </a:solidFill>
        <a:ln w="9525">
          <a:solidFill>
            <a:srgbClr val="FF0000"/>
          </a:solidFill>
          <a:miter lim="800000"/>
          <a:headEnd/>
          <a:tailEnd/>
        </a:ln>
      </xdr:spPr>
      <xdr:txBody>
        <a:bodyPr vertOverflow="clip" wrap="square" lIns="45720" tIns="36576" rIns="45720" bIns="0" anchor="t" upright="1"/>
        <a:lstStyle/>
        <a:p>
          <a:pPr algn="ctr" rtl="0">
            <a:defRPr sz="1000"/>
          </a:pPr>
          <a:r>
            <a:rPr lang="es-PE" sz="1800" b="0" i="0" u="none" strike="noStrike" baseline="0">
              <a:solidFill>
                <a:srgbClr val="000000"/>
              </a:solidFill>
              <a:latin typeface="Arial"/>
              <a:cs typeface="Arial"/>
            </a:rPr>
            <a:t>"B" posee participación en el capital de "A".</a:t>
          </a:r>
        </a:p>
      </xdr:txBody>
    </xdr:sp>
    <xdr:clientData/>
  </xdr:twoCellAnchor>
  <xdr:twoCellAnchor>
    <xdr:from>
      <xdr:col>10</xdr:col>
      <xdr:colOff>1457325</xdr:colOff>
      <xdr:row>83</xdr:row>
      <xdr:rowOff>466725</xdr:rowOff>
    </xdr:from>
    <xdr:to>
      <xdr:col>11</xdr:col>
      <xdr:colOff>1381125</xdr:colOff>
      <xdr:row>84</xdr:row>
      <xdr:rowOff>381000</xdr:rowOff>
    </xdr:to>
    <xdr:sp macro="" textlink="">
      <xdr:nvSpPr>
        <xdr:cNvPr id="12" name="AutoShape 52">
          <a:extLst>
            <a:ext uri="{FF2B5EF4-FFF2-40B4-BE49-F238E27FC236}">
              <a16:creationId xmlns:a16="http://schemas.microsoft.com/office/drawing/2014/main" id="{00000000-0008-0000-0A00-00000C000000}"/>
            </a:ext>
          </a:extLst>
        </xdr:cNvPr>
        <xdr:cNvSpPr>
          <a:spLocks/>
        </xdr:cNvSpPr>
      </xdr:nvSpPr>
      <xdr:spPr bwMode="auto">
        <a:xfrm>
          <a:off x="18068925" y="21536025"/>
          <a:ext cx="1619250" cy="0"/>
        </a:xfrm>
        <a:prstGeom prst="borderCallout1">
          <a:avLst>
            <a:gd name="adj1" fmla="val 13333"/>
            <a:gd name="adj2" fmla="val -4468"/>
            <a:gd name="adj3" fmla="val 76667"/>
            <a:gd name="adj4" fmla="val -60333"/>
          </a:avLst>
        </a:prstGeom>
        <a:solidFill>
          <a:srgbClr val="FFFFFF"/>
        </a:solidFill>
        <a:ln w="9525">
          <a:solidFill>
            <a:srgbClr val="0000FF"/>
          </a:solidFill>
          <a:miter lim="800000"/>
          <a:headEnd/>
          <a:tailEnd/>
        </a:ln>
      </xdr:spPr>
      <xdr:txBody>
        <a:bodyPr vertOverflow="clip" wrap="square" lIns="36576" tIns="32004" rIns="36576" bIns="0" anchor="t" upright="1"/>
        <a:lstStyle/>
        <a:p>
          <a:pPr algn="ctr" rtl="0">
            <a:defRPr sz="1000"/>
          </a:pPr>
          <a:r>
            <a:rPr lang="es-PE" sz="1600" b="0" i="0" u="none" strike="noStrike" baseline="0">
              <a:solidFill>
                <a:srgbClr val="000000"/>
              </a:solidFill>
              <a:latin typeface="Arial"/>
              <a:cs typeface="Arial"/>
            </a:rPr>
            <a:t>"A" posee participación en el capital de "B"</a:t>
          </a:r>
        </a:p>
      </xdr:txBody>
    </xdr:sp>
    <xdr:clientData/>
  </xdr:twoCellAnchor>
  <xdr:twoCellAnchor>
    <xdr:from>
      <xdr:col>5</xdr:col>
      <xdr:colOff>47625</xdr:colOff>
      <xdr:row>85</xdr:row>
      <xdr:rowOff>66675</xdr:rowOff>
    </xdr:from>
    <xdr:to>
      <xdr:col>7</xdr:col>
      <xdr:colOff>285750</xdr:colOff>
      <xdr:row>91</xdr:row>
      <xdr:rowOff>238125</xdr:rowOff>
    </xdr:to>
    <xdr:sp macro="" textlink="">
      <xdr:nvSpPr>
        <xdr:cNvPr id="13" name="Text Box 53">
          <a:extLst>
            <a:ext uri="{FF2B5EF4-FFF2-40B4-BE49-F238E27FC236}">
              <a16:creationId xmlns:a16="http://schemas.microsoft.com/office/drawing/2014/main" id="{00000000-0008-0000-0A00-00000D000000}"/>
            </a:ext>
          </a:extLst>
        </xdr:cNvPr>
        <xdr:cNvSpPr txBox="1">
          <a:spLocks noChangeArrowheads="1"/>
        </xdr:cNvSpPr>
      </xdr:nvSpPr>
      <xdr:spPr bwMode="auto">
        <a:xfrm>
          <a:off x="4133850" y="21536025"/>
          <a:ext cx="7677150" cy="0"/>
        </a:xfrm>
        <a:prstGeom prst="rect">
          <a:avLst/>
        </a:prstGeom>
        <a:solidFill>
          <a:srgbClr val="FFFFFF"/>
        </a:solidFill>
        <a:ln w="9525">
          <a:solidFill>
            <a:srgbClr val="000000"/>
          </a:solidFill>
          <a:miter lim="800000"/>
          <a:headEnd/>
          <a:tailEnd/>
        </a:ln>
      </xdr:spPr>
      <xdr:txBody>
        <a:bodyPr vertOverflow="clip" wrap="square" lIns="45720" tIns="36576" rIns="0" bIns="0" anchor="t" upright="1"/>
        <a:lstStyle/>
        <a:p>
          <a:pPr algn="l" rtl="0">
            <a:defRPr sz="1000"/>
          </a:pPr>
          <a:r>
            <a:rPr lang="es-PE" sz="2000" b="0" i="0" u="none" strike="noStrike" baseline="0">
              <a:solidFill>
                <a:srgbClr val="000000"/>
              </a:solidFill>
              <a:latin typeface="Arial"/>
              <a:cs typeface="Arial"/>
            </a:rPr>
            <a:t>Las flechas (en rojo y azul) indican la participación </a:t>
          </a:r>
          <a:r>
            <a:rPr lang="es-PE" sz="2000" b="0" i="0" u="sng" strike="noStrike" baseline="0">
              <a:solidFill>
                <a:srgbClr val="000000"/>
              </a:solidFill>
              <a:latin typeface="Arial"/>
              <a:cs typeface="Arial"/>
            </a:rPr>
            <a:t>simultánea</a:t>
          </a:r>
          <a:r>
            <a:rPr lang="es-PE" sz="2000" b="0" i="0" u="none" strike="noStrike" baseline="0">
              <a:solidFill>
                <a:srgbClr val="000000"/>
              </a:solidFill>
              <a:latin typeface="Arial"/>
              <a:cs typeface="Arial"/>
            </a:rPr>
            <a:t> en el capital de una empresa respecto de otra. La empresa que responde la presente encuesta es "B".</a:t>
          </a:r>
        </a:p>
        <a:p>
          <a:pPr algn="l" rtl="0">
            <a:defRPr sz="1000"/>
          </a:pPr>
          <a:endParaRPr lang="es-PE" sz="2000" b="0" i="0" u="none" strike="noStrike" baseline="0">
            <a:solidFill>
              <a:srgbClr val="000000"/>
            </a:solidFill>
            <a:latin typeface="Arial"/>
            <a:cs typeface="Arial"/>
          </a:endParaRPr>
        </a:p>
        <a:p>
          <a:pPr algn="l" rtl="0">
            <a:defRPr sz="1000"/>
          </a:pPr>
          <a:r>
            <a:rPr lang="es-PE" sz="2000" b="0" i="0" u="none" strike="noStrike" baseline="0">
              <a:solidFill>
                <a:srgbClr val="000000"/>
              </a:solidFill>
              <a:latin typeface="Arial"/>
              <a:cs typeface="Arial"/>
            </a:rPr>
            <a:t>La flecha azul indica la participación en el capital que la empresa "A", no residente, posee en la empresa "B", residente.</a:t>
          </a:r>
        </a:p>
        <a:p>
          <a:pPr algn="l" rtl="0">
            <a:defRPr sz="1000"/>
          </a:pPr>
          <a:endParaRPr lang="es-PE" sz="2000" b="0" i="0" u="none" strike="noStrike" baseline="0">
            <a:solidFill>
              <a:srgbClr val="000000"/>
            </a:solidFill>
            <a:latin typeface="Arial"/>
            <a:cs typeface="Arial"/>
          </a:endParaRPr>
        </a:p>
        <a:p>
          <a:pPr algn="l" rtl="0">
            <a:defRPr sz="1000"/>
          </a:pPr>
          <a:r>
            <a:rPr lang="es-PE" sz="2000" b="0" i="0" u="none" strike="noStrike" baseline="0">
              <a:solidFill>
                <a:srgbClr val="000000"/>
              </a:solidFill>
              <a:latin typeface="Arial"/>
              <a:cs typeface="Arial"/>
            </a:rPr>
            <a:t>La flecha roja indica la participación en el capital que la empresa "B", residente, posee en la empresa "A", no residente. </a:t>
          </a:r>
        </a:p>
      </xdr:txBody>
    </xdr:sp>
    <xdr:clientData/>
  </xdr:twoCellAnchor>
  <xdr:twoCellAnchor>
    <xdr:from>
      <xdr:col>5</xdr:col>
      <xdr:colOff>38100</xdr:colOff>
      <xdr:row>83</xdr:row>
      <xdr:rowOff>228600</xdr:rowOff>
    </xdr:from>
    <xdr:to>
      <xdr:col>7</xdr:col>
      <xdr:colOff>295275</xdr:colOff>
      <xdr:row>84</xdr:row>
      <xdr:rowOff>104775</xdr:rowOff>
    </xdr:to>
    <xdr:sp macro="" textlink="">
      <xdr:nvSpPr>
        <xdr:cNvPr id="14" name="Text Box 54">
          <a:extLst>
            <a:ext uri="{FF2B5EF4-FFF2-40B4-BE49-F238E27FC236}">
              <a16:creationId xmlns:a16="http://schemas.microsoft.com/office/drawing/2014/main" id="{00000000-0008-0000-0A00-00000E000000}"/>
            </a:ext>
          </a:extLst>
        </xdr:cNvPr>
        <xdr:cNvSpPr txBox="1">
          <a:spLocks noChangeArrowheads="1"/>
        </xdr:cNvSpPr>
      </xdr:nvSpPr>
      <xdr:spPr bwMode="auto">
        <a:xfrm>
          <a:off x="4124325" y="21536025"/>
          <a:ext cx="7696200" cy="0"/>
        </a:xfrm>
        <a:prstGeom prst="rect">
          <a:avLst/>
        </a:prstGeom>
        <a:solidFill>
          <a:srgbClr val="CCFFFF"/>
        </a:solidFill>
        <a:ln w="9525">
          <a:solidFill>
            <a:srgbClr val="000000"/>
          </a:solidFill>
          <a:miter lim="800000"/>
          <a:headEnd/>
          <a:tailEnd/>
        </a:ln>
      </xdr:spPr>
      <xdr:txBody>
        <a:bodyPr vertOverflow="clip" wrap="square" lIns="54864" tIns="41148" rIns="54864" bIns="0" anchor="t" upright="1"/>
        <a:lstStyle/>
        <a:p>
          <a:pPr algn="ctr" rtl="0">
            <a:defRPr sz="1000"/>
          </a:pPr>
          <a:r>
            <a:rPr lang="es-PE" sz="2400" b="1" i="0" u="none" strike="noStrike" baseline="0">
              <a:solidFill>
                <a:srgbClr val="000000"/>
              </a:solidFill>
              <a:latin typeface="Arial"/>
              <a:cs typeface="Arial"/>
            </a:rPr>
            <a:t>MEMO: INVERSION SIMULTÁNEA </a:t>
          </a:r>
        </a:p>
        <a:p>
          <a:pPr algn="ctr" rtl="0">
            <a:defRPr sz="1000"/>
          </a:pPr>
          <a:r>
            <a:rPr lang="es-PE" sz="2400" b="1" i="0" u="none" strike="noStrike" baseline="0">
              <a:solidFill>
                <a:srgbClr val="000000"/>
              </a:solidFill>
              <a:latin typeface="Arial"/>
              <a:cs typeface="Arial"/>
            </a:rPr>
            <a:t>EN SENTIDO INVERSO</a:t>
          </a:r>
        </a:p>
      </xdr:txBody>
    </xdr:sp>
    <xdr:clientData/>
  </xdr:twoCellAnchor>
  <xdr:twoCellAnchor>
    <xdr:from>
      <xdr:col>5</xdr:col>
      <xdr:colOff>38100</xdr:colOff>
      <xdr:row>93</xdr:row>
      <xdr:rowOff>314325</xdr:rowOff>
    </xdr:from>
    <xdr:to>
      <xdr:col>7</xdr:col>
      <xdr:colOff>295275</xdr:colOff>
      <xdr:row>96</xdr:row>
      <xdr:rowOff>66675</xdr:rowOff>
    </xdr:to>
    <xdr:sp macro="" textlink="">
      <xdr:nvSpPr>
        <xdr:cNvPr id="15" name="Rectangle 55">
          <a:extLst>
            <a:ext uri="{FF2B5EF4-FFF2-40B4-BE49-F238E27FC236}">
              <a16:creationId xmlns:a16="http://schemas.microsoft.com/office/drawing/2014/main" id="{00000000-0008-0000-0A00-00000F000000}"/>
            </a:ext>
          </a:extLst>
        </xdr:cNvPr>
        <xdr:cNvSpPr>
          <a:spLocks noChangeArrowheads="1"/>
        </xdr:cNvSpPr>
      </xdr:nvSpPr>
      <xdr:spPr bwMode="auto">
        <a:xfrm>
          <a:off x="4124325" y="21536025"/>
          <a:ext cx="7696200" cy="0"/>
        </a:xfrm>
        <a:prstGeom prst="rect">
          <a:avLst/>
        </a:prstGeom>
        <a:solidFill>
          <a:srgbClr val="FFFFFF"/>
        </a:solidFill>
        <a:ln w="9525">
          <a:solidFill>
            <a:srgbClr val="000000"/>
          </a:solidFill>
          <a:miter lim="800000"/>
          <a:headEnd/>
          <a:tailEnd/>
        </a:ln>
      </xdr:spPr>
      <xdr:txBody>
        <a:bodyPr vertOverflow="clip" wrap="square" lIns="45720" tIns="36576" rIns="0" bIns="0" anchor="t" upright="1"/>
        <a:lstStyle/>
        <a:p>
          <a:pPr algn="l" rtl="0">
            <a:defRPr sz="1000"/>
          </a:pPr>
          <a:r>
            <a:rPr lang="es-PE" sz="1800" b="0" i="0" u="none" strike="noStrike" baseline="0">
              <a:solidFill>
                <a:srgbClr val="0000FF"/>
              </a:solidFill>
              <a:latin typeface="Arial"/>
              <a:cs typeface="Arial"/>
            </a:rPr>
            <a:t>¿Existe entre su empresa "B" y otra empresa no residente "A" una  </a:t>
          </a:r>
          <a:r>
            <a:rPr lang="es-PE" sz="1800" b="0" i="0" u="sng" strike="noStrike" baseline="0">
              <a:solidFill>
                <a:srgbClr val="0000FF"/>
              </a:solidFill>
              <a:latin typeface="Arial"/>
              <a:cs typeface="Arial"/>
            </a:rPr>
            <a:t>participación simultánea</a:t>
          </a:r>
          <a:r>
            <a:rPr lang="es-PE" sz="1800" b="0" i="0" u="none" strike="noStrike" baseline="0">
              <a:solidFill>
                <a:srgbClr val="0000FF"/>
              </a:solidFill>
              <a:latin typeface="Arial"/>
              <a:cs typeface="Arial"/>
            </a:rPr>
            <a:t>, tal como lo indican las flechas de azul y rojo ?</a:t>
          </a:r>
        </a:p>
      </xdr:txBody>
    </xdr:sp>
    <xdr:clientData/>
  </xdr:twoCellAnchor>
  <xdr:twoCellAnchor>
    <xdr:from>
      <xdr:col>7</xdr:col>
      <xdr:colOff>419100</xdr:colOff>
      <xdr:row>83</xdr:row>
      <xdr:rowOff>238125</xdr:rowOff>
    </xdr:from>
    <xdr:to>
      <xdr:col>12</xdr:col>
      <xdr:colOff>209550</xdr:colOff>
      <xdr:row>91</xdr:row>
      <xdr:rowOff>304800</xdr:rowOff>
    </xdr:to>
    <xdr:sp macro="" textlink="">
      <xdr:nvSpPr>
        <xdr:cNvPr id="254545" name="Rectangle 56">
          <a:extLst>
            <a:ext uri="{FF2B5EF4-FFF2-40B4-BE49-F238E27FC236}">
              <a16:creationId xmlns:a16="http://schemas.microsoft.com/office/drawing/2014/main" id="{00000000-0008-0000-0A00-000051E20300}"/>
            </a:ext>
          </a:extLst>
        </xdr:cNvPr>
        <xdr:cNvSpPr>
          <a:spLocks noChangeArrowheads="1"/>
        </xdr:cNvSpPr>
      </xdr:nvSpPr>
      <xdr:spPr bwMode="auto">
        <a:xfrm>
          <a:off x="7905750" y="31261050"/>
          <a:ext cx="779145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295275</xdr:colOff>
      <xdr:row>93</xdr:row>
      <xdr:rowOff>314325</xdr:rowOff>
    </xdr:from>
    <xdr:to>
      <xdr:col>8</xdr:col>
      <xdr:colOff>9525</xdr:colOff>
      <xdr:row>94</xdr:row>
      <xdr:rowOff>152400</xdr:rowOff>
    </xdr:to>
    <xdr:sp macro="" textlink="">
      <xdr:nvSpPr>
        <xdr:cNvPr id="254546" name="Line 57">
          <a:extLst>
            <a:ext uri="{FF2B5EF4-FFF2-40B4-BE49-F238E27FC236}">
              <a16:creationId xmlns:a16="http://schemas.microsoft.com/office/drawing/2014/main" id="{00000000-0008-0000-0A00-000052E20300}"/>
            </a:ext>
          </a:extLst>
        </xdr:cNvPr>
        <xdr:cNvSpPr>
          <a:spLocks noChangeShapeType="1"/>
        </xdr:cNvSpPr>
      </xdr:nvSpPr>
      <xdr:spPr bwMode="auto">
        <a:xfrm flipV="1">
          <a:off x="7781925" y="31261050"/>
          <a:ext cx="1314450" cy="0"/>
        </a:xfrm>
        <a:prstGeom prst="line">
          <a:avLst/>
        </a:prstGeom>
        <a:noFill/>
        <a:ln w="2857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19050</xdr:colOff>
      <xdr:row>92</xdr:row>
      <xdr:rowOff>0</xdr:rowOff>
    </xdr:from>
    <xdr:to>
      <xdr:col>7</xdr:col>
      <xdr:colOff>295275</xdr:colOff>
      <xdr:row>93</xdr:row>
      <xdr:rowOff>219075</xdr:rowOff>
    </xdr:to>
    <xdr:sp macro="" textlink="">
      <xdr:nvSpPr>
        <xdr:cNvPr id="18" name="Text Box 58">
          <a:extLst>
            <a:ext uri="{FF2B5EF4-FFF2-40B4-BE49-F238E27FC236}">
              <a16:creationId xmlns:a16="http://schemas.microsoft.com/office/drawing/2014/main" id="{00000000-0008-0000-0A00-000012000000}"/>
            </a:ext>
          </a:extLst>
        </xdr:cNvPr>
        <xdr:cNvSpPr txBox="1">
          <a:spLocks noChangeArrowheads="1"/>
        </xdr:cNvSpPr>
      </xdr:nvSpPr>
      <xdr:spPr bwMode="auto">
        <a:xfrm>
          <a:off x="4105275" y="21536025"/>
          <a:ext cx="7715250" cy="0"/>
        </a:xfrm>
        <a:prstGeom prst="rect">
          <a:avLst/>
        </a:prstGeom>
        <a:solidFill>
          <a:srgbClr val="CCFFFF"/>
        </a:solidFill>
        <a:ln w="9525">
          <a:solidFill>
            <a:srgbClr val="000000"/>
          </a:solidFill>
          <a:miter lim="800000"/>
          <a:headEnd/>
          <a:tailEnd/>
        </a:ln>
      </xdr:spPr>
      <xdr:txBody>
        <a:bodyPr vertOverflow="clip" wrap="square" lIns="45720" tIns="36576" rIns="45720" bIns="0" anchor="t" upright="1"/>
        <a:lstStyle/>
        <a:p>
          <a:pPr algn="ctr" rtl="0">
            <a:defRPr sz="1000"/>
          </a:pPr>
          <a:r>
            <a:rPr lang="es-PE" sz="1800" b="1" i="0" u="none" strike="noStrike" baseline="0">
              <a:solidFill>
                <a:srgbClr val="0000FF"/>
              </a:solidFill>
              <a:latin typeface="Arial"/>
              <a:cs typeface="Arial"/>
            </a:rPr>
            <a:t>RESPONDA POR FAVOR LA SIGUIENTE PREGUNTA</a:t>
          </a:r>
        </a:p>
      </xdr:txBody>
    </xdr:sp>
    <xdr:clientData/>
  </xdr:twoCellAnchor>
  <xdr:twoCellAnchor>
    <xdr:from>
      <xdr:col>12</xdr:col>
      <xdr:colOff>971550</xdr:colOff>
      <xdr:row>87</xdr:row>
      <xdr:rowOff>66675</xdr:rowOff>
    </xdr:from>
    <xdr:to>
      <xdr:col>14</xdr:col>
      <xdr:colOff>0</xdr:colOff>
      <xdr:row>94</xdr:row>
      <xdr:rowOff>114300</xdr:rowOff>
    </xdr:to>
    <xdr:sp macro="" textlink="">
      <xdr:nvSpPr>
        <xdr:cNvPr id="19" name="Text Box 59">
          <a:extLst>
            <a:ext uri="{FF2B5EF4-FFF2-40B4-BE49-F238E27FC236}">
              <a16:creationId xmlns:a16="http://schemas.microsoft.com/office/drawing/2014/main" id="{00000000-0008-0000-0A00-000013000000}"/>
            </a:ext>
          </a:extLst>
        </xdr:cNvPr>
        <xdr:cNvSpPr txBox="1">
          <a:spLocks noChangeArrowheads="1"/>
        </xdr:cNvSpPr>
      </xdr:nvSpPr>
      <xdr:spPr bwMode="auto">
        <a:xfrm>
          <a:off x="20974050" y="21536025"/>
          <a:ext cx="2419350" cy="0"/>
        </a:xfrm>
        <a:prstGeom prst="rect">
          <a:avLst/>
        </a:prstGeom>
        <a:noFill/>
        <a:ln w="9525">
          <a:noFill/>
          <a:miter lim="800000"/>
          <a:headEnd/>
          <a:tailEnd/>
        </a:ln>
      </xdr:spPr>
      <xdr:txBody>
        <a:bodyPr vertOverflow="clip" wrap="square" lIns="54864" tIns="50292" rIns="0" bIns="0" anchor="t" upright="1"/>
        <a:lstStyle/>
        <a:p>
          <a:pPr algn="l" rtl="0">
            <a:defRPr sz="1000"/>
          </a:pPr>
          <a:r>
            <a:rPr lang="es-PE" sz="2600" b="1" i="0" u="none" strike="noStrike" baseline="0">
              <a:solidFill>
                <a:srgbClr val="008000"/>
              </a:solidFill>
              <a:latin typeface="Arial"/>
              <a:cs typeface="Arial"/>
            </a:rPr>
            <a:t>Nota: Cualquiera sea su respuesta aquí, no deje de responder la Sección F.</a:t>
          </a:r>
        </a:p>
      </xdr:txBody>
    </xdr:sp>
    <xdr:clientData/>
  </xdr:twoCellAnchor>
  <xdr:twoCellAnchor>
    <xdr:from>
      <xdr:col>10</xdr:col>
      <xdr:colOff>295275</xdr:colOff>
      <xdr:row>91</xdr:row>
      <xdr:rowOff>295275</xdr:rowOff>
    </xdr:from>
    <xdr:to>
      <xdr:col>12</xdr:col>
      <xdr:colOff>847725</xdr:colOff>
      <xdr:row>94</xdr:row>
      <xdr:rowOff>47625</xdr:rowOff>
    </xdr:to>
    <xdr:sp macro="" textlink="">
      <xdr:nvSpPr>
        <xdr:cNvPr id="254549" name="Line 61">
          <a:extLst>
            <a:ext uri="{FF2B5EF4-FFF2-40B4-BE49-F238E27FC236}">
              <a16:creationId xmlns:a16="http://schemas.microsoft.com/office/drawing/2014/main" id="{00000000-0008-0000-0A00-000055E20300}"/>
            </a:ext>
          </a:extLst>
        </xdr:cNvPr>
        <xdr:cNvSpPr>
          <a:spLocks noChangeShapeType="1"/>
        </xdr:cNvSpPr>
      </xdr:nvSpPr>
      <xdr:spPr bwMode="auto">
        <a:xfrm flipH="1">
          <a:off x="12582525" y="31261050"/>
          <a:ext cx="3752850" cy="0"/>
        </a:xfrm>
        <a:prstGeom prst="line">
          <a:avLst/>
        </a:prstGeom>
        <a:noFill/>
        <a:ln w="50800">
          <a:solidFill>
            <a:srgbClr val="008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489857</xdr:colOff>
      <xdr:row>8</xdr:row>
      <xdr:rowOff>13608</xdr:rowOff>
    </xdr:from>
    <xdr:to>
      <xdr:col>16</xdr:col>
      <xdr:colOff>375557</xdr:colOff>
      <xdr:row>9</xdr:row>
      <xdr:rowOff>57150</xdr:rowOff>
    </xdr:to>
    <xdr:sp macro="" textlink="">
      <xdr:nvSpPr>
        <xdr:cNvPr id="25" name="Marco 24">
          <a:hlinkClick xmlns:r="http://schemas.openxmlformats.org/officeDocument/2006/relationships" r:id="rId1"/>
          <a:extLst>
            <a:ext uri="{FF2B5EF4-FFF2-40B4-BE49-F238E27FC236}">
              <a16:creationId xmlns:a16="http://schemas.microsoft.com/office/drawing/2014/main" id="{00000000-0008-0000-0A00-000019000000}"/>
            </a:ext>
          </a:extLst>
        </xdr:cNvPr>
        <xdr:cNvSpPr/>
      </xdr:nvSpPr>
      <xdr:spPr bwMode="auto">
        <a:xfrm>
          <a:off x="19213286" y="2558144"/>
          <a:ext cx="1409700" cy="506185"/>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twoCellAnchor>
    <xdr:from>
      <xdr:col>14</xdr:col>
      <xdr:colOff>476250</xdr:colOff>
      <xdr:row>38</xdr:row>
      <xdr:rowOff>476250</xdr:rowOff>
    </xdr:from>
    <xdr:to>
      <xdr:col>16</xdr:col>
      <xdr:colOff>361950</xdr:colOff>
      <xdr:row>40</xdr:row>
      <xdr:rowOff>29935</xdr:rowOff>
    </xdr:to>
    <xdr:sp macro="" textlink="">
      <xdr:nvSpPr>
        <xdr:cNvPr id="28" name="Marco 27">
          <a:hlinkClick xmlns:r="http://schemas.openxmlformats.org/officeDocument/2006/relationships" r:id="rId1"/>
          <a:extLst>
            <a:ext uri="{FF2B5EF4-FFF2-40B4-BE49-F238E27FC236}">
              <a16:creationId xmlns:a16="http://schemas.microsoft.com/office/drawing/2014/main" id="{00000000-0008-0000-0A00-00001C000000}"/>
            </a:ext>
          </a:extLst>
        </xdr:cNvPr>
        <xdr:cNvSpPr/>
      </xdr:nvSpPr>
      <xdr:spPr bwMode="auto">
        <a:xfrm>
          <a:off x="19199679" y="13879286"/>
          <a:ext cx="1409700" cy="506185"/>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twoCellAnchor>
    <xdr:from>
      <xdr:col>13</xdr:col>
      <xdr:colOff>1619250</xdr:colOff>
      <xdr:row>10</xdr:row>
      <xdr:rowOff>990600</xdr:rowOff>
    </xdr:from>
    <xdr:to>
      <xdr:col>27</xdr:col>
      <xdr:colOff>528204</xdr:colOff>
      <xdr:row>22</xdr:row>
      <xdr:rowOff>159327</xdr:rowOff>
    </xdr:to>
    <xdr:sp macro="" textlink="">
      <xdr:nvSpPr>
        <xdr:cNvPr id="26" name="Rectángulo 25">
          <a:hlinkClick xmlns:r="http://schemas.openxmlformats.org/officeDocument/2006/relationships" r:id="rId2"/>
          <a:extLst>
            <a:ext uri="{FF2B5EF4-FFF2-40B4-BE49-F238E27FC236}">
              <a16:creationId xmlns:a16="http://schemas.microsoft.com/office/drawing/2014/main" id="{00000000-0008-0000-0A00-00001A000000}"/>
            </a:ext>
          </a:extLst>
        </xdr:cNvPr>
        <xdr:cNvSpPr/>
      </xdr:nvSpPr>
      <xdr:spPr bwMode="auto">
        <a:xfrm flipH="1">
          <a:off x="19145250" y="4838700"/>
          <a:ext cx="10700904" cy="4274127"/>
        </a:xfrm>
        <a:prstGeom prst="rect">
          <a:avLst/>
        </a:prstGeom>
        <a:ln w="57150">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algn="l"/>
          <a:r>
            <a:rPr lang="es-PE" sz="3200" b="1">
              <a:latin typeface="Arial Narrow" panose="020B0606020202030204" pitchFamily="34" charset="0"/>
              <a:cs typeface="Arial" panose="020B0604020202020204" pitchFamily="34" charset="0"/>
            </a:rPr>
            <a:t>PARA EL LLENADO DE ESTAS TABLAS</a:t>
          </a:r>
          <a:r>
            <a:rPr lang="es-PE" sz="3200" b="1" baseline="0">
              <a:latin typeface="Arial Narrow" panose="020B0606020202030204" pitchFamily="34" charset="0"/>
              <a:cs typeface="Arial" panose="020B0604020202020204" pitchFamily="34" charset="0"/>
            </a:rPr>
            <a:t>, POR FAVOR REVISAR PREVIAMENTE EL ARCHIVO </a:t>
          </a:r>
          <a:r>
            <a:rPr lang="es-PE" sz="3200" b="1" i="1" u="sng" baseline="0">
              <a:solidFill>
                <a:srgbClr val="FF0000"/>
              </a:solidFill>
              <a:latin typeface="Arial Narrow" panose="020B0606020202030204" pitchFamily="34" charset="0"/>
              <a:cs typeface="Arial" panose="020B0604020202020204" pitchFamily="34" charset="0"/>
            </a:rPr>
            <a:t>"Consideraciones prácticas para el llenado de la Encuesta Trimestral de Balanza de Pagos (ETBP)"</a:t>
          </a:r>
          <a:r>
            <a:rPr lang="es-PE" sz="3200" b="1" u="sng" baseline="0">
              <a:solidFill>
                <a:srgbClr val="FF0000"/>
              </a:solidFill>
              <a:latin typeface="Arial Narrow" panose="020B0606020202030204" pitchFamily="34" charset="0"/>
              <a:cs typeface="Arial" panose="020B0604020202020204" pitchFamily="34" charset="0"/>
            </a:rPr>
            <a:t> </a:t>
          </a:r>
          <a:r>
            <a:rPr lang="es-PE" sz="3200" b="1" baseline="0">
              <a:latin typeface="Arial Narrow" panose="020B0606020202030204" pitchFamily="34" charset="0"/>
              <a:cs typeface="Arial" panose="020B0604020202020204" pitchFamily="34" charset="0"/>
            </a:rPr>
            <a:t>DISPONIBLE EN https://www.bcrp.gob.pe/encuestas/trimestral.html</a:t>
          </a:r>
        </a:p>
        <a:p>
          <a:pPr algn="l"/>
          <a:endParaRPr lang="es-PE" sz="2000"/>
        </a:p>
      </xdr:txBody>
    </xdr:sp>
    <xdr:clientData/>
  </xdr:twoCellAnchor>
  <xdr:twoCellAnchor>
    <xdr:from>
      <xdr:col>13</xdr:col>
      <xdr:colOff>1600200</xdr:colOff>
      <xdr:row>43</xdr:row>
      <xdr:rowOff>38100</xdr:rowOff>
    </xdr:from>
    <xdr:to>
      <xdr:col>27</xdr:col>
      <xdr:colOff>509154</xdr:colOff>
      <xdr:row>57</xdr:row>
      <xdr:rowOff>102177</xdr:rowOff>
    </xdr:to>
    <xdr:sp macro="" textlink="">
      <xdr:nvSpPr>
        <xdr:cNvPr id="27" name="Rectángulo 26">
          <a:hlinkClick xmlns:r="http://schemas.openxmlformats.org/officeDocument/2006/relationships" r:id="rId2"/>
          <a:extLst>
            <a:ext uri="{FF2B5EF4-FFF2-40B4-BE49-F238E27FC236}">
              <a16:creationId xmlns:a16="http://schemas.microsoft.com/office/drawing/2014/main" id="{00000000-0008-0000-0A00-00001B000000}"/>
            </a:ext>
          </a:extLst>
        </xdr:cNvPr>
        <xdr:cNvSpPr/>
      </xdr:nvSpPr>
      <xdr:spPr bwMode="auto">
        <a:xfrm flipH="1">
          <a:off x="19126200" y="15106650"/>
          <a:ext cx="10700904" cy="4274127"/>
        </a:xfrm>
        <a:prstGeom prst="rect">
          <a:avLst/>
        </a:prstGeom>
        <a:ln w="57150">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algn="l"/>
          <a:r>
            <a:rPr lang="es-PE" sz="3200" b="1">
              <a:latin typeface="Arial Narrow" panose="020B0606020202030204" pitchFamily="34" charset="0"/>
              <a:cs typeface="Arial" panose="020B0604020202020204" pitchFamily="34" charset="0"/>
            </a:rPr>
            <a:t>PARA EL LLENADO DE ESTAS TABLAS</a:t>
          </a:r>
          <a:r>
            <a:rPr lang="es-PE" sz="3200" b="1" baseline="0">
              <a:latin typeface="Arial Narrow" panose="020B0606020202030204" pitchFamily="34" charset="0"/>
              <a:cs typeface="Arial" panose="020B0604020202020204" pitchFamily="34" charset="0"/>
            </a:rPr>
            <a:t>, POR FAVOR REVISAR PREVIAMENTE EL ARCHIVO </a:t>
          </a:r>
          <a:r>
            <a:rPr lang="es-PE" sz="3200" b="1" i="1" u="sng" baseline="0">
              <a:solidFill>
                <a:srgbClr val="FF0000"/>
              </a:solidFill>
              <a:latin typeface="Arial Narrow" panose="020B0606020202030204" pitchFamily="34" charset="0"/>
              <a:cs typeface="Arial" panose="020B0604020202020204" pitchFamily="34" charset="0"/>
            </a:rPr>
            <a:t>"Consideraciones prácticas para el llenado de la Encuesta Trimestral de Balanza de Pagos (ETBP)"</a:t>
          </a:r>
          <a:r>
            <a:rPr lang="es-PE" sz="3200" b="1" u="sng" baseline="0">
              <a:solidFill>
                <a:srgbClr val="FF0000"/>
              </a:solidFill>
              <a:latin typeface="Arial Narrow" panose="020B0606020202030204" pitchFamily="34" charset="0"/>
              <a:cs typeface="Arial" panose="020B0604020202020204" pitchFamily="34" charset="0"/>
            </a:rPr>
            <a:t> </a:t>
          </a:r>
          <a:r>
            <a:rPr lang="es-PE" sz="3200" b="1" baseline="0">
              <a:latin typeface="Arial Narrow" panose="020B0606020202030204" pitchFamily="34" charset="0"/>
              <a:cs typeface="Arial" panose="020B0604020202020204" pitchFamily="34" charset="0"/>
            </a:rPr>
            <a:t>DISPONIBLE EN https://www.bcrp.gob.pe/encuestas/trimestral.html</a:t>
          </a:r>
        </a:p>
        <a:p>
          <a:pPr algn="l"/>
          <a:endParaRPr lang="es-PE" sz="20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149678</xdr:colOff>
      <xdr:row>7</xdr:row>
      <xdr:rowOff>408215</xdr:rowOff>
    </xdr:from>
    <xdr:to>
      <xdr:col>16</xdr:col>
      <xdr:colOff>35378</xdr:colOff>
      <xdr:row>8</xdr:row>
      <xdr:rowOff>492578</xdr:rowOff>
    </xdr:to>
    <xdr:sp macro="" textlink="">
      <xdr:nvSpPr>
        <xdr:cNvPr id="5" name="Marco 4">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bwMode="auto">
        <a:xfrm>
          <a:off x="18369642" y="2435679"/>
          <a:ext cx="1409700" cy="506185"/>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twoCellAnchor>
    <xdr:from>
      <xdr:col>14</xdr:col>
      <xdr:colOff>176893</xdr:colOff>
      <xdr:row>41</xdr:row>
      <xdr:rowOff>176893</xdr:rowOff>
    </xdr:from>
    <xdr:to>
      <xdr:col>16</xdr:col>
      <xdr:colOff>62593</xdr:colOff>
      <xdr:row>42</xdr:row>
      <xdr:rowOff>70757</xdr:rowOff>
    </xdr:to>
    <xdr:sp macro="" textlink="">
      <xdr:nvSpPr>
        <xdr:cNvPr id="8" name="Marco 7">
          <a:hlinkClick xmlns:r="http://schemas.openxmlformats.org/officeDocument/2006/relationships" r:id="rId1"/>
          <a:extLst>
            <a:ext uri="{FF2B5EF4-FFF2-40B4-BE49-F238E27FC236}">
              <a16:creationId xmlns:a16="http://schemas.microsoft.com/office/drawing/2014/main" id="{00000000-0008-0000-0B00-000008000000}"/>
            </a:ext>
          </a:extLst>
        </xdr:cNvPr>
        <xdr:cNvSpPr/>
      </xdr:nvSpPr>
      <xdr:spPr bwMode="auto">
        <a:xfrm>
          <a:off x="18396857" y="14913429"/>
          <a:ext cx="1409700" cy="506185"/>
        </a:xfrm>
        <a:prstGeom prst="frame">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2400" b="1"/>
            <a:t>INDICE</a:t>
          </a:r>
        </a:p>
      </xdr:txBody>
    </xdr:sp>
    <xdr:clientData/>
  </xdr:twoCellAnchor>
  <xdr:twoCellAnchor>
    <xdr:from>
      <xdr:col>13</xdr:col>
      <xdr:colOff>63500</xdr:colOff>
      <xdr:row>10</xdr:row>
      <xdr:rowOff>533400</xdr:rowOff>
    </xdr:from>
    <xdr:to>
      <xdr:col>27</xdr:col>
      <xdr:colOff>45604</xdr:colOff>
      <xdr:row>21</xdr:row>
      <xdr:rowOff>235527</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00000000-0008-0000-0B00-000007000000}"/>
            </a:ext>
          </a:extLst>
        </xdr:cNvPr>
        <xdr:cNvSpPr/>
      </xdr:nvSpPr>
      <xdr:spPr bwMode="auto">
        <a:xfrm flipH="1">
          <a:off x="18072100" y="4572000"/>
          <a:ext cx="10700904" cy="4274127"/>
        </a:xfrm>
        <a:prstGeom prst="rect">
          <a:avLst/>
        </a:prstGeom>
        <a:ln w="57150">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algn="l"/>
          <a:r>
            <a:rPr lang="es-PE" sz="3200" b="1">
              <a:latin typeface="Arial Narrow" panose="020B0606020202030204" pitchFamily="34" charset="0"/>
              <a:cs typeface="Arial" panose="020B0604020202020204" pitchFamily="34" charset="0"/>
            </a:rPr>
            <a:t>PARA EL LLENADO DE ESTAS TABLAS</a:t>
          </a:r>
          <a:r>
            <a:rPr lang="es-PE" sz="3200" b="1" baseline="0">
              <a:latin typeface="Arial Narrow" panose="020B0606020202030204" pitchFamily="34" charset="0"/>
              <a:cs typeface="Arial" panose="020B0604020202020204" pitchFamily="34" charset="0"/>
            </a:rPr>
            <a:t>, POR FAVOR REVISAR PREVIAMENTE EL ARCHIVO </a:t>
          </a:r>
          <a:r>
            <a:rPr lang="es-PE" sz="3200" b="1" i="1" u="sng" baseline="0">
              <a:solidFill>
                <a:srgbClr val="FF0000"/>
              </a:solidFill>
              <a:latin typeface="Arial Narrow" panose="020B0606020202030204" pitchFamily="34" charset="0"/>
              <a:cs typeface="Arial" panose="020B0604020202020204" pitchFamily="34" charset="0"/>
            </a:rPr>
            <a:t>"Consideraciones prácticas para el llenado de la Encuesta Trimestral de Balanza de Pagos (ETBP)"</a:t>
          </a:r>
          <a:r>
            <a:rPr lang="es-PE" sz="3200" b="1" u="sng" baseline="0">
              <a:solidFill>
                <a:srgbClr val="FF0000"/>
              </a:solidFill>
              <a:latin typeface="Arial Narrow" panose="020B0606020202030204" pitchFamily="34" charset="0"/>
              <a:cs typeface="Arial" panose="020B0604020202020204" pitchFamily="34" charset="0"/>
            </a:rPr>
            <a:t> </a:t>
          </a:r>
          <a:r>
            <a:rPr lang="es-PE" sz="3200" b="1" baseline="0">
              <a:latin typeface="Arial Narrow" panose="020B0606020202030204" pitchFamily="34" charset="0"/>
              <a:cs typeface="Arial" panose="020B0604020202020204" pitchFamily="34" charset="0"/>
            </a:rPr>
            <a:t>DISPONIBLE EN https://www.bcrp.gob.pe/encuestas/trimestral.html</a:t>
          </a:r>
        </a:p>
        <a:p>
          <a:pPr algn="l"/>
          <a:endParaRPr lang="es-PE" sz="2000"/>
        </a:p>
      </xdr:txBody>
    </xdr:sp>
    <xdr:clientData/>
  </xdr:twoCellAnchor>
  <xdr:twoCellAnchor>
    <xdr:from>
      <xdr:col>13</xdr:col>
      <xdr:colOff>25400</xdr:colOff>
      <xdr:row>43</xdr:row>
      <xdr:rowOff>1016000</xdr:rowOff>
    </xdr:from>
    <xdr:to>
      <xdr:col>27</xdr:col>
      <xdr:colOff>7504</xdr:colOff>
      <xdr:row>55</xdr:row>
      <xdr:rowOff>6927</xdr:rowOff>
    </xdr:to>
    <xdr:sp macro="" textlink="">
      <xdr:nvSpPr>
        <xdr:cNvPr id="9" name="Rectángulo 8">
          <a:hlinkClick xmlns:r="http://schemas.openxmlformats.org/officeDocument/2006/relationships" r:id="rId2"/>
          <a:extLst>
            <a:ext uri="{FF2B5EF4-FFF2-40B4-BE49-F238E27FC236}">
              <a16:creationId xmlns:a16="http://schemas.microsoft.com/office/drawing/2014/main" id="{00000000-0008-0000-0B00-000009000000}"/>
            </a:ext>
          </a:extLst>
        </xdr:cNvPr>
        <xdr:cNvSpPr/>
      </xdr:nvSpPr>
      <xdr:spPr bwMode="auto">
        <a:xfrm flipH="1">
          <a:off x="18034000" y="17449800"/>
          <a:ext cx="10700904" cy="4274127"/>
        </a:xfrm>
        <a:prstGeom prst="rect">
          <a:avLst/>
        </a:prstGeom>
        <a:ln w="57150">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algn="l"/>
          <a:r>
            <a:rPr lang="es-PE" sz="3200" b="1">
              <a:latin typeface="Arial Narrow" panose="020B0606020202030204" pitchFamily="34" charset="0"/>
              <a:cs typeface="Arial" panose="020B0604020202020204" pitchFamily="34" charset="0"/>
            </a:rPr>
            <a:t>PARA EL LLENADO DE ESTAS TABLAS</a:t>
          </a:r>
          <a:r>
            <a:rPr lang="es-PE" sz="3200" b="1" baseline="0">
              <a:latin typeface="Arial Narrow" panose="020B0606020202030204" pitchFamily="34" charset="0"/>
              <a:cs typeface="Arial" panose="020B0604020202020204" pitchFamily="34" charset="0"/>
            </a:rPr>
            <a:t>, POR FAVOR REVISAR PREVIAMENTE EL ARCHIVO </a:t>
          </a:r>
          <a:r>
            <a:rPr lang="es-PE" sz="3200" b="1" i="1" u="sng" baseline="0">
              <a:solidFill>
                <a:srgbClr val="FF0000"/>
              </a:solidFill>
              <a:latin typeface="Arial Narrow" panose="020B0606020202030204" pitchFamily="34" charset="0"/>
              <a:cs typeface="Arial" panose="020B0604020202020204" pitchFamily="34" charset="0"/>
            </a:rPr>
            <a:t>"Consideraciones prácticas para el llenado de la Encuesta Trimestral de Balanza de Pagos (ETBP)"</a:t>
          </a:r>
          <a:r>
            <a:rPr lang="es-PE" sz="3200" b="1" u="sng" baseline="0">
              <a:solidFill>
                <a:srgbClr val="FF0000"/>
              </a:solidFill>
              <a:latin typeface="Arial Narrow" panose="020B0606020202030204" pitchFamily="34" charset="0"/>
              <a:cs typeface="Arial" panose="020B0604020202020204" pitchFamily="34" charset="0"/>
            </a:rPr>
            <a:t> </a:t>
          </a:r>
          <a:r>
            <a:rPr lang="es-PE" sz="3200" b="1" baseline="0">
              <a:latin typeface="Arial Narrow" panose="020B0606020202030204" pitchFamily="34" charset="0"/>
              <a:cs typeface="Arial" panose="020B0604020202020204" pitchFamily="34" charset="0"/>
            </a:rPr>
            <a:t>DISPONIBLE EN https://www.bcrp.gob.pe/encuestas/trimestral.html</a:t>
          </a:r>
        </a:p>
        <a:p>
          <a:pPr algn="l"/>
          <a:endParaRPr lang="es-PE" sz="2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crpgob-my.sharepoint.com/personal/gabriel_perez_bcrp_gob_pe/Documents/00.%20Antigua%20distribuci&#243;n/Archivos%20de%20chat%20de%20Microsoft%20Teams/BCRP_ETSDEIE_202302_RUC%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rpgob-my.sharepoint.com/Users/1595/AppData/Roaming/Microsoft/Excel/BCRP_ETSDEIE_202202_RUC%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ertas"/>
      <sheetName val="Indice"/>
      <sheetName val="CONTROL"/>
      <sheetName val="DatosGenerales"/>
      <sheetName val="Aplicar"/>
      <sheetName val="Encargado"/>
      <sheetName val="Panorama A."/>
      <sheetName val="Base_Panor_A"/>
      <sheetName val="Panorama B."/>
      <sheetName val="Panorama C."/>
      <sheetName val="Cambios TRIMESTRAL"/>
      <sheetName val="Tabla I."/>
      <sheetName val="Tabla II."/>
      <sheetName val="Tabla III.1."/>
      <sheetName val="Tabla III.2."/>
      <sheetName val="Tabla III.3."/>
      <sheetName val="Tabla III.4."/>
      <sheetName val="Tabla III.5."/>
      <sheetName val="Tabla IV.1."/>
      <sheetName val="Tabla IV.2."/>
      <sheetName val="Cambios Anual"/>
      <sheetName val="Tabla V."/>
      <sheetName val="Tabla VI."/>
      <sheetName val="Tabla VII.1."/>
      <sheetName val="Tabla VII.2."/>
      <sheetName val="TCambio"/>
      <sheetName val="Menu"/>
      <sheetName val="TCambioSalida"/>
      <sheetName val="dolar"/>
      <sheetName val="yen"/>
      <sheetName val="euro"/>
      <sheetName val="Base_EABP"/>
      <sheetName val="Base_Servicios"/>
      <sheetName val="Base_ECID"/>
      <sheetName val="TPaises"/>
      <sheetName val="Ayuda"/>
      <sheetName val="VALIDACION_RUC"/>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sheetData sheetId="9"/>
      <sheetData sheetId="10" refreshError="1"/>
      <sheetData sheetId="11"/>
      <sheetData sheetId="12" refreshError="1"/>
      <sheetData sheetId="13"/>
      <sheetData sheetId="14" refreshError="1"/>
      <sheetData sheetId="15" refreshError="1"/>
      <sheetData sheetId="16"/>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ow r="3">
          <cell r="C3">
            <v>2023</v>
          </cell>
          <cell r="D3">
            <v>2</v>
          </cell>
          <cell r="G3" t="str">
            <v>202302</v>
          </cell>
        </row>
      </sheetData>
      <sheetData sheetId="27" refreshError="1"/>
      <sheetData sheetId="28" refreshError="1"/>
      <sheetData sheetId="29" refreshError="1"/>
      <sheetData sheetId="30" refreshError="1"/>
      <sheetData sheetId="31" refreshError="1"/>
      <sheetData sheetId="32">
        <row r="2">
          <cell r="O2" t="str">
            <v>Elija una opción</v>
          </cell>
        </row>
        <row r="3">
          <cell r="O3" t="str">
            <v>Si</v>
          </cell>
        </row>
        <row r="4">
          <cell r="O4" t="str">
            <v>No</v>
          </cell>
        </row>
      </sheetData>
      <sheetData sheetId="33" refreshError="1"/>
      <sheetData sheetId="34">
        <row r="2">
          <cell r="C2" t="str">
            <v>PAIS</v>
          </cell>
          <cell r="D2" t="str">
            <v>CODIGO_FMI</v>
          </cell>
        </row>
        <row r="3">
          <cell r="C3" t="str">
            <v>Elija el país</v>
          </cell>
          <cell r="D3" t="str">
            <v>00</v>
          </cell>
        </row>
        <row r="4">
          <cell r="C4" t="str">
            <v>Afganistán</v>
          </cell>
          <cell r="D4" t="str">
            <v>AFG</v>
          </cell>
        </row>
        <row r="5">
          <cell r="C5" t="str">
            <v>Albania</v>
          </cell>
          <cell r="D5" t="str">
            <v>ALB</v>
          </cell>
        </row>
        <row r="6">
          <cell r="C6" t="str">
            <v>Alemania</v>
          </cell>
          <cell r="D6" t="str">
            <v>DEU</v>
          </cell>
        </row>
        <row r="7">
          <cell r="C7" t="str">
            <v>Andorra</v>
          </cell>
          <cell r="D7" t="str">
            <v>AND</v>
          </cell>
        </row>
        <row r="8">
          <cell r="C8" t="str">
            <v>Angola</v>
          </cell>
          <cell r="D8" t="str">
            <v>AGO</v>
          </cell>
        </row>
        <row r="9">
          <cell r="C9" t="str">
            <v>Anguila</v>
          </cell>
          <cell r="D9" t="str">
            <v>AIA</v>
          </cell>
        </row>
        <row r="10">
          <cell r="C10" t="str">
            <v>Antigua y Barbuda</v>
          </cell>
          <cell r="D10" t="str">
            <v>ATG</v>
          </cell>
        </row>
        <row r="11">
          <cell r="C11" t="str">
            <v>Antillas Neerlandesas</v>
          </cell>
          <cell r="D11" t="str">
            <v>ANT</v>
          </cell>
        </row>
        <row r="12">
          <cell r="C12" t="str">
            <v>Arabia Saudita</v>
          </cell>
          <cell r="D12" t="str">
            <v>SAU</v>
          </cell>
        </row>
        <row r="13">
          <cell r="C13" t="str">
            <v>Argelia</v>
          </cell>
          <cell r="D13" t="str">
            <v>DZA</v>
          </cell>
        </row>
        <row r="14">
          <cell r="C14" t="str">
            <v>Argentina</v>
          </cell>
          <cell r="D14" t="str">
            <v>ARG</v>
          </cell>
        </row>
        <row r="15">
          <cell r="C15" t="str">
            <v>Armenia</v>
          </cell>
          <cell r="D15" t="str">
            <v>ARM</v>
          </cell>
        </row>
        <row r="16">
          <cell r="C16" t="str">
            <v>Aruba</v>
          </cell>
          <cell r="D16" t="str">
            <v>ABW</v>
          </cell>
        </row>
        <row r="17">
          <cell r="C17" t="str">
            <v>Australia</v>
          </cell>
          <cell r="D17" t="str">
            <v>AUS</v>
          </cell>
        </row>
        <row r="18">
          <cell r="C18" t="str">
            <v>Austria</v>
          </cell>
          <cell r="D18" t="str">
            <v>AUT</v>
          </cell>
        </row>
        <row r="19">
          <cell r="C19" t="str">
            <v>Azerbaiján, República de</v>
          </cell>
          <cell r="D19" t="str">
            <v>AZE</v>
          </cell>
        </row>
        <row r="20">
          <cell r="C20" t="str">
            <v>Bahamas, Las</v>
          </cell>
          <cell r="D20" t="str">
            <v>BHS</v>
          </cell>
        </row>
        <row r="21">
          <cell r="C21" t="str">
            <v>Bahrayn</v>
          </cell>
          <cell r="D21" t="str">
            <v>BHR</v>
          </cell>
        </row>
        <row r="22">
          <cell r="C22" t="str">
            <v>Bangladesh</v>
          </cell>
          <cell r="D22" t="str">
            <v>BGD</v>
          </cell>
        </row>
        <row r="23">
          <cell r="C23" t="str">
            <v>Barbados</v>
          </cell>
          <cell r="D23" t="str">
            <v>BRB</v>
          </cell>
        </row>
        <row r="24">
          <cell r="C24" t="str">
            <v>Bélgica</v>
          </cell>
          <cell r="D24" t="str">
            <v>BEL</v>
          </cell>
        </row>
        <row r="25">
          <cell r="C25" t="str">
            <v>Belice</v>
          </cell>
          <cell r="D25" t="str">
            <v>BLZ</v>
          </cell>
        </row>
        <row r="26">
          <cell r="C26" t="str">
            <v>Benín</v>
          </cell>
          <cell r="D26" t="str">
            <v>BEN</v>
          </cell>
        </row>
        <row r="27">
          <cell r="C27" t="str">
            <v>Bermuda</v>
          </cell>
          <cell r="D27" t="str">
            <v>BMU</v>
          </cell>
        </row>
        <row r="28">
          <cell r="C28" t="str">
            <v>Bhután</v>
          </cell>
          <cell r="D28" t="str">
            <v>BTN</v>
          </cell>
        </row>
        <row r="29">
          <cell r="C29" t="str">
            <v>Bielorrusia</v>
          </cell>
          <cell r="D29" t="str">
            <v>BLR</v>
          </cell>
        </row>
        <row r="30">
          <cell r="C30" t="str">
            <v>Bolivia</v>
          </cell>
          <cell r="D30" t="str">
            <v>BOL</v>
          </cell>
        </row>
        <row r="31">
          <cell r="C31" t="str">
            <v>Bosnia - Herzegovina</v>
          </cell>
          <cell r="D31" t="str">
            <v>BIH</v>
          </cell>
        </row>
        <row r="32">
          <cell r="C32" t="str">
            <v>Botswana</v>
          </cell>
          <cell r="D32" t="str">
            <v>BWA</v>
          </cell>
        </row>
        <row r="33">
          <cell r="C33" t="str">
            <v>Brasil</v>
          </cell>
          <cell r="D33" t="str">
            <v>BRA</v>
          </cell>
        </row>
        <row r="34">
          <cell r="C34" t="str">
            <v>Brunei Darussalam</v>
          </cell>
          <cell r="D34" t="str">
            <v>BRN</v>
          </cell>
        </row>
        <row r="35">
          <cell r="C35" t="str">
            <v>Bulgaria</v>
          </cell>
          <cell r="D35" t="str">
            <v>BGR</v>
          </cell>
        </row>
        <row r="36">
          <cell r="C36" t="str">
            <v>Burkina Faso</v>
          </cell>
          <cell r="D36" t="str">
            <v>BFA</v>
          </cell>
        </row>
        <row r="37">
          <cell r="C37" t="str">
            <v>Burundi</v>
          </cell>
          <cell r="D37" t="str">
            <v>BDI</v>
          </cell>
        </row>
        <row r="38">
          <cell r="C38" t="str">
            <v>Cabo Verde</v>
          </cell>
          <cell r="D38" t="str">
            <v>CPV</v>
          </cell>
        </row>
        <row r="39">
          <cell r="C39" t="str">
            <v>Camboya</v>
          </cell>
          <cell r="D39" t="str">
            <v>KHM</v>
          </cell>
        </row>
        <row r="40">
          <cell r="C40" t="str">
            <v>Camerún</v>
          </cell>
          <cell r="D40" t="str">
            <v>CMR</v>
          </cell>
        </row>
        <row r="41">
          <cell r="C41" t="str">
            <v>Canadá</v>
          </cell>
          <cell r="D41" t="str">
            <v>CAN</v>
          </cell>
        </row>
        <row r="42">
          <cell r="C42" t="str">
            <v>Chad</v>
          </cell>
          <cell r="D42" t="str">
            <v>TCD</v>
          </cell>
        </row>
        <row r="43">
          <cell r="C43" t="str">
            <v>Chile</v>
          </cell>
          <cell r="D43" t="str">
            <v>CHL</v>
          </cell>
        </row>
        <row r="44">
          <cell r="C44" t="str">
            <v>China, Hong Kong RAE de</v>
          </cell>
          <cell r="D44" t="str">
            <v>HKG</v>
          </cell>
        </row>
        <row r="45">
          <cell r="C45" t="str">
            <v>China, Macao, RAE</v>
          </cell>
          <cell r="D45" t="str">
            <v>MAC</v>
          </cell>
        </row>
        <row r="46">
          <cell r="C46" t="str">
            <v>China, República Popular de</v>
          </cell>
          <cell r="D46" t="str">
            <v>CHN</v>
          </cell>
        </row>
        <row r="47">
          <cell r="C47" t="str">
            <v>Chipre</v>
          </cell>
          <cell r="D47" t="str">
            <v>CYP</v>
          </cell>
        </row>
        <row r="48">
          <cell r="C48" t="str">
            <v>Ciudad del Vaticano</v>
          </cell>
          <cell r="D48" t="str">
            <v>VAT</v>
          </cell>
        </row>
        <row r="49">
          <cell r="C49" t="str">
            <v>Colombia</v>
          </cell>
          <cell r="D49" t="str">
            <v>COL</v>
          </cell>
        </row>
        <row r="50">
          <cell r="C50" t="str">
            <v>Comores</v>
          </cell>
          <cell r="D50" t="str">
            <v>COM</v>
          </cell>
        </row>
        <row r="51">
          <cell r="C51" t="str">
            <v>Congo (Brazzaville)</v>
          </cell>
          <cell r="D51" t="str">
            <v>COG</v>
          </cell>
        </row>
        <row r="52">
          <cell r="C52" t="str">
            <v>Congo, República Democrática del (Kinshasa)</v>
          </cell>
          <cell r="D52" t="str">
            <v>COD</v>
          </cell>
        </row>
        <row r="53">
          <cell r="C53" t="str">
            <v>Corea, República de (Corea del Sur)</v>
          </cell>
          <cell r="D53" t="str">
            <v>KOR</v>
          </cell>
        </row>
        <row r="54">
          <cell r="C54" t="str">
            <v>Corea, República Popular Democrática de (Corea del Norte)</v>
          </cell>
          <cell r="D54" t="str">
            <v>PRK</v>
          </cell>
        </row>
        <row r="55">
          <cell r="C55" t="str">
            <v>Costa de Marfil</v>
          </cell>
          <cell r="D55" t="str">
            <v>CIV</v>
          </cell>
        </row>
        <row r="56">
          <cell r="C56" t="str">
            <v>Costa Rica</v>
          </cell>
          <cell r="D56" t="str">
            <v>CRI</v>
          </cell>
        </row>
        <row r="57">
          <cell r="C57" t="str">
            <v>Croacia</v>
          </cell>
          <cell r="D57" t="str">
            <v>HRV</v>
          </cell>
        </row>
        <row r="58">
          <cell r="C58" t="str">
            <v>Cuba</v>
          </cell>
          <cell r="D58" t="str">
            <v>CUB</v>
          </cell>
        </row>
        <row r="59">
          <cell r="C59" t="str">
            <v>Dinamarca</v>
          </cell>
          <cell r="D59" t="str">
            <v>DNK</v>
          </cell>
        </row>
        <row r="60">
          <cell r="C60" t="str">
            <v>Djibouti</v>
          </cell>
          <cell r="D60" t="str">
            <v>DJI</v>
          </cell>
        </row>
        <row r="61">
          <cell r="C61" t="str">
            <v>Dominica</v>
          </cell>
          <cell r="D61" t="str">
            <v>DMA</v>
          </cell>
        </row>
        <row r="62">
          <cell r="C62" t="str">
            <v>Ecuador</v>
          </cell>
          <cell r="D62" t="str">
            <v>ECU</v>
          </cell>
        </row>
        <row r="63">
          <cell r="C63" t="str">
            <v>Egipto</v>
          </cell>
          <cell r="D63" t="str">
            <v>EGY</v>
          </cell>
        </row>
        <row r="64">
          <cell r="C64" t="str">
            <v>El Salvador</v>
          </cell>
          <cell r="D64" t="str">
            <v>SLV</v>
          </cell>
        </row>
        <row r="65">
          <cell r="C65" t="str">
            <v>Emiratos Árabes Unidos</v>
          </cell>
          <cell r="D65" t="str">
            <v>ARE</v>
          </cell>
        </row>
        <row r="66">
          <cell r="C66" t="str">
            <v>Eritrea</v>
          </cell>
          <cell r="D66" t="str">
            <v>ERI</v>
          </cell>
        </row>
        <row r="67">
          <cell r="C67" t="str">
            <v>Eslovaquia</v>
          </cell>
          <cell r="D67" t="str">
            <v>SVK</v>
          </cell>
        </row>
        <row r="68">
          <cell r="C68" t="str">
            <v>Eslovenia</v>
          </cell>
          <cell r="D68" t="str">
            <v>SVN</v>
          </cell>
        </row>
        <row r="69">
          <cell r="C69" t="str">
            <v>España</v>
          </cell>
          <cell r="D69" t="str">
            <v>ESP</v>
          </cell>
        </row>
        <row r="70">
          <cell r="C70" t="str">
            <v>Estados Unidos</v>
          </cell>
          <cell r="D70" t="str">
            <v>USA</v>
          </cell>
        </row>
        <row r="71">
          <cell r="C71" t="str">
            <v>Estonia</v>
          </cell>
          <cell r="D71" t="str">
            <v>EST</v>
          </cell>
        </row>
        <row r="72">
          <cell r="C72" t="str">
            <v>Etiopía</v>
          </cell>
          <cell r="D72" t="str">
            <v>ETH</v>
          </cell>
        </row>
        <row r="73">
          <cell r="C73" t="str">
            <v>Fiji</v>
          </cell>
          <cell r="D73" t="str">
            <v>FJI</v>
          </cell>
        </row>
        <row r="74">
          <cell r="C74" t="str">
            <v>Filipinas</v>
          </cell>
          <cell r="D74" t="str">
            <v>PHL</v>
          </cell>
        </row>
        <row r="75">
          <cell r="C75" t="str">
            <v>Finlandia</v>
          </cell>
          <cell r="D75" t="str">
            <v>FIN</v>
          </cell>
        </row>
        <row r="76">
          <cell r="C76" t="str">
            <v>Francia</v>
          </cell>
          <cell r="D76" t="str">
            <v>FRA</v>
          </cell>
        </row>
        <row r="77">
          <cell r="C77" t="str">
            <v>Gabón</v>
          </cell>
          <cell r="D77" t="str">
            <v>GAB</v>
          </cell>
        </row>
        <row r="78">
          <cell r="C78" t="str">
            <v>Gambia</v>
          </cell>
          <cell r="D78" t="str">
            <v>GMB</v>
          </cell>
        </row>
        <row r="79">
          <cell r="C79" t="str">
            <v>Georgia</v>
          </cell>
          <cell r="D79" t="str">
            <v>GEO</v>
          </cell>
        </row>
        <row r="80">
          <cell r="C80" t="str">
            <v>Ghana</v>
          </cell>
          <cell r="D80" t="str">
            <v>GHA</v>
          </cell>
        </row>
        <row r="81">
          <cell r="C81" t="str">
            <v>Gibraltar</v>
          </cell>
          <cell r="D81" t="str">
            <v>GIB</v>
          </cell>
        </row>
        <row r="82">
          <cell r="C82" t="str">
            <v>Granada</v>
          </cell>
          <cell r="D82" t="str">
            <v>GRD</v>
          </cell>
        </row>
        <row r="83">
          <cell r="C83" t="str">
            <v>Grecia</v>
          </cell>
          <cell r="D83" t="str">
            <v>GRC</v>
          </cell>
        </row>
        <row r="84">
          <cell r="C84" t="str">
            <v>Groenlandia</v>
          </cell>
          <cell r="D84" t="str">
            <v>GRL</v>
          </cell>
        </row>
        <row r="85">
          <cell r="C85" t="str">
            <v>Guadalupe</v>
          </cell>
          <cell r="D85" t="str">
            <v>GLP</v>
          </cell>
        </row>
        <row r="86">
          <cell r="C86" t="str">
            <v>Guam</v>
          </cell>
          <cell r="D86" t="str">
            <v>GUM</v>
          </cell>
        </row>
        <row r="87">
          <cell r="C87" t="str">
            <v>Guatemala</v>
          </cell>
          <cell r="D87" t="str">
            <v>GTM</v>
          </cell>
        </row>
        <row r="88">
          <cell r="C88" t="str">
            <v>Guernesey</v>
          </cell>
          <cell r="D88" t="str">
            <v>GGY</v>
          </cell>
        </row>
        <row r="89">
          <cell r="C89" t="str">
            <v>Guinea</v>
          </cell>
          <cell r="D89" t="str">
            <v>GIN</v>
          </cell>
        </row>
        <row r="90">
          <cell r="C90" t="str">
            <v>Guinea Ecuatorial</v>
          </cell>
          <cell r="D90" t="str">
            <v>GNQ</v>
          </cell>
        </row>
        <row r="91">
          <cell r="C91" t="str">
            <v>Guinea-Bissau</v>
          </cell>
          <cell r="D91" t="str">
            <v>GNB</v>
          </cell>
        </row>
        <row r="92">
          <cell r="C92" t="str">
            <v>Guyana</v>
          </cell>
          <cell r="D92" t="str">
            <v>GUY</v>
          </cell>
        </row>
        <row r="93">
          <cell r="C93" t="str">
            <v>Guyana Francesa</v>
          </cell>
          <cell r="D93" t="str">
            <v>GUF</v>
          </cell>
        </row>
        <row r="94">
          <cell r="C94" t="str">
            <v>Haití</v>
          </cell>
          <cell r="D94" t="str">
            <v>HTI</v>
          </cell>
        </row>
        <row r="95">
          <cell r="C95" t="str">
            <v>Honduras</v>
          </cell>
          <cell r="D95" t="str">
            <v>HND</v>
          </cell>
        </row>
        <row r="96">
          <cell r="C96" t="str">
            <v>Hungría</v>
          </cell>
          <cell r="D96" t="str">
            <v>HUN</v>
          </cell>
        </row>
        <row r="97">
          <cell r="C97" t="str">
            <v>India</v>
          </cell>
          <cell r="D97" t="str">
            <v>IND</v>
          </cell>
        </row>
        <row r="98">
          <cell r="C98" t="str">
            <v>Indonesia</v>
          </cell>
          <cell r="D98" t="str">
            <v>IDN</v>
          </cell>
        </row>
        <row r="99">
          <cell r="C99" t="str">
            <v>Irán, República Islámica del</v>
          </cell>
          <cell r="D99" t="str">
            <v>IRN</v>
          </cell>
        </row>
        <row r="100">
          <cell r="C100" t="str">
            <v>Iraq</v>
          </cell>
          <cell r="D100" t="str">
            <v>IRQ</v>
          </cell>
        </row>
        <row r="101">
          <cell r="C101" t="str">
            <v>Irlanda</v>
          </cell>
          <cell r="D101" t="str">
            <v>IRL</v>
          </cell>
        </row>
        <row r="102">
          <cell r="C102" t="str">
            <v>Isla de Man</v>
          </cell>
          <cell r="D102" t="str">
            <v>IMN</v>
          </cell>
        </row>
        <row r="103">
          <cell r="C103" t="str">
            <v>Islandia</v>
          </cell>
          <cell r="D103" t="str">
            <v>ISL</v>
          </cell>
        </row>
        <row r="104">
          <cell r="C104" t="str">
            <v>Islas Bouvet</v>
          </cell>
          <cell r="D104" t="str">
            <v>VQ*</v>
          </cell>
        </row>
        <row r="105">
          <cell r="C105" t="str">
            <v>Islas Caimán</v>
          </cell>
          <cell r="D105" t="str">
            <v>CYM</v>
          </cell>
        </row>
        <row r="106">
          <cell r="C106" t="str">
            <v>Islas Cocos (Keeling)</v>
          </cell>
          <cell r="D106" t="str">
            <v>CQ*</v>
          </cell>
        </row>
        <row r="107">
          <cell r="C107" t="str">
            <v>Islas Cook</v>
          </cell>
          <cell r="D107" t="str">
            <v>COK</v>
          </cell>
        </row>
        <row r="108">
          <cell r="C108" t="str">
            <v>Islas de Navidad (Christmas Island)</v>
          </cell>
          <cell r="D108" t="str">
            <v>XQ*</v>
          </cell>
        </row>
        <row r="109">
          <cell r="C109" t="str">
            <v>Islas Falkland (Malvinas)</v>
          </cell>
          <cell r="D109" t="str">
            <v>FLK</v>
          </cell>
        </row>
        <row r="110">
          <cell r="C110" t="str">
            <v>Islas Feroe</v>
          </cell>
          <cell r="D110" t="str">
            <v>FRO</v>
          </cell>
        </row>
        <row r="111">
          <cell r="C111" t="str">
            <v>Islas Georgia del Sur y Sandwich del Sur</v>
          </cell>
          <cell r="D111" t="str">
            <v>SQ*</v>
          </cell>
        </row>
        <row r="112">
          <cell r="C112" t="str">
            <v>Islas Heard e McDonald</v>
          </cell>
          <cell r="D112" t="str">
            <v>MQ*</v>
          </cell>
        </row>
        <row r="113">
          <cell r="C113" t="str">
            <v>Islas Mariana del Norte</v>
          </cell>
          <cell r="D113" t="str">
            <v>MNP</v>
          </cell>
        </row>
        <row r="114">
          <cell r="C114" t="str">
            <v>Islas Marshall</v>
          </cell>
          <cell r="D114" t="str">
            <v>MHL</v>
          </cell>
        </row>
        <row r="115">
          <cell r="C115" t="str">
            <v>Islas Menores Ultramarinas de Estados Unidos</v>
          </cell>
          <cell r="D115" t="str">
            <v>UQ*</v>
          </cell>
        </row>
        <row r="116">
          <cell r="C116" t="str">
            <v>Islas Norfolk</v>
          </cell>
          <cell r="D116" t="str">
            <v>NFK</v>
          </cell>
        </row>
        <row r="117">
          <cell r="C117" t="str">
            <v>Islas Pitcairn</v>
          </cell>
          <cell r="D117" t="str">
            <v>PCN</v>
          </cell>
        </row>
        <row r="118">
          <cell r="C118" t="str">
            <v>Islas Salomón</v>
          </cell>
          <cell r="D118" t="str">
            <v>SLB</v>
          </cell>
        </row>
        <row r="119">
          <cell r="C119" t="str">
            <v>Islas Turcas y Caicos</v>
          </cell>
          <cell r="D119" t="str">
            <v>TCA</v>
          </cell>
        </row>
        <row r="120">
          <cell r="C120" t="str">
            <v>Islas Vírgenes de Estados Unidos</v>
          </cell>
          <cell r="D120" t="str">
            <v>VIR</v>
          </cell>
        </row>
        <row r="121">
          <cell r="C121" t="str">
            <v>Islas Vírgenes Inglesas</v>
          </cell>
          <cell r="D121" t="str">
            <v>VGB</v>
          </cell>
        </row>
        <row r="122">
          <cell r="C122" t="str">
            <v>Israel</v>
          </cell>
          <cell r="D122" t="str">
            <v>ISR</v>
          </cell>
        </row>
        <row r="123">
          <cell r="C123" t="str">
            <v>Italia</v>
          </cell>
          <cell r="D123" t="str">
            <v>ITA</v>
          </cell>
        </row>
        <row r="124">
          <cell r="C124" t="str">
            <v>Jamahiriya Árabe Libia</v>
          </cell>
          <cell r="D124" t="str">
            <v>LBY</v>
          </cell>
        </row>
        <row r="125">
          <cell r="C125" t="str">
            <v>Jamaica</v>
          </cell>
          <cell r="D125" t="str">
            <v>JAM</v>
          </cell>
        </row>
        <row r="126">
          <cell r="C126" t="str">
            <v>Japón</v>
          </cell>
          <cell r="D126" t="str">
            <v>JPN</v>
          </cell>
        </row>
        <row r="127">
          <cell r="C127" t="str">
            <v>Jersey</v>
          </cell>
          <cell r="D127" t="str">
            <v>JEY</v>
          </cell>
        </row>
        <row r="128">
          <cell r="C128" t="str">
            <v>Jordania</v>
          </cell>
          <cell r="D128" t="str">
            <v>JOR</v>
          </cell>
        </row>
        <row r="129">
          <cell r="C129" t="str">
            <v>Kazajstán</v>
          </cell>
          <cell r="D129" t="str">
            <v>KAZ</v>
          </cell>
        </row>
        <row r="130">
          <cell r="C130" t="str">
            <v>Kenya</v>
          </cell>
          <cell r="D130" t="str">
            <v>KEN</v>
          </cell>
        </row>
        <row r="131">
          <cell r="C131" t="str">
            <v>Kirguizistán</v>
          </cell>
          <cell r="D131" t="str">
            <v>KGZ</v>
          </cell>
        </row>
        <row r="132">
          <cell r="C132" t="str">
            <v>Kiribati</v>
          </cell>
          <cell r="D132" t="str">
            <v>KIR</v>
          </cell>
        </row>
        <row r="133">
          <cell r="C133" t="str">
            <v>Kosovo</v>
          </cell>
          <cell r="D133" t="str">
            <v>UVK</v>
          </cell>
        </row>
        <row r="134">
          <cell r="C134" t="str">
            <v>Kuwait</v>
          </cell>
          <cell r="D134" t="str">
            <v>KWT</v>
          </cell>
        </row>
        <row r="135">
          <cell r="C135" t="str">
            <v>Lesotho</v>
          </cell>
          <cell r="D135" t="str">
            <v>LSO</v>
          </cell>
        </row>
        <row r="136">
          <cell r="C136" t="str">
            <v>Letonia</v>
          </cell>
          <cell r="D136" t="str">
            <v>LVA</v>
          </cell>
        </row>
        <row r="137">
          <cell r="C137" t="str">
            <v>Líbano</v>
          </cell>
          <cell r="D137" t="str">
            <v>LBN</v>
          </cell>
        </row>
        <row r="138">
          <cell r="C138" t="str">
            <v>Liberia</v>
          </cell>
          <cell r="D138" t="str">
            <v>LBR</v>
          </cell>
        </row>
        <row r="139">
          <cell r="C139" t="str">
            <v>Liechtenstein</v>
          </cell>
          <cell r="D139" t="str">
            <v>LIE</v>
          </cell>
        </row>
        <row r="140">
          <cell r="C140" t="str">
            <v>Lituania</v>
          </cell>
          <cell r="D140" t="str">
            <v>LTU</v>
          </cell>
        </row>
        <row r="141">
          <cell r="C141" t="str">
            <v>Luxemburgo</v>
          </cell>
          <cell r="D141" t="str">
            <v>LUX</v>
          </cell>
        </row>
        <row r="142">
          <cell r="C142" t="str">
            <v>Macedonia, ExRepública Yugoslava de</v>
          </cell>
          <cell r="D142" t="str">
            <v>MKD</v>
          </cell>
        </row>
        <row r="143">
          <cell r="C143" t="str">
            <v>Madagascar</v>
          </cell>
          <cell r="D143" t="str">
            <v>MDG</v>
          </cell>
        </row>
        <row r="144">
          <cell r="C144" t="str">
            <v>Malasia</v>
          </cell>
          <cell r="D144" t="str">
            <v>MYS</v>
          </cell>
        </row>
        <row r="145">
          <cell r="C145" t="str">
            <v>Malawi</v>
          </cell>
          <cell r="D145" t="str">
            <v>MWI</v>
          </cell>
        </row>
        <row r="146">
          <cell r="C146" t="str">
            <v>Maldivas</v>
          </cell>
          <cell r="D146" t="str">
            <v>MDV</v>
          </cell>
        </row>
        <row r="147">
          <cell r="C147" t="str">
            <v>Malí</v>
          </cell>
          <cell r="D147" t="str">
            <v>MLI</v>
          </cell>
        </row>
        <row r="148">
          <cell r="C148" t="str">
            <v>Malta</v>
          </cell>
          <cell r="D148" t="str">
            <v>MLT</v>
          </cell>
        </row>
        <row r="149">
          <cell r="C149" t="str">
            <v>Marruecos</v>
          </cell>
          <cell r="D149" t="str">
            <v>MAR</v>
          </cell>
        </row>
        <row r="150">
          <cell r="C150" t="str">
            <v>Martinica</v>
          </cell>
          <cell r="D150" t="str">
            <v>MTQ</v>
          </cell>
        </row>
        <row r="151">
          <cell r="C151" t="str">
            <v>Mauricio</v>
          </cell>
          <cell r="D151" t="str">
            <v>MUS</v>
          </cell>
        </row>
        <row r="152">
          <cell r="C152" t="str">
            <v>Mauritania</v>
          </cell>
          <cell r="D152" t="str">
            <v>MRT</v>
          </cell>
        </row>
        <row r="153">
          <cell r="C153" t="str">
            <v>Mayotte</v>
          </cell>
          <cell r="D153" t="str">
            <v>MYT</v>
          </cell>
        </row>
        <row r="154">
          <cell r="C154" t="str">
            <v>México</v>
          </cell>
          <cell r="D154" t="str">
            <v>MEX</v>
          </cell>
        </row>
        <row r="155">
          <cell r="C155" t="str">
            <v>Micronesia, Estados Federados de</v>
          </cell>
          <cell r="D155" t="str">
            <v>FSM</v>
          </cell>
        </row>
        <row r="156">
          <cell r="C156" t="str">
            <v>Moldavia, República de</v>
          </cell>
          <cell r="D156" t="str">
            <v>MDA</v>
          </cell>
        </row>
        <row r="157">
          <cell r="C157" t="str">
            <v>Mónaco</v>
          </cell>
          <cell r="D157" t="str">
            <v>MCO</v>
          </cell>
        </row>
        <row r="158">
          <cell r="C158" t="str">
            <v>Mongolia</v>
          </cell>
          <cell r="D158" t="str">
            <v>MNG</v>
          </cell>
        </row>
        <row r="159">
          <cell r="C159" t="str">
            <v>Montenegro</v>
          </cell>
          <cell r="D159" t="str">
            <v>MNE</v>
          </cell>
        </row>
        <row r="160">
          <cell r="C160" t="str">
            <v>Montserrat</v>
          </cell>
          <cell r="D160" t="str">
            <v>MSR</v>
          </cell>
        </row>
        <row r="161">
          <cell r="C161" t="str">
            <v>Mozambique</v>
          </cell>
          <cell r="D161" t="str">
            <v>MOZ</v>
          </cell>
        </row>
        <row r="162">
          <cell r="C162" t="str">
            <v>Myanmar (Birmania)</v>
          </cell>
          <cell r="D162" t="str">
            <v>MMR</v>
          </cell>
        </row>
        <row r="163">
          <cell r="C163" t="str">
            <v>Namibia</v>
          </cell>
          <cell r="D163" t="str">
            <v>NAM</v>
          </cell>
        </row>
        <row r="164">
          <cell r="C164" t="str">
            <v>Nauru</v>
          </cell>
          <cell r="D164" t="str">
            <v>NRU</v>
          </cell>
        </row>
        <row r="165">
          <cell r="C165" t="str">
            <v>Nepal</v>
          </cell>
          <cell r="D165" t="str">
            <v>NPL</v>
          </cell>
        </row>
        <row r="166">
          <cell r="C166" t="str">
            <v>Nicaragua</v>
          </cell>
          <cell r="D166" t="str">
            <v>NIC</v>
          </cell>
        </row>
        <row r="167">
          <cell r="C167" t="str">
            <v>Níger</v>
          </cell>
          <cell r="D167" t="str">
            <v>NER</v>
          </cell>
        </row>
        <row r="168">
          <cell r="C168" t="str">
            <v>Nigeria</v>
          </cell>
          <cell r="D168" t="str">
            <v>NGA</v>
          </cell>
        </row>
        <row r="169">
          <cell r="C169" t="str">
            <v>Niue</v>
          </cell>
          <cell r="D169" t="str">
            <v>NIU</v>
          </cell>
        </row>
        <row r="170">
          <cell r="C170" t="str">
            <v>Noruega</v>
          </cell>
          <cell r="D170" t="str">
            <v>NOR</v>
          </cell>
        </row>
        <row r="171">
          <cell r="C171" t="str">
            <v>Nueva Caledonia</v>
          </cell>
          <cell r="D171" t="str">
            <v>NCL</v>
          </cell>
        </row>
        <row r="172">
          <cell r="C172" t="str">
            <v>Nueva Zelanda</v>
          </cell>
          <cell r="D172" t="str">
            <v>NZL</v>
          </cell>
        </row>
        <row r="173">
          <cell r="C173" t="str">
            <v>Omán</v>
          </cell>
          <cell r="D173" t="str">
            <v>OMN</v>
          </cell>
        </row>
        <row r="174">
          <cell r="C174" t="str">
            <v>Países Bajos</v>
          </cell>
          <cell r="D174" t="str">
            <v>NLD</v>
          </cell>
        </row>
        <row r="175">
          <cell r="C175" t="str">
            <v>Pakistán</v>
          </cell>
          <cell r="D175" t="str">
            <v>PAK</v>
          </cell>
        </row>
        <row r="176">
          <cell r="C176" t="str">
            <v>Palau</v>
          </cell>
          <cell r="D176" t="str">
            <v>PLW</v>
          </cell>
        </row>
        <row r="177">
          <cell r="C177" t="str">
            <v>Panamá</v>
          </cell>
          <cell r="D177" t="str">
            <v>PAN</v>
          </cell>
        </row>
        <row r="178">
          <cell r="C178" t="str">
            <v>Papúa y Nueva Guinea</v>
          </cell>
          <cell r="D178" t="str">
            <v>PNG</v>
          </cell>
        </row>
        <row r="179">
          <cell r="C179" t="str">
            <v>Paraguay</v>
          </cell>
          <cell r="D179" t="str">
            <v>PRY</v>
          </cell>
        </row>
        <row r="180">
          <cell r="C180" t="str">
            <v>Perú</v>
          </cell>
          <cell r="D180" t="str">
            <v>PER</v>
          </cell>
        </row>
        <row r="181">
          <cell r="C181" t="str">
            <v>Polinesia Francesa</v>
          </cell>
          <cell r="D181" t="str">
            <v>PYF</v>
          </cell>
        </row>
        <row r="182">
          <cell r="C182" t="str">
            <v>Polonia</v>
          </cell>
          <cell r="D182" t="str">
            <v>POL</v>
          </cell>
        </row>
        <row r="183">
          <cell r="C183" t="str">
            <v>Portugal</v>
          </cell>
          <cell r="D183" t="str">
            <v>PRT</v>
          </cell>
        </row>
        <row r="184">
          <cell r="C184" t="str">
            <v>Puerto Rico</v>
          </cell>
          <cell r="D184" t="str">
            <v>PRI</v>
          </cell>
        </row>
        <row r="185">
          <cell r="C185" t="str">
            <v>Qatar</v>
          </cell>
          <cell r="D185" t="str">
            <v>QAT</v>
          </cell>
        </row>
        <row r="186">
          <cell r="C186" t="str">
            <v>Reino Unido</v>
          </cell>
          <cell r="D186" t="str">
            <v>GBR</v>
          </cell>
        </row>
        <row r="187">
          <cell r="C187" t="str">
            <v>República Centroafricana</v>
          </cell>
          <cell r="D187" t="str">
            <v>CAF</v>
          </cell>
        </row>
        <row r="188">
          <cell r="C188" t="str">
            <v>República Checa</v>
          </cell>
          <cell r="D188" t="str">
            <v>CZE</v>
          </cell>
        </row>
        <row r="189">
          <cell r="C189" t="str">
            <v>República Democrática Popular Lao</v>
          </cell>
          <cell r="D189" t="str">
            <v>LAO</v>
          </cell>
        </row>
        <row r="190">
          <cell r="C190" t="str">
            <v>República Dominicana</v>
          </cell>
          <cell r="D190" t="str">
            <v>DOM</v>
          </cell>
        </row>
        <row r="191">
          <cell r="C191" t="str">
            <v>Reunión</v>
          </cell>
          <cell r="D191" t="str">
            <v>REU</v>
          </cell>
        </row>
        <row r="192">
          <cell r="C192" t="str">
            <v>Ribera Occidental y Franja de Gaza</v>
          </cell>
          <cell r="D192" t="str">
            <v>PSE</v>
          </cell>
        </row>
        <row r="193">
          <cell r="C193" t="str">
            <v>Ruanda</v>
          </cell>
          <cell r="D193" t="str">
            <v>RWA</v>
          </cell>
        </row>
        <row r="194">
          <cell r="C194" t="str">
            <v>Rumanía</v>
          </cell>
          <cell r="D194" t="str">
            <v>ROU</v>
          </cell>
        </row>
        <row r="195">
          <cell r="C195" t="str">
            <v>Rusia</v>
          </cell>
          <cell r="D195" t="str">
            <v>RUS</v>
          </cell>
        </row>
        <row r="196">
          <cell r="C196" t="str">
            <v>Sahara Occidental</v>
          </cell>
          <cell r="D196" t="str">
            <v>ESH</v>
          </cell>
        </row>
        <row r="197">
          <cell r="C197" t="str">
            <v>Saint Kitts y Nevis</v>
          </cell>
          <cell r="D197" t="str">
            <v>KNA</v>
          </cell>
        </row>
        <row r="198">
          <cell r="C198" t="str">
            <v>Samoa</v>
          </cell>
          <cell r="D198" t="str">
            <v>WSM</v>
          </cell>
        </row>
        <row r="199">
          <cell r="C199" t="str">
            <v>Samoa Americana</v>
          </cell>
          <cell r="D199" t="str">
            <v>ASM</v>
          </cell>
        </row>
        <row r="200">
          <cell r="C200" t="str">
            <v>San Marino</v>
          </cell>
          <cell r="D200" t="str">
            <v>SMR</v>
          </cell>
        </row>
        <row r="201">
          <cell r="C201" t="str">
            <v>San Pedro y Miquelón</v>
          </cell>
          <cell r="D201" t="str">
            <v>SPM</v>
          </cell>
        </row>
        <row r="202">
          <cell r="C202" t="str">
            <v>San Vicente y las Granadinas</v>
          </cell>
          <cell r="D202" t="str">
            <v>VCT</v>
          </cell>
        </row>
        <row r="203">
          <cell r="C203" t="str">
            <v>Santa Helena</v>
          </cell>
          <cell r="D203" t="str">
            <v>SHN</v>
          </cell>
        </row>
        <row r="204">
          <cell r="C204" t="str">
            <v>Santa Lucía</v>
          </cell>
          <cell r="D204" t="str">
            <v>LCA</v>
          </cell>
        </row>
        <row r="205">
          <cell r="C205" t="str">
            <v>Santo Tomé y Príncipe</v>
          </cell>
          <cell r="D205" t="str">
            <v>STP</v>
          </cell>
        </row>
        <row r="206">
          <cell r="C206" t="str">
            <v>Senegal</v>
          </cell>
          <cell r="D206" t="str">
            <v>SEN</v>
          </cell>
        </row>
        <row r="207">
          <cell r="C207" t="str">
            <v>Serbia</v>
          </cell>
          <cell r="D207" t="str">
            <v>SRB</v>
          </cell>
        </row>
        <row r="208">
          <cell r="C208" t="str">
            <v>Seychelles</v>
          </cell>
          <cell r="D208" t="str">
            <v>SYC</v>
          </cell>
        </row>
        <row r="209">
          <cell r="C209" t="str">
            <v>Sierra Leona</v>
          </cell>
          <cell r="D209" t="str">
            <v>SLE</v>
          </cell>
        </row>
        <row r="210">
          <cell r="C210" t="str">
            <v>Singapur</v>
          </cell>
          <cell r="D210" t="str">
            <v>SGP</v>
          </cell>
        </row>
        <row r="211">
          <cell r="C211" t="str">
            <v>Siria</v>
          </cell>
          <cell r="D211" t="str">
            <v>SYR</v>
          </cell>
        </row>
        <row r="212">
          <cell r="C212" t="str">
            <v>Somalia</v>
          </cell>
          <cell r="D212" t="str">
            <v>SOM</v>
          </cell>
        </row>
        <row r="213">
          <cell r="C213" t="str">
            <v>Sri Lanka</v>
          </cell>
          <cell r="D213" t="str">
            <v>LKA</v>
          </cell>
        </row>
        <row r="214">
          <cell r="C214" t="str">
            <v>Sudáfrica, República de</v>
          </cell>
          <cell r="D214" t="str">
            <v>ZAF</v>
          </cell>
        </row>
        <row r="215">
          <cell r="C215" t="str">
            <v>Sudán</v>
          </cell>
          <cell r="D215" t="str">
            <v>SDN</v>
          </cell>
        </row>
        <row r="216">
          <cell r="C216" t="str">
            <v>Suecia</v>
          </cell>
          <cell r="D216" t="str">
            <v>SWE</v>
          </cell>
        </row>
        <row r="217">
          <cell r="C217" t="str">
            <v>Suiza</v>
          </cell>
          <cell r="D217" t="str">
            <v>CHE</v>
          </cell>
        </row>
        <row r="218">
          <cell r="C218" t="str">
            <v>Surinam</v>
          </cell>
          <cell r="D218" t="str">
            <v>SUR</v>
          </cell>
        </row>
        <row r="219">
          <cell r="C219" t="str">
            <v>Swazilandia</v>
          </cell>
          <cell r="D219" t="str">
            <v>SWZ</v>
          </cell>
        </row>
        <row r="220">
          <cell r="C220" t="str">
            <v>Tailandia</v>
          </cell>
          <cell r="D220" t="str">
            <v>THA</v>
          </cell>
        </row>
        <row r="221">
          <cell r="C221" t="str">
            <v>Taiwan, Provincia China d</v>
          </cell>
          <cell r="D221" t="str">
            <v xml:space="preserve"> TW</v>
          </cell>
        </row>
        <row r="222">
          <cell r="C222" t="str">
            <v>Tanzania</v>
          </cell>
          <cell r="D222" t="str">
            <v>TZA</v>
          </cell>
        </row>
        <row r="223">
          <cell r="C223" t="str">
            <v>Tayikistán</v>
          </cell>
          <cell r="D223" t="str">
            <v>TJK</v>
          </cell>
        </row>
        <row r="224">
          <cell r="C224" t="str">
            <v>Territorio Británico del Océano Índico</v>
          </cell>
          <cell r="D224" t="str">
            <v>OQ*</v>
          </cell>
        </row>
        <row r="225">
          <cell r="C225" t="str">
            <v>Territorios Franceses Meridionales</v>
          </cell>
          <cell r="D225" t="str">
            <v>FQ*</v>
          </cell>
        </row>
        <row r="226">
          <cell r="C226" t="str">
            <v>Timor-Leste</v>
          </cell>
          <cell r="D226" t="str">
            <v>TLS</v>
          </cell>
        </row>
        <row r="227">
          <cell r="C227" t="str">
            <v>Togo</v>
          </cell>
          <cell r="D227" t="str">
            <v>TGO</v>
          </cell>
        </row>
        <row r="228">
          <cell r="C228" t="str">
            <v>Tokelau</v>
          </cell>
          <cell r="D228" t="str">
            <v>TKL</v>
          </cell>
        </row>
        <row r="229">
          <cell r="C229" t="str">
            <v>Tonga</v>
          </cell>
          <cell r="D229" t="str">
            <v>TON</v>
          </cell>
        </row>
        <row r="230">
          <cell r="C230" t="str">
            <v>Trinidad y Tobago</v>
          </cell>
          <cell r="D230" t="str">
            <v>TTO</v>
          </cell>
        </row>
        <row r="231">
          <cell r="C231" t="str">
            <v>Túnez</v>
          </cell>
          <cell r="D231" t="str">
            <v>TUN</v>
          </cell>
        </row>
        <row r="232">
          <cell r="C232" t="str">
            <v>Turkmenistán</v>
          </cell>
          <cell r="D232" t="str">
            <v>TKM</v>
          </cell>
        </row>
        <row r="233">
          <cell r="C233" t="str">
            <v>Turquía</v>
          </cell>
          <cell r="D233" t="str">
            <v>TUR</v>
          </cell>
        </row>
        <row r="234">
          <cell r="C234" t="str">
            <v>Tuvalu</v>
          </cell>
          <cell r="D234" t="str">
            <v>TUV</v>
          </cell>
        </row>
        <row r="235">
          <cell r="C235" t="str">
            <v>Ucrania</v>
          </cell>
          <cell r="D235" t="str">
            <v>UKR</v>
          </cell>
        </row>
        <row r="236">
          <cell r="C236" t="str">
            <v>Uganda</v>
          </cell>
          <cell r="D236" t="str">
            <v>UGA</v>
          </cell>
        </row>
        <row r="237">
          <cell r="C237" t="str">
            <v>Uruguay</v>
          </cell>
          <cell r="D237" t="str">
            <v>URY</v>
          </cell>
        </row>
        <row r="238">
          <cell r="C238" t="str">
            <v>Uzbekistán</v>
          </cell>
          <cell r="D238" t="str">
            <v>UZB</v>
          </cell>
        </row>
        <row r="239">
          <cell r="C239" t="str">
            <v>Vanuatu</v>
          </cell>
          <cell r="D239" t="str">
            <v>VUT</v>
          </cell>
        </row>
        <row r="240">
          <cell r="C240" t="str">
            <v>Venezuela, República Bolivariana de</v>
          </cell>
          <cell r="D240" t="str">
            <v>VEN</v>
          </cell>
        </row>
        <row r="241">
          <cell r="C241" t="str">
            <v>Vietnam</v>
          </cell>
          <cell r="D241" t="str">
            <v>VNM</v>
          </cell>
        </row>
        <row r="242">
          <cell r="C242" t="str">
            <v>Wallis y Futuna</v>
          </cell>
          <cell r="D242" t="str">
            <v>WLF</v>
          </cell>
        </row>
        <row r="243">
          <cell r="C243" t="str">
            <v>Yemen</v>
          </cell>
          <cell r="D243" t="str">
            <v>YEM</v>
          </cell>
        </row>
        <row r="244">
          <cell r="C244" t="str">
            <v>Zambia</v>
          </cell>
          <cell r="D244" t="str">
            <v>ZMB</v>
          </cell>
        </row>
        <row r="245">
          <cell r="C245" t="str">
            <v>Zimbabwe</v>
          </cell>
          <cell r="D245" t="str">
            <v>ZWE</v>
          </cell>
        </row>
        <row r="246">
          <cell r="C246" t="str">
            <v>Variable de control (debe ser cero)</v>
          </cell>
          <cell r="D246" t="str">
            <v>zzz</v>
          </cell>
        </row>
      </sheetData>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ONTROL"/>
      <sheetName val="DatosGenerales"/>
      <sheetName val="Aplicar"/>
      <sheetName val="Encargado"/>
      <sheetName val="Base_Panor_A"/>
      <sheetName val="Panorama A."/>
      <sheetName val="Panorama B."/>
      <sheetName val="Panorama C."/>
      <sheetName val="Cambios TRIMESTRAL"/>
      <sheetName val="Tabla I."/>
      <sheetName val="Indice (2)"/>
      <sheetName val="Menu"/>
      <sheetName val="Tabla II."/>
      <sheetName val="Tabla III.1."/>
      <sheetName val="Tabla III.2."/>
      <sheetName val="Tabla III.3."/>
      <sheetName val="Tabla III.4."/>
      <sheetName val="Tabla III.5."/>
      <sheetName val="Tabla IV.1."/>
      <sheetName val="Tabla IV.2."/>
      <sheetName val="Cambios Anual"/>
      <sheetName val="Tabla V."/>
      <sheetName val="Tabla VI."/>
      <sheetName val="Tabla VII.1."/>
      <sheetName val="Tabla VII.2."/>
      <sheetName val="TCambio"/>
      <sheetName val="Base_EABP"/>
      <sheetName val="TCambioSalida"/>
      <sheetName val="Base_Servicios"/>
      <sheetName val="Base_ECID"/>
      <sheetName val="TPaises"/>
      <sheetName val="Ayuda"/>
      <sheetName val="VALIDACION_RUC"/>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sheetData sheetId="30" refreshError="1"/>
      <sheetData sheetId="31"/>
      <sheetData sheetId="32" refreshError="1"/>
      <sheetData sheetId="3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ontrol" Target="../activeX/activeX43.xml"/><Relationship Id="rId3" Type="http://schemas.openxmlformats.org/officeDocument/2006/relationships/vmlDrawing" Target="../drawings/vmlDrawing4.vml"/><Relationship Id="rId7" Type="http://schemas.openxmlformats.org/officeDocument/2006/relationships/image" Target="../media/image42.emf"/><Relationship Id="rId12" Type="http://schemas.openxmlformats.org/officeDocument/2006/relationships/comments" Target="../comments2.x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ontrol" Target="../activeX/activeX42.xml"/><Relationship Id="rId11" Type="http://schemas.openxmlformats.org/officeDocument/2006/relationships/image" Target="../media/image44.emf"/><Relationship Id="rId5" Type="http://schemas.openxmlformats.org/officeDocument/2006/relationships/image" Target="../media/image41.emf"/><Relationship Id="rId10" Type="http://schemas.openxmlformats.org/officeDocument/2006/relationships/control" Target="../activeX/activeX44.xml"/><Relationship Id="rId4" Type="http://schemas.openxmlformats.org/officeDocument/2006/relationships/control" Target="../activeX/activeX41.xml"/><Relationship Id="rId9" Type="http://schemas.openxmlformats.org/officeDocument/2006/relationships/image" Target="../media/image43.emf"/></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control" Target="../activeX/activeX5.xml"/><Relationship Id="rId18" Type="http://schemas.openxmlformats.org/officeDocument/2006/relationships/image" Target="../media/image7.emf"/><Relationship Id="rId3" Type="http://schemas.openxmlformats.org/officeDocument/2006/relationships/drawing" Target="../drawings/drawing1.xml"/><Relationship Id="rId21" Type="http://schemas.openxmlformats.org/officeDocument/2006/relationships/control" Target="../activeX/activeX9.xml"/><Relationship Id="rId7" Type="http://schemas.openxmlformats.org/officeDocument/2006/relationships/control" Target="../activeX/activeX2.xml"/><Relationship Id="rId12" Type="http://schemas.openxmlformats.org/officeDocument/2006/relationships/image" Target="../media/image4.emf"/><Relationship Id="rId17" Type="http://schemas.openxmlformats.org/officeDocument/2006/relationships/control" Target="../activeX/activeX7.xml"/><Relationship Id="rId2" Type="http://schemas.openxmlformats.org/officeDocument/2006/relationships/printerSettings" Target="../printerSettings/printerSettings2.bin"/><Relationship Id="rId16" Type="http://schemas.openxmlformats.org/officeDocument/2006/relationships/image" Target="../media/image6.emf"/><Relationship Id="rId20" Type="http://schemas.openxmlformats.org/officeDocument/2006/relationships/image" Target="../media/image8.emf"/><Relationship Id="rId1" Type="http://schemas.openxmlformats.org/officeDocument/2006/relationships/hyperlink" Target="http://www.bcrp.gob.pe/docs/Transparencia/Normas-Legales/Circulares/2012/circular-025-2012-bcrp.pdf" TargetMode="External"/><Relationship Id="rId6" Type="http://schemas.openxmlformats.org/officeDocument/2006/relationships/image" Target="../media/image1.emf"/><Relationship Id="rId11" Type="http://schemas.openxmlformats.org/officeDocument/2006/relationships/control" Target="../activeX/activeX4.xml"/><Relationship Id="rId24" Type="http://schemas.openxmlformats.org/officeDocument/2006/relationships/image" Target="../media/image10.emf"/><Relationship Id="rId5" Type="http://schemas.openxmlformats.org/officeDocument/2006/relationships/control" Target="../activeX/activeX1.xml"/><Relationship Id="rId15" Type="http://schemas.openxmlformats.org/officeDocument/2006/relationships/control" Target="../activeX/activeX6.xml"/><Relationship Id="rId23" Type="http://schemas.openxmlformats.org/officeDocument/2006/relationships/control" Target="../activeX/activeX10.xml"/><Relationship Id="rId10" Type="http://schemas.openxmlformats.org/officeDocument/2006/relationships/image" Target="../media/image3.emf"/><Relationship Id="rId19" Type="http://schemas.openxmlformats.org/officeDocument/2006/relationships/control" Target="../activeX/activeX8.xml"/><Relationship Id="rId4" Type="http://schemas.openxmlformats.org/officeDocument/2006/relationships/vmlDrawing" Target="../drawings/vmlDrawing1.vml"/><Relationship Id="rId9" Type="http://schemas.openxmlformats.org/officeDocument/2006/relationships/control" Target="../activeX/activeX3.xml"/><Relationship Id="rId14" Type="http://schemas.openxmlformats.org/officeDocument/2006/relationships/image" Target="../media/image5.emf"/><Relationship Id="rId22" Type="http://schemas.openxmlformats.org/officeDocument/2006/relationships/image" Target="../media/image9.emf"/></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6" Type="http://schemas.openxmlformats.org/officeDocument/2006/relationships/control" Target="../activeX/activeX56.xml"/><Relationship Id="rId117" Type="http://schemas.openxmlformats.org/officeDocument/2006/relationships/image" Target="../media/image102.emf"/><Relationship Id="rId21" Type="http://schemas.openxmlformats.org/officeDocument/2006/relationships/image" Target="../media/image54.emf"/><Relationship Id="rId42" Type="http://schemas.openxmlformats.org/officeDocument/2006/relationships/control" Target="../activeX/activeX64.xml"/><Relationship Id="rId47" Type="http://schemas.openxmlformats.org/officeDocument/2006/relationships/image" Target="../media/image67.emf"/><Relationship Id="rId63" Type="http://schemas.openxmlformats.org/officeDocument/2006/relationships/image" Target="../media/image75.emf"/><Relationship Id="rId68" Type="http://schemas.openxmlformats.org/officeDocument/2006/relationships/control" Target="../activeX/activeX77.xml"/><Relationship Id="rId84" Type="http://schemas.openxmlformats.org/officeDocument/2006/relationships/control" Target="../activeX/activeX85.xml"/><Relationship Id="rId89" Type="http://schemas.openxmlformats.org/officeDocument/2006/relationships/image" Target="../media/image88.emf"/><Relationship Id="rId112" Type="http://schemas.openxmlformats.org/officeDocument/2006/relationships/control" Target="../activeX/activeX99.xml"/><Relationship Id="rId133" Type="http://schemas.openxmlformats.org/officeDocument/2006/relationships/image" Target="../media/image110.emf"/><Relationship Id="rId138" Type="http://schemas.openxmlformats.org/officeDocument/2006/relationships/control" Target="../activeX/activeX112.xml"/><Relationship Id="rId154" Type="http://schemas.openxmlformats.org/officeDocument/2006/relationships/control" Target="../activeX/activeX120.xml"/><Relationship Id="rId159" Type="http://schemas.openxmlformats.org/officeDocument/2006/relationships/image" Target="../media/image123.emf"/><Relationship Id="rId16" Type="http://schemas.openxmlformats.org/officeDocument/2006/relationships/control" Target="../activeX/activeX51.xml"/><Relationship Id="rId107" Type="http://schemas.openxmlformats.org/officeDocument/2006/relationships/image" Target="../media/image97.emf"/><Relationship Id="rId11" Type="http://schemas.openxmlformats.org/officeDocument/2006/relationships/image" Target="../media/image49.emf"/><Relationship Id="rId32" Type="http://schemas.openxmlformats.org/officeDocument/2006/relationships/control" Target="../activeX/activeX59.xml"/><Relationship Id="rId37" Type="http://schemas.openxmlformats.org/officeDocument/2006/relationships/image" Target="../media/image62.emf"/><Relationship Id="rId53" Type="http://schemas.openxmlformats.org/officeDocument/2006/relationships/image" Target="../media/image70.emf"/><Relationship Id="rId58" Type="http://schemas.openxmlformats.org/officeDocument/2006/relationships/control" Target="../activeX/activeX72.xml"/><Relationship Id="rId74" Type="http://schemas.openxmlformats.org/officeDocument/2006/relationships/control" Target="../activeX/activeX80.xml"/><Relationship Id="rId79" Type="http://schemas.openxmlformats.org/officeDocument/2006/relationships/image" Target="../media/image83.emf"/><Relationship Id="rId102" Type="http://schemas.openxmlformats.org/officeDocument/2006/relationships/control" Target="../activeX/activeX94.xml"/><Relationship Id="rId123" Type="http://schemas.openxmlformats.org/officeDocument/2006/relationships/image" Target="../media/image105.emf"/><Relationship Id="rId128" Type="http://schemas.openxmlformats.org/officeDocument/2006/relationships/control" Target="../activeX/activeX107.xml"/><Relationship Id="rId144" Type="http://schemas.openxmlformats.org/officeDocument/2006/relationships/control" Target="../activeX/activeX115.xml"/><Relationship Id="rId149" Type="http://schemas.openxmlformats.org/officeDocument/2006/relationships/image" Target="../media/image118.emf"/><Relationship Id="rId5" Type="http://schemas.openxmlformats.org/officeDocument/2006/relationships/image" Target="../media/image46.emf"/><Relationship Id="rId90" Type="http://schemas.openxmlformats.org/officeDocument/2006/relationships/control" Target="../activeX/activeX88.xml"/><Relationship Id="rId95" Type="http://schemas.openxmlformats.org/officeDocument/2006/relationships/image" Target="../media/image91.emf"/><Relationship Id="rId160" Type="http://schemas.openxmlformats.org/officeDocument/2006/relationships/control" Target="../activeX/activeX123.xml"/><Relationship Id="rId22" Type="http://schemas.openxmlformats.org/officeDocument/2006/relationships/control" Target="../activeX/activeX54.xml"/><Relationship Id="rId27" Type="http://schemas.openxmlformats.org/officeDocument/2006/relationships/image" Target="../media/image57.emf"/><Relationship Id="rId43" Type="http://schemas.openxmlformats.org/officeDocument/2006/relationships/image" Target="../media/image65.emf"/><Relationship Id="rId48" Type="http://schemas.openxmlformats.org/officeDocument/2006/relationships/control" Target="../activeX/activeX67.xml"/><Relationship Id="rId64" Type="http://schemas.openxmlformats.org/officeDocument/2006/relationships/control" Target="../activeX/activeX75.xml"/><Relationship Id="rId69" Type="http://schemas.openxmlformats.org/officeDocument/2006/relationships/image" Target="../media/image78.emf"/><Relationship Id="rId113" Type="http://schemas.openxmlformats.org/officeDocument/2006/relationships/image" Target="../media/image100.emf"/><Relationship Id="rId118" Type="http://schemas.openxmlformats.org/officeDocument/2006/relationships/control" Target="../activeX/activeX102.xml"/><Relationship Id="rId134" Type="http://schemas.openxmlformats.org/officeDocument/2006/relationships/control" Target="../activeX/activeX110.xml"/><Relationship Id="rId139" Type="http://schemas.openxmlformats.org/officeDocument/2006/relationships/image" Target="../media/image113.emf"/><Relationship Id="rId80" Type="http://schemas.openxmlformats.org/officeDocument/2006/relationships/control" Target="../activeX/activeX83.xml"/><Relationship Id="rId85" Type="http://schemas.openxmlformats.org/officeDocument/2006/relationships/image" Target="../media/image86.emf"/><Relationship Id="rId150" Type="http://schemas.openxmlformats.org/officeDocument/2006/relationships/control" Target="../activeX/activeX118.xml"/><Relationship Id="rId155" Type="http://schemas.openxmlformats.org/officeDocument/2006/relationships/image" Target="../media/image121.emf"/><Relationship Id="rId12" Type="http://schemas.openxmlformats.org/officeDocument/2006/relationships/control" Target="../activeX/activeX49.xml"/><Relationship Id="rId17" Type="http://schemas.openxmlformats.org/officeDocument/2006/relationships/image" Target="../media/image52.emf"/><Relationship Id="rId33" Type="http://schemas.openxmlformats.org/officeDocument/2006/relationships/image" Target="../media/image60.emf"/><Relationship Id="rId38" Type="http://schemas.openxmlformats.org/officeDocument/2006/relationships/control" Target="../activeX/activeX62.xml"/><Relationship Id="rId59" Type="http://schemas.openxmlformats.org/officeDocument/2006/relationships/image" Target="../media/image73.emf"/><Relationship Id="rId103" Type="http://schemas.openxmlformats.org/officeDocument/2006/relationships/image" Target="../media/image95.emf"/><Relationship Id="rId108" Type="http://schemas.openxmlformats.org/officeDocument/2006/relationships/control" Target="../activeX/activeX97.xml"/><Relationship Id="rId124" Type="http://schemas.openxmlformats.org/officeDocument/2006/relationships/control" Target="../activeX/activeX105.xml"/><Relationship Id="rId129" Type="http://schemas.openxmlformats.org/officeDocument/2006/relationships/image" Target="../media/image108.emf"/><Relationship Id="rId54" Type="http://schemas.openxmlformats.org/officeDocument/2006/relationships/control" Target="../activeX/activeX70.xml"/><Relationship Id="rId70" Type="http://schemas.openxmlformats.org/officeDocument/2006/relationships/control" Target="../activeX/activeX78.xml"/><Relationship Id="rId75" Type="http://schemas.openxmlformats.org/officeDocument/2006/relationships/image" Target="../media/image81.emf"/><Relationship Id="rId91" Type="http://schemas.openxmlformats.org/officeDocument/2006/relationships/image" Target="../media/image89.emf"/><Relationship Id="rId96" Type="http://schemas.openxmlformats.org/officeDocument/2006/relationships/control" Target="../activeX/activeX91.xml"/><Relationship Id="rId140" Type="http://schemas.openxmlformats.org/officeDocument/2006/relationships/control" Target="../activeX/activeX113.xml"/><Relationship Id="rId145" Type="http://schemas.openxmlformats.org/officeDocument/2006/relationships/image" Target="../media/image116.emf"/><Relationship Id="rId161" Type="http://schemas.openxmlformats.org/officeDocument/2006/relationships/image" Target="../media/image124.emf"/><Relationship Id="rId1" Type="http://schemas.openxmlformats.org/officeDocument/2006/relationships/printerSettings" Target="../printerSettings/printerSettings22.bin"/><Relationship Id="rId6" Type="http://schemas.openxmlformats.org/officeDocument/2006/relationships/control" Target="../activeX/activeX46.xml"/><Relationship Id="rId15" Type="http://schemas.openxmlformats.org/officeDocument/2006/relationships/image" Target="../media/image51.emf"/><Relationship Id="rId23" Type="http://schemas.openxmlformats.org/officeDocument/2006/relationships/image" Target="../media/image55.emf"/><Relationship Id="rId28" Type="http://schemas.openxmlformats.org/officeDocument/2006/relationships/control" Target="../activeX/activeX57.xml"/><Relationship Id="rId36" Type="http://schemas.openxmlformats.org/officeDocument/2006/relationships/control" Target="../activeX/activeX61.xml"/><Relationship Id="rId49" Type="http://schemas.openxmlformats.org/officeDocument/2006/relationships/image" Target="../media/image68.emf"/><Relationship Id="rId57" Type="http://schemas.openxmlformats.org/officeDocument/2006/relationships/image" Target="../media/image72.emf"/><Relationship Id="rId106" Type="http://schemas.openxmlformats.org/officeDocument/2006/relationships/control" Target="../activeX/activeX96.xml"/><Relationship Id="rId114" Type="http://schemas.openxmlformats.org/officeDocument/2006/relationships/control" Target="../activeX/activeX100.xml"/><Relationship Id="rId119" Type="http://schemas.openxmlformats.org/officeDocument/2006/relationships/image" Target="../media/image103.emf"/><Relationship Id="rId127" Type="http://schemas.openxmlformats.org/officeDocument/2006/relationships/image" Target="../media/image107.emf"/><Relationship Id="rId10" Type="http://schemas.openxmlformats.org/officeDocument/2006/relationships/control" Target="../activeX/activeX48.xml"/><Relationship Id="rId31" Type="http://schemas.openxmlformats.org/officeDocument/2006/relationships/image" Target="../media/image59.emf"/><Relationship Id="rId44" Type="http://schemas.openxmlformats.org/officeDocument/2006/relationships/control" Target="../activeX/activeX65.xml"/><Relationship Id="rId52" Type="http://schemas.openxmlformats.org/officeDocument/2006/relationships/control" Target="../activeX/activeX69.xml"/><Relationship Id="rId60" Type="http://schemas.openxmlformats.org/officeDocument/2006/relationships/control" Target="../activeX/activeX73.xml"/><Relationship Id="rId65" Type="http://schemas.openxmlformats.org/officeDocument/2006/relationships/image" Target="../media/image76.emf"/><Relationship Id="rId73" Type="http://schemas.openxmlformats.org/officeDocument/2006/relationships/image" Target="../media/image80.emf"/><Relationship Id="rId78" Type="http://schemas.openxmlformats.org/officeDocument/2006/relationships/control" Target="../activeX/activeX82.xml"/><Relationship Id="rId81" Type="http://schemas.openxmlformats.org/officeDocument/2006/relationships/image" Target="../media/image84.emf"/><Relationship Id="rId86" Type="http://schemas.openxmlformats.org/officeDocument/2006/relationships/control" Target="../activeX/activeX86.xml"/><Relationship Id="rId94" Type="http://schemas.openxmlformats.org/officeDocument/2006/relationships/control" Target="../activeX/activeX90.xml"/><Relationship Id="rId99" Type="http://schemas.openxmlformats.org/officeDocument/2006/relationships/image" Target="../media/image93.emf"/><Relationship Id="rId101" Type="http://schemas.openxmlformats.org/officeDocument/2006/relationships/image" Target="../media/image94.emf"/><Relationship Id="rId122" Type="http://schemas.openxmlformats.org/officeDocument/2006/relationships/control" Target="../activeX/activeX104.xml"/><Relationship Id="rId130" Type="http://schemas.openxmlformats.org/officeDocument/2006/relationships/control" Target="../activeX/activeX108.xml"/><Relationship Id="rId135" Type="http://schemas.openxmlformats.org/officeDocument/2006/relationships/image" Target="../media/image111.emf"/><Relationship Id="rId143" Type="http://schemas.openxmlformats.org/officeDocument/2006/relationships/image" Target="../media/image115.emf"/><Relationship Id="rId148" Type="http://schemas.openxmlformats.org/officeDocument/2006/relationships/control" Target="../activeX/activeX117.xml"/><Relationship Id="rId151" Type="http://schemas.openxmlformats.org/officeDocument/2006/relationships/image" Target="../media/image119.emf"/><Relationship Id="rId156" Type="http://schemas.openxmlformats.org/officeDocument/2006/relationships/control" Target="../activeX/activeX121.xml"/><Relationship Id="rId4" Type="http://schemas.openxmlformats.org/officeDocument/2006/relationships/control" Target="../activeX/activeX45.xml"/><Relationship Id="rId9" Type="http://schemas.openxmlformats.org/officeDocument/2006/relationships/image" Target="../media/image48.emf"/><Relationship Id="rId13" Type="http://schemas.openxmlformats.org/officeDocument/2006/relationships/image" Target="../media/image50.emf"/><Relationship Id="rId18" Type="http://schemas.openxmlformats.org/officeDocument/2006/relationships/control" Target="../activeX/activeX52.xml"/><Relationship Id="rId39" Type="http://schemas.openxmlformats.org/officeDocument/2006/relationships/image" Target="../media/image63.emf"/><Relationship Id="rId109" Type="http://schemas.openxmlformats.org/officeDocument/2006/relationships/image" Target="../media/image98.emf"/><Relationship Id="rId34" Type="http://schemas.openxmlformats.org/officeDocument/2006/relationships/control" Target="../activeX/activeX60.xml"/><Relationship Id="rId50" Type="http://schemas.openxmlformats.org/officeDocument/2006/relationships/control" Target="../activeX/activeX68.xml"/><Relationship Id="rId55" Type="http://schemas.openxmlformats.org/officeDocument/2006/relationships/image" Target="../media/image71.emf"/><Relationship Id="rId76" Type="http://schemas.openxmlformats.org/officeDocument/2006/relationships/control" Target="../activeX/activeX81.xml"/><Relationship Id="rId97" Type="http://schemas.openxmlformats.org/officeDocument/2006/relationships/image" Target="../media/image92.emf"/><Relationship Id="rId104" Type="http://schemas.openxmlformats.org/officeDocument/2006/relationships/control" Target="../activeX/activeX95.xml"/><Relationship Id="rId120" Type="http://schemas.openxmlformats.org/officeDocument/2006/relationships/control" Target="../activeX/activeX103.xml"/><Relationship Id="rId125" Type="http://schemas.openxmlformats.org/officeDocument/2006/relationships/image" Target="../media/image106.emf"/><Relationship Id="rId141" Type="http://schemas.openxmlformats.org/officeDocument/2006/relationships/image" Target="../media/image114.emf"/><Relationship Id="rId146" Type="http://schemas.openxmlformats.org/officeDocument/2006/relationships/control" Target="../activeX/activeX116.xml"/><Relationship Id="rId7" Type="http://schemas.openxmlformats.org/officeDocument/2006/relationships/image" Target="../media/image47.emf"/><Relationship Id="rId71" Type="http://schemas.openxmlformats.org/officeDocument/2006/relationships/image" Target="../media/image79.emf"/><Relationship Id="rId92" Type="http://schemas.openxmlformats.org/officeDocument/2006/relationships/control" Target="../activeX/activeX89.xml"/><Relationship Id="rId162" Type="http://schemas.openxmlformats.org/officeDocument/2006/relationships/control" Target="../activeX/activeX124.xml"/><Relationship Id="rId2" Type="http://schemas.openxmlformats.org/officeDocument/2006/relationships/drawing" Target="../drawings/drawing19.xml"/><Relationship Id="rId29" Type="http://schemas.openxmlformats.org/officeDocument/2006/relationships/image" Target="../media/image58.emf"/><Relationship Id="rId24" Type="http://schemas.openxmlformats.org/officeDocument/2006/relationships/control" Target="../activeX/activeX55.xml"/><Relationship Id="rId40" Type="http://schemas.openxmlformats.org/officeDocument/2006/relationships/control" Target="../activeX/activeX63.xml"/><Relationship Id="rId45" Type="http://schemas.openxmlformats.org/officeDocument/2006/relationships/image" Target="../media/image66.emf"/><Relationship Id="rId66" Type="http://schemas.openxmlformats.org/officeDocument/2006/relationships/control" Target="../activeX/activeX76.xml"/><Relationship Id="rId87" Type="http://schemas.openxmlformats.org/officeDocument/2006/relationships/image" Target="../media/image87.emf"/><Relationship Id="rId110" Type="http://schemas.openxmlformats.org/officeDocument/2006/relationships/control" Target="../activeX/activeX98.xml"/><Relationship Id="rId115" Type="http://schemas.openxmlformats.org/officeDocument/2006/relationships/image" Target="../media/image101.emf"/><Relationship Id="rId131" Type="http://schemas.openxmlformats.org/officeDocument/2006/relationships/image" Target="../media/image109.emf"/><Relationship Id="rId136" Type="http://schemas.openxmlformats.org/officeDocument/2006/relationships/control" Target="../activeX/activeX111.xml"/><Relationship Id="rId157" Type="http://schemas.openxmlformats.org/officeDocument/2006/relationships/image" Target="../media/image122.emf"/><Relationship Id="rId61" Type="http://schemas.openxmlformats.org/officeDocument/2006/relationships/image" Target="../media/image74.emf"/><Relationship Id="rId82" Type="http://schemas.openxmlformats.org/officeDocument/2006/relationships/control" Target="../activeX/activeX84.xml"/><Relationship Id="rId152" Type="http://schemas.openxmlformats.org/officeDocument/2006/relationships/control" Target="../activeX/activeX119.xml"/><Relationship Id="rId19" Type="http://schemas.openxmlformats.org/officeDocument/2006/relationships/image" Target="../media/image53.emf"/><Relationship Id="rId14" Type="http://schemas.openxmlformats.org/officeDocument/2006/relationships/control" Target="../activeX/activeX50.xml"/><Relationship Id="rId30" Type="http://schemas.openxmlformats.org/officeDocument/2006/relationships/control" Target="../activeX/activeX58.xml"/><Relationship Id="rId35" Type="http://schemas.openxmlformats.org/officeDocument/2006/relationships/image" Target="../media/image61.emf"/><Relationship Id="rId56" Type="http://schemas.openxmlformats.org/officeDocument/2006/relationships/control" Target="../activeX/activeX71.xml"/><Relationship Id="rId77" Type="http://schemas.openxmlformats.org/officeDocument/2006/relationships/image" Target="../media/image82.emf"/><Relationship Id="rId100" Type="http://schemas.openxmlformats.org/officeDocument/2006/relationships/control" Target="../activeX/activeX93.xml"/><Relationship Id="rId105" Type="http://schemas.openxmlformats.org/officeDocument/2006/relationships/image" Target="../media/image96.emf"/><Relationship Id="rId126" Type="http://schemas.openxmlformats.org/officeDocument/2006/relationships/control" Target="../activeX/activeX106.xml"/><Relationship Id="rId147" Type="http://schemas.openxmlformats.org/officeDocument/2006/relationships/image" Target="../media/image117.emf"/><Relationship Id="rId8" Type="http://schemas.openxmlformats.org/officeDocument/2006/relationships/control" Target="../activeX/activeX47.xml"/><Relationship Id="rId51" Type="http://schemas.openxmlformats.org/officeDocument/2006/relationships/image" Target="../media/image69.emf"/><Relationship Id="rId72" Type="http://schemas.openxmlformats.org/officeDocument/2006/relationships/control" Target="../activeX/activeX79.xml"/><Relationship Id="rId93" Type="http://schemas.openxmlformats.org/officeDocument/2006/relationships/image" Target="../media/image90.emf"/><Relationship Id="rId98" Type="http://schemas.openxmlformats.org/officeDocument/2006/relationships/control" Target="../activeX/activeX92.xml"/><Relationship Id="rId121" Type="http://schemas.openxmlformats.org/officeDocument/2006/relationships/image" Target="../media/image104.emf"/><Relationship Id="rId142" Type="http://schemas.openxmlformats.org/officeDocument/2006/relationships/control" Target="../activeX/activeX114.xml"/><Relationship Id="rId163" Type="http://schemas.openxmlformats.org/officeDocument/2006/relationships/image" Target="../media/image125.emf"/><Relationship Id="rId3" Type="http://schemas.openxmlformats.org/officeDocument/2006/relationships/vmlDrawing" Target="../drawings/vmlDrawing10.vml"/><Relationship Id="rId25" Type="http://schemas.openxmlformats.org/officeDocument/2006/relationships/image" Target="../media/image56.emf"/><Relationship Id="rId46" Type="http://schemas.openxmlformats.org/officeDocument/2006/relationships/control" Target="../activeX/activeX66.xml"/><Relationship Id="rId67" Type="http://schemas.openxmlformats.org/officeDocument/2006/relationships/image" Target="../media/image77.emf"/><Relationship Id="rId116" Type="http://schemas.openxmlformats.org/officeDocument/2006/relationships/control" Target="../activeX/activeX101.xml"/><Relationship Id="rId137" Type="http://schemas.openxmlformats.org/officeDocument/2006/relationships/image" Target="../media/image112.emf"/><Relationship Id="rId158" Type="http://schemas.openxmlformats.org/officeDocument/2006/relationships/control" Target="../activeX/activeX122.xml"/><Relationship Id="rId20" Type="http://schemas.openxmlformats.org/officeDocument/2006/relationships/control" Target="../activeX/activeX53.xml"/><Relationship Id="rId41" Type="http://schemas.openxmlformats.org/officeDocument/2006/relationships/image" Target="../media/image64.emf"/><Relationship Id="rId62" Type="http://schemas.openxmlformats.org/officeDocument/2006/relationships/control" Target="../activeX/activeX74.xml"/><Relationship Id="rId83" Type="http://schemas.openxmlformats.org/officeDocument/2006/relationships/image" Target="../media/image85.emf"/><Relationship Id="rId88" Type="http://schemas.openxmlformats.org/officeDocument/2006/relationships/control" Target="../activeX/activeX87.xml"/><Relationship Id="rId111" Type="http://schemas.openxmlformats.org/officeDocument/2006/relationships/image" Target="../media/image99.emf"/><Relationship Id="rId132" Type="http://schemas.openxmlformats.org/officeDocument/2006/relationships/control" Target="../activeX/activeX109.xml"/><Relationship Id="rId153" Type="http://schemas.openxmlformats.org/officeDocument/2006/relationships/image" Target="../media/image120.emf"/></Relationships>
</file>

<file path=xl/worksheets/_rels/sheet2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1.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6" Type="http://schemas.openxmlformats.org/officeDocument/2006/relationships/control" Target="../activeX/activeX136.xml"/><Relationship Id="rId117" Type="http://schemas.openxmlformats.org/officeDocument/2006/relationships/image" Target="../media/image182.emf"/><Relationship Id="rId21" Type="http://schemas.openxmlformats.org/officeDocument/2006/relationships/image" Target="../media/image134.emf"/><Relationship Id="rId42" Type="http://schemas.openxmlformats.org/officeDocument/2006/relationships/control" Target="../activeX/activeX144.xml"/><Relationship Id="rId47" Type="http://schemas.openxmlformats.org/officeDocument/2006/relationships/image" Target="../media/image147.emf"/><Relationship Id="rId63" Type="http://schemas.openxmlformats.org/officeDocument/2006/relationships/image" Target="../media/image155.emf"/><Relationship Id="rId68" Type="http://schemas.openxmlformats.org/officeDocument/2006/relationships/control" Target="../activeX/activeX157.xml"/><Relationship Id="rId84" Type="http://schemas.openxmlformats.org/officeDocument/2006/relationships/control" Target="../activeX/activeX165.xml"/><Relationship Id="rId89" Type="http://schemas.openxmlformats.org/officeDocument/2006/relationships/image" Target="../media/image168.emf"/><Relationship Id="rId112" Type="http://schemas.openxmlformats.org/officeDocument/2006/relationships/control" Target="../activeX/activeX179.xml"/><Relationship Id="rId133" Type="http://schemas.openxmlformats.org/officeDocument/2006/relationships/image" Target="../media/image190.emf"/><Relationship Id="rId138" Type="http://schemas.openxmlformats.org/officeDocument/2006/relationships/control" Target="../activeX/activeX192.xml"/><Relationship Id="rId154" Type="http://schemas.openxmlformats.org/officeDocument/2006/relationships/control" Target="../activeX/activeX200.xml"/><Relationship Id="rId159" Type="http://schemas.openxmlformats.org/officeDocument/2006/relationships/image" Target="../media/image203.emf"/><Relationship Id="rId16" Type="http://schemas.openxmlformats.org/officeDocument/2006/relationships/control" Target="../activeX/activeX131.xml"/><Relationship Id="rId107" Type="http://schemas.openxmlformats.org/officeDocument/2006/relationships/image" Target="../media/image177.emf"/><Relationship Id="rId11" Type="http://schemas.openxmlformats.org/officeDocument/2006/relationships/image" Target="../media/image129.emf"/><Relationship Id="rId32" Type="http://schemas.openxmlformats.org/officeDocument/2006/relationships/control" Target="../activeX/activeX139.xml"/><Relationship Id="rId37" Type="http://schemas.openxmlformats.org/officeDocument/2006/relationships/image" Target="../media/image142.emf"/><Relationship Id="rId53" Type="http://schemas.openxmlformats.org/officeDocument/2006/relationships/image" Target="../media/image150.emf"/><Relationship Id="rId58" Type="http://schemas.openxmlformats.org/officeDocument/2006/relationships/control" Target="../activeX/activeX152.xml"/><Relationship Id="rId74" Type="http://schemas.openxmlformats.org/officeDocument/2006/relationships/control" Target="../activeX/activeX160.xml"/><Relationship Id="rId79" Type="http://schemas.openxmlformats.org/officeDocument/2006/relationships/image" Target="../media/image163.emf"/><Relationship Id="rId102" Type="http://schemas.openxmlformats.org/officeDocument/2006/relationships/control" Target="../activeX/activeX174.xml"/><Relationship Id="rId123" Type="http://schemas.openxmlformats.org/officeDocument/2006/relationships/image" Target="../media/image185.emf"/><Relationship Id="rId128" Type="http://schemas.openxmlformats.org/officeDocument/2006/relationships/control" Target="../activeX/activeX187.xml"/><Relationship Id="rId144" Type="http://schemas.openxmlformats.org/officeDocument/2006/relationships/control" Target="../activeX/activeX195.xml"/><Relationship Id="rId149" Type="http://schemas.openxmlformats.org/officeDocument/2006/relationships/image" Target="../media/image198.emf"/><Relationship Id="rId5" Type="http://schemas.openxmlformats.org/officeDocument/2006/relationships/image" Target="../media/image126.emf"/><Relationship Id="rId90" Type="http://schemas.openxmlformats.org/officeDocument/2006/relationships/control" Target="../activeX/activeX168.xml"/><Relationship Id="rId95" Type="http://schemas.openxmlformats.org/officeDocument/2006/relationships/image" Target="../media/image171.emf"/><Relationship Id="rId160" Type="http://schemas.openxmlformats.org/officeDocument/2006/relationships/control" Target="../activeX/activeX203.xml"/><Relationship Id="rId22" Type="http://schemas.openxmlformats.org/officeDocument/2006/relationships/control" Target="../activeX/activeX134.xml"/><Relationship Id="rId27" Type="http://schemas.openxmlformats.org/officeDocument/2006/relationships/image" Target="../media/image137.emf"/><Relationship Id="rId43" Type="http://schemas.openxmlformats.org/officeDocument/2006/relationships/image" Target="../media/image145.emf"/><Relationship Id="rId48" Type="http://schemas.openxmlformats.org/officeDocument/2006/relationships/control" Target="../activeX/activeX147.xml"/><Relationship Id="rId64" Type="http://schemas.openxmlformats.org/officeDocument/2006/relationships/control" Target="../activeX/activeX155.xml"/><Relationship Id="rId69" Type="http://schemas.openxmlformats.org/officeDocument/2006/relationships/image" Target="../media/image158.emf"/><Relationship Id="rId113" Type="http://schemas.openxmlformats.org/officeDocument/2006/relationships/image" Target="../media/image180.emf"/><Relationship Id="rId118" Type="http://schemas.openxmlformats.org/officeDocument/2006/relationships/control" Target="../activeX/activeX182.xml"/><Relationship Id="rId134" Type="http://schemas.openxmlformats.org/officeDocument/2006/relationships/control" Target="../activeX/activeX190.xml"/><Relationship Id="rId139" Type="http://schemas.openxmlformats.org/officeDocument/2006/relationships/image" Target="../media/image193.emf"/><Relationship Id="rId80" Type="http://schemas.openxmlformats.org/officeDocument/2006/relationships/control" Target="../activeX/activeX163.xml"/><Relationship Id="rId85" Type="http://schemas.openxmlformats.org/officeDocument/2006/relationships/image" Target="../media/image166.emf"/><Relationship Id="rId150" Type="http://schemas.openxmlformats.org/officeDocument/2006/relationships/control" Target="../activeX/activeX198.xml"/><Relationship Id="rId155" Type="http://schemas.openxmlformats.org/officeDocument/2006/relationships/image" Target="../media/image201.emf"/><Relationship Id="rId12" Type="http://schemas.openxmlformats.org/officeDocument/2006/relationships/control" Target="../activeX/activeX129.xml"/><Relationship Id="rId17" Type="http://schemas.openxmlformats.org/officeDocument/2006/relationships/image" Target="../media/image132.emf"/><Relationship Id="rId33" Type="http://schemas.openxmlformats.org/officeDocument/2006/relationships/image" Target="../media/image140.emf"/><Relationship Id="rId38" Type="http://schemas.openxmlformats.org/officeDocument/2006/relationships/control" Target="../activeX/activeX142.xml"/><Relationship Id="rId59" Type="http://schemas.openxmlformats.org/officeDocument/2006/relationships/image" Target="../media/image153.emf"/><Relationship Id="rId103" Type="http://schemas.openxmlformats.org/officeDocument/2006/relationships/image" Target="../media/image175.emf"/><Relationship Id="rId108" Type="http://schemas.openxmlformats.org/officeDocument/2006/relationships/control" Target="../activeX/activeX177.xml"/><Relationship Id="rId124" Type="http://schemas.openxmlformats.org/officeDocument/2006/relationships/control" Target="../activeX/activeX185.xml"/><Relationship Id="rId129" Type="http://schemas.openxmlformats.org/officeDocument/2006/relationships/image" Target="../media/image188.emf"/><Relationship Id="rId54" Type="http://schemas.openxmlformats.org/officeDocument/2006/relationships/control" Target="../activeX/activeX150.xml"/><Relationship Id="rId70" Type="http://schemas.openxmlformats.org/officeDocument/2006/relationships/control" Target="../activeX/activeX158.xml"/><Relationship Id="rId75" Type="http://schemas.openxmlformats.org/officeDocument/2006/relationships/image" Target="../media/image161.emf"/><Relationship Id="rId91" Type="http://schemas.openxmlformats.org/officeDocument/2006/relationships/image" Target="../media/image169.emf"/><Relationship Id="rId96" Type="http://schemas.openxmlformats.org/officeDocument/2006/relationships/control" Target="../activeX/activeX171.xml"/><Relationship Id="rId140" Type="http://schemas.openxmlformats.org/officeDocument/2006/relationships/control" Target="../activeX/activeX193.xml"/><Relationship Id="rId145" Type="http://schemas.openxmlformats.org/officeDocument/2006/relationships/image" Target="../media/image196.emf"/><Relationship Id="rId161" Type="http://schemas.openxmlformats.org/officeDocument/2006/relationships/image" Target="../media/image204.emf"/><Relationship Id="rId1" Type="http://schemas.openxmlformats.org/officeDocument/2006/relationships/printerSettings" Target="../printerSettings/printerSettings24.bin"/><Relationship Id="rId6" Type="http://schemas.openxmlformats.org/officeDocument/2006/relationships/control" Target="../activeX/activeX126.xml"/><Relationship Id="rId15" Type="http://schemas.openxmlformats.org/officeDocument/2006/relationships/image" Target="../media/image131.emf"/><Relationship Id="rId23" Type="http://schemas.openxmlformats.org/officeDocument/2006/relationships/image" Target="../media/image135.emf"/><Relationship Id="rId28" Type="http://schemas.openxmlformats.org/officeDocument/2006/relationships/control" Target="../activeX/activeX137.xml"/><Relationship Id="rId36" Type="http://schemas.openxmlformats.org/officeDocument/2006/relationships/control" Target="../activeX/activeX141.xml"/><Relationship Id="rId49" Type="http://schemas.openxmlformats.org/officeDocument/2006/relationships/image" Target="../media/image148.emf"/><Relationship Id="rId57" Type="http://schemas.openxmlformats.org/officeDocument/2006/relationships/image" Target="../media/image152.emf"/><Relationship Id="rId106" Type="http://schemas.openxmlformats.org/officeDocument/2006/relationships/control" Target="../activeX/activeX176.xml"/><Relationship Id="rId114" Type="http://schemas.openxmlformats.org/officeDocument/2006/relationships/control" Target="../activeX/activeX180.xml"/><Relationship Id="rId119" Type="http://schemas.openxmlformats.org/officeDocument/2006/relationships/image" Target="../media/image183.emf"/><Relationship Id="rId127" Type="http://schemas.openxmlformats.org/officeDocument/2006/relationships/image" Target="../media/image187.emf"/><Relationship Id="rId10" Type="http://schemas.openxmlformats.org/officeDocument/2006/relationships/control" Target="../activeX/activeX128.xml"/><Relationship Id="rId31" Type="http://schemas.openxmlformats.org/officeDocument/2006/relationships/image" Target="../media/image139.emf"/><Relationship Id="rId44" Type="http://schemas.openxmlformats.org/officeDocument/2006/relationships/control" Target="../activeX/activeX145.xml"/><Relationship Id="rId52" Type="http://schemas.openxmlformats.org/officeDocument/2006/relationships/control" Target="../activeX/activeX149.xml"/><Relationship Id="rId60" Type="http://schemas.openxmlformats.org/officeDocument/2006/relationships/control" Target="../activeX/activeX153.xml"/><Relationship Id="rId65" Type="http://schemas.openxmlformats.org/officeDocument/2006/relationships/image" Target="../media/image156.emf"/><Relationship Id="rId73" Type="http://schemas.openxmlformats.org/officeDocument/2006/relationships/image" Target="../media/image160.emf"/><Relationship Id="rId78" Type="http://schemas.openxmlformats.org/officeDocument/2006/relationships/control" Target="../activeX/activeX162.xml"/><Relationship Id="rId81" Type="http://schemas.openxmlformats.org/officeDocument/2006/relationships/image" Target="../media/image164.emf"/><Relationship Id="rId86" Type="http://schemas.openxmlformats.org/officeDocument/2006/relationships/control" Target="../activeX/activeX166.xml"/><Relationship Id="rId94" Type="http://schemas.openxmlformats.org/officeDocument/2006/relationships/control" Target="../activeX/activeX170.xml"/><Relationship Id="rId99" Type="http://schemas.openxmlformats.org/officeDocument/2006/relationships/image" Target="../media/image173.emf"/><Relationship Id="rId101" Type="http://schemas.openxmlformats.org/officeDocument/2006/relationships/image" Target="../media/image174.emf"/><Relationship Id="rId122" Type="http://schemas.openxmlformats.org/officeDocument/2006/relationships/control" Target="../activeX/activeX184.xml"/><Relationship Id="rId130" Type="http://schemas.openxmlformats.org/officeDocument/2006/relationships/control" Target="../activeX/activeX188.xml"/><Relationship Id="rId135" Type="http://schemas.openxmlformats.org/officeDocument/2006/relationships/image" Target="../media/image191.emf"/><Relationship Id="rId143" Type="http://schemas.openxmlformats.org/officeDocument/2006/relationships/image" Target="../media/image195.emf"/><Relationship Id="rId148" Type="http://schemas.openxmlformats.org/officeDocument/2006/relationships/control" Target="../activeX/activeX197.xml"/><Relationship Id="rId151" Type="http://schemas.openxmlformats.org/officeDocument/2006/relationships/image" Target="../media/image199.emf"/><Relationship Id="rId156" Type="http://schemas.openxmlformats.org/officeDocument/2006/relationships/control" Target="../activeX/activeX201.xml"/><Relationship Id="rId4" Type="http://schemas.openxmlformats.org/officeDocument/2006/relationships/control" Target="../activeX/activeX125.xml"/><Relationship Id="rId9" Type="http://schemas.openxmlformats.org/officeDocument/2006/relationships/image" Target="../media/image128.emf"/><Relationship Id="rId13" Type="http://schemas.openxmlformats.org/officeDocument/2006/relationships/image" Target="../media/image130.emf"/><Relationship Id="rId18" Type="http://schemas.openxmlformats.org/officeDocument/2006/relationships/control" Target="../activeX/activeX132.xml"/><Relationship Id="rId39" Type="http://schemas.openxmlformats.org/officeDocument/2006/relationships/image" Target="../media/image143.emf"/><Relationship Id="rId109" Type="http://schemas.openxmlformats.org/officeDocument/2006/relationships/image" Target="../media/image178.emf"/><Relationship Id="rId34" Type="http://schemas.openxmlformats.org/officeDocument/2006/relationships/control" Target="../activeX/activeX140.xml"/><Relationship Id="rId50" Type="http://schemas.openxmlformats.org/officeDocument/2006/relationships/control" Target="../activeX/activeX148.xml"/><Relationship Id="rId55" Type="http://schemas.openxmlformats.org/officeDocument/2006/relationships/image" Target="../media/image151.emf"/><Relationship Id="rId76" Type="http://schemas.openxmlformats.org/officeDocument/2006/relationships/control" Target="../activeX/activeX161.xml"/><Relationship Id="rId97" Type="http://schemas.openxmlformats.org/officeDocument/2006/relationships/image" Target="../media/image172.emf"/><Relationship Id="rId104" Type="http://schemas.openxmlformats.org/officeDocument/2006/relationships/control" Target="../activeX/activeX175.xml"/><Relationship Id="rId120" Type="http://schemas.openxmlformats.org/officeDocument/2006/relationships/control" Target="../activeX/activeX183.xml"/><Relationship Id="rId125" Type="http://schemas.openxmlformats.org/officeDocument/2006/relationships/image" Target="../media/image186.emf"/><Relationship Id="rId141" Type="http://schemas.openxmlformats.org/officeDocument/2006/relationships/image" Target="../media/image194.emf"/><Relationship Id="rId146" Type="http://schemas.openxmlformats.org/officeDocument/2006/relationships/control" Target="../activeX/activeX196.xml"/><Relationship Id="rId7" Type="http://schemas.openxmlformats.org/officeDocument/2006/relationships/image" Target="../media/image127.emf"/><Relationship Id="rId71" Type="http://schemas.openxmlformats.org/officeDocument/2006/relationships/image" Target="../media/image159.emf"/><Relationship Id="rId92" Type="http://schemas.openxmlformats.org/officeDocument/2006/relationships/control" Target="../activeX/activeX169.xml"/><Relationship Id="rId162" Type="http://schemas.openxmlformats.org/officeDocument/2006/relationships/control" Target="../activeX/activeX204.xml"/><Relationship Id="rId2" Type="http://schemas.openxmlformats.org/officeDocument/2006/relationships/drawing" Target="../drawings/drawing20.xml"/><Relationship Id="rId29" Type="http://schemas.openxmlformats.org/officeDocument/2006/relationships/image" Target="../media/image138.emf"/><Relationship Id="rId24" Type="http://schemas.openxmlformats.org/officeDocument/2006/relationships/control" Target="../activeX/activeX135.xml"/><Relationship Id="rId40" Type="http://schemas.openxmlformats.org/officeDocument/2006/relationships/control" Target="../activeX/activeX143.xml"/><Relationship Id="rId45" Type="http://schemas.openxmlformats.org/officeDocument/2006/relationships/image" Target="../media/image146.emf"/><Relationship Id="rId66" Type="http://schemas.openxmlformats.org/officeDocument/2006/relationships/control" Target="../activeX/activeX156.xml"/><Relationship Id="rId87" Type="http://schemas.openxmlformats.org/officeDocument/2006/relationships/image" Target="../media/image167.emf"/><Relationship Id="rId110" Type="http://schemas.openxmlformats.org/officeDocument/2006/relationships/control" Target="../activeX/activeX178.xml"/><Relationship Id="rId115" Type="http://schemas.openxmlformats.org/officeDocument/2006/relationships/image" Target="../media/image181.emf"/><Relationship Id="rId131" Type="http://schemas.openxmlformats.org/officeDocument/2006/relationships/image" Target="../media/image189.emf"/><Relationship Id="rId136" Type="http://schemas.openxmlformats.org/officeDocument/2006/relationships/control" Target="../activeX/activeX191.xml"/><Relationship Id="rId157" Type="http://schemas.openxmlformats.org/officeDocument/2006/relationships/image" Target="../media/image202.emf"/><Relationship Id="rId61" Type="http://schemas.openxmlformats.org/officeDocument/2006/relationships/image" Target="../media/image154.emf"/><Relationship Id="rId82" Type="http://schemas.openxmlformats.org/officeDocument/2006/relationships/control" Target="../activeX/activeX164.xml"/><Relationship Id="rId152" Type="http://schemas.openxmlformats.org/officeDocument/2006/relationships/control" Target="../activeX/activeX199.xml"/><Relationship Id="rId19" Type="http://schemas.openxmlformats.org/officeDocument/2006/relationships/image" Target="../media/image133.emf"/><Relationship Id="rId14" Type="http://schemas.openxmlformats.org/officeDocument/2006/relationships/control" Target="../activeX/activeX130.xml"/><Relationship Id="rId30" Type="http://schemas.openxmlformats.org/officeDocument/2006/relationships/control" Target="../activeX/activeX138.xml"/><Relationship Id="rId35" Type="http://schemas.openxmlformats.org/officeDocument/2006/relationships/image" Target="../media/image141.emf"/><Relationship Id="rId56" Type="http://schemas.openxmlformats.org/officeDocument/2006/relationships/control" Target="../activeX/activeX151.xml"/><Relationship Id="rId77" Type="http://schemas.openxmlformats.org/officeDocument/2006/relationships/image" Target="../media/image162.emf"/><Relationship Id="rId100" Type="http://schemas.openxmlformats.org/officeDocument/2006/relationships/control" Target="../activeX/activeX173.xml"/><Relationship Id="rId105" Type="http://schemas.openxmlformats.org/officeDocument/2006/relationships/image" Target="../media/image176.emf"/><Relationship Id="rId126" Type="http://schemas.openxmlformats.org/officeDocument/2006/relationships/control" Target="../activeX/activeX186.xml"/><Relationship Id="rId147" Type="http://schemas.openxmlformats.org/officeDocument/2006/relationships/image" Target="../media/image197.emf"/><Relationship Id="rId8" Type="http://schemas.openxmlformats.org/officeDocument/2006/relationships/control" Target="../activeX/activeX127.xml"/><Relationship Id="rId51" Type="http://schemas.openxmlformats.org/officeDocument/2006/relationships/image" Target="../media/image149.emf"/><Relationship Id="rId72" Type="http://schemas.openxmlformats.org/officeDocument/2006/relationships/control" Target="../activeX/activeX159.xml"/><Relationship Id="rId93" Type="http://schemas.openxmlformats.org/officeDocument/2006/relationships/image" Target="../media/image170.emf"/><Relationship Id="rId98" Type="http://schemas.openxmlformats.org/officeDocument/2006/relationships/control" Target="../activeX/activeX172.xml"/><Relationship Id="rId121" Type="http://schemas.openxmlformats.org/officeDocument/2006/relationships/image" Target="../media/image184.emf"/><Relationship Id="rId142" Type="http://schemas.openxmlformats.org/officeDocument/2006/relationships/control" Target="../activeX/activeX194.xml"/><Relationship Id="rId163" Type="http://schemas.openxmlformats.org/officeDocument/2006/relationships/image" Target="../media/image205.emf"/><Relationship Id="rId3" Type="http://schemas.openxmlformats.org/officeDocument/2006/relationships/vmlDrawing" Target="../drawings/vmlDrawing12.vml"/><Relationship Id="rId25" Type="http://schemas.openxmlformats.org/officeDocument/2006/relationships/image" Target="../media/image136.emf"/><Relationship Id="rId46" Type="http://schemas.openxmlformats.org/officeDocument/2006/relationships/control" Target="../activeX/activeX146.xml"/><Relationship Id="rId67" Type="http://schemas.openxmlformats.org/officeDocument/2006/relationships/image" Target="../media/image157.emf"/><Relationship Id="rId116" Type="http://schemas.openxmlformats.org/officeDocument/2006/relationships/control" Target="../activeX/activeX181.xml"/><Relationship Id="rId137" Type="http://schemas.openxmlformats.org/officeDocument/2006/relationships/image" Target="../media/image192.emf"/><Relationship Id="rId158" Type="http://schemas.openxmlformats.org/officeDocument/2006/relationships/control" Target="../activeX/activeX202.xml"/><Relationship Id="rId20" Type="http://schemas.openxmlformats.org/officeDocument/2006/relationships/control" Target="../activeX/activeX133.xml"/><Relationship Id="rId41" Type="http://schemas.openxmlformats.org/officeDocument/2006/relationships/image" Target="../media/image144.emf"/><Relationship Id="rId62" Type="http://schemas.openxmlformats.org/officeDocument/2006/relationships/control" Target="../activeX/activeX154.xml"/><Relationship Id="rId83" Type="http://schemas.openxmlformats.org/officeDocument/2006/relationships/image" Target="../media/image165.emf"/><Relationship Id="rId88" Type="http://schemas.openxmlformats.org/officeDocument/2006/relationships/control" Target="../activeX/activeX167.xml"/><Relationship Id="rId111" Type="http://schemas.openxmlformats.org/officeDocument/2006/relationships/image" Target="../media/image179.emf"/><Relationship Id="rId132" Type="http://schemas.openxmlformats.org/officeDocument/2006/relationships/control" Target="../activeX/activeX189.xml"/><Relationship Id="rId153" Type="http://schemas.openxmlformats.org/officeDocument/2006/relationships/image" Target="../media/image200.emf"/></Relationships>
</file>

<file path=xl/worksheets/_rels/sheet2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www.sbs.gob.pe/app/stats/TC-Contable.asp" TargetMode="External"/><Relationship Id="rId2" Type="http://schemas.openxmlformats.org/officeDocument/2006/relationships/hyperlink" Target="http://www.sbs.gob.pe/app/stats/TC-Contable.asp" TargetMode="External"/><Relationship Id="rId1" Type="http://schemas.openxmlformats.org/officeDocument/2006/relationships/hyperlink" Target="http://www.sbs.gob.pe/app/stats/TC-Contable.asp" TargetMode="External"/><Relationship Id="rId4"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www.sbs.gob.pe/app/stats/TC-Contable.asp" TargetMode="External"/><Relationship Id="rId1" Type="http://schemas.openxmlformats.org/officeDocument/2006/relationships/hyperlink" Target="http://www.sbs.gob.pe/app/stats/TC-Contable.asp" TargetMode="External"/><Relationship Id="rId5" Type="http://schemas.openxmlformats.org/officeDocument/2006/relationships/comments" Target="../comments11.xml"/><Relationship Id="rId4" Type="http://schemas.openxmlformats.org/officeDocument/2006/relationships/vmlDrawing" Target="../drawings/vmlDrawing15.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35.bin"/></Relationships>
</file>

<file path=xl/worksheets/_rels/sheet6.xml.rels><?xml version="1.0" encoding="UTF-8" standalone="yes"?>
<Relationships xmlns="http://schemas.openxmlformats.org/package/2006/relationships"><Relationship Id="rId13" Type="http://schemas.openxmlformats.org/officeDocument/2006/relationships/image" Target="../media/image15.emf"/><Relationship Id="rId18" Type="http://schemas.openxmlformats.org/officeDocument/2006/relationships/control" Target="../activeX/activeX18.xml"/><Relationship Id="rId26" Type="http://schemas.openxmlformats.org/officeDocument/2006/relationships/control" Target="../activeX/activeX22.xml"/><Relationship Id="rId39" Type="http://schemas.openxmlformats.org/officeDocument/2006/relationships/image" Target="../media/image28.emf"/><Relationship Id="rId21" Type="http://schemas.openxmlformats.org/officeDocument/2006/relationships/image" Target="../media/image19.emf"/><Relationship Id="rId34" Type="http://schemas.openxmlformats.org/officeDocument/2006/relationships/control" Target="../activeX/activeX26.xml"/><Relationship Id="rId42" Type="http://schemas.openxmlformats.org/officeDocument/2006/relationships/control" Target="../activeX/activeX30.xml"/><Relationship Id="rId47" Type="http://schemas.openxmlformats.org/officeDocument/2006/relationships/image" Target="../media/image32.emf"/><Relationship Id="rId50" Type="http://schemas.openxmlformats.org/officeDocument/2006/relationships/control" Target="../activeX/activeX34.xml"/><Relationship Id="rId55" Type="http://schemas.openxmlformats.org/officeDocument/2006/relationships/image" Target="../media/image36.emf"/><Relationship Id="rId63" Type="http://schemas.openxmlformats.org/officeDocument/2006/relationships/image" Target="../media/image40.emf"/><Relationship Id="rId7" Type="http://schemas.openxmlformats.org/officeDocument/2006/relationships/image" Target="../media/image12.emf"/><Relationship Id="rId2" Type="http://schemas.openxmlformats.org/officeDocument/2006/relationships/drawing" Target="../drawings/drawing3.xml"/><Relationship Id="rId16" Type="http://schemas.openxmlformats.org/officeDocument/2006/relationships/control" Target="../activeX/activeX17.xml"/><Relationship Id="rId20" Type="http://schemas.openxmlformats.org/officeDocument/2006/relationships/control" Target="../activeX/activeX19.xml"/><Relationship Id="rId29" Type="http://schemas.openxmlformats.org/officeDocument/2006/relationships/image" Target="../media/image23.emf"/><Relationship Id="rId41" Type="http://schemas.openxmlformats.org/officeDocument/2006/relationships/image" Target="../media/image29.emf"/><Relationship Id="rId54" Type="http://schemas.openxmlformats.org/officeDocument/2006/relationships/control" Target="../activeX/activeX36.xml"/><Relationship Id="rId62" Type="http://schemas.openxmlformats.org/officeDocument/2006/relationships/control" Target="../activeX/activeX40.xml"/><Relationship Id="rId1" Type="http://schemas.openxmlformats.org/officeDocument/2006/relationships/printerSettings" Target="../printerSettings/printerSettings5.bin"/><Relationship Id="rId6" Type="http://schemas.openxmlformats.org/officeDocument/2006/relationships/control" Target="../activeX/activeX12.xml"/><Relationship Id="rId11" Type="http://schemas.openxmlformats.org/officeDocument/2006/relationships/image" Target="../media/image14.emf"/><Relationship Id="rId24" Type="http://schemas.openxmlformats.org/officeDocument/2006/relationships/control" Target="../activeX/activeX21.xml"/><Relationship Id="rId32" Type="http://schemas.openxmlformats.org/officeDocument/2006/relationships/control" Target="../activeX/activeX25.xml"/><Relationship Id="rId37" Type="http://schemas.openxmlformats.org/officeDocument/2006/relationships/image" Target="../media/image27.emf"/><Relationship Id="rId40" Type="http://schemas.openxmlformats.org/officeDocument/2006/relationships/control" Target="../activeX/activeX29.xml"/><Relationship Id="rId45" Type="http://schemas.openxmlformats.org/officeDocument/2006/relationships/image" Target="../media/image31.emf"/><Relationship Id="rId53" Type="http://schemas.openxmlformats.org/officeDocument/2006/relationships/image" Target="../media/image35.emf"/><Relationship Id="rId58" Type="http://schemas.openxmlformats.org/officeDocument/2006/relationships/control" Target="../activeX/activeX38.xml"/><Relationship Id="rId5" Type="http://schemas.openxmlformats.org/officeDocument/2006/relationships/image" Target="../media/image11.emf"/><Relationship Id="rId15" Type="http://schemas.openxmlformats.org/officeDocument/2006/relationships/image" Target="../media/image16.emf"/><Relationship Id="rId23" Type="http://schemas.openxmlformats.org/officeDocument/2006/relationships/image" Target="../media/image20.emf"/><Relationship Id="rId28" Type="http://schemas.openxmlformats.org/officeDocument/2006/relationships/control" Target="../activeX/activeX23.xml"/><Relationship Id="rId36" Type="http://schemas.openxmlformats.org/officeDocument/2006/relationships/control" Target="../activeX/activeX27.xml"/><Relationship Id="rId49" Type="http://schemas.openxmlformats.org/officeDocument/2006/relationships/image" Target="../media/image33.emf"/><Relationship Id="rId57" Type="http://schemas.openxmlformats.org/officeDocument/2006/relationships/image" Target="../media/image37.emf"/><Relationship Id="rId61" Type="http://schemas.openxmlformats.org/officeDocument/2006/relationships/image" Target="../media/image39.emf"/><Relationship Id="rId10" Type="http://schemas.openxmlformats.org/officeDocument/2006/relationships/control" Target="../activeX/activeX14.xml"/><Relationship Id="rId19" Type="http://schemas.openxmlformats.org/officeDocument/2006/relationships/image" Target="../media/image18.emf"/><Relationship Id="rId31" Type="http://schemas.openxmlformats.org/officeDocument/2006/relationships/image" Target="../media/image24.emf"/><Relationship Id="rId44" Type="http://schemas.openxmlformats.org/officeDocument/2006/relationships/control" Target="../activeX/activeX31.xml"/><Relationship Id="rId52" Type="http://schemas.openxmlformats.org/officeDocument/2006/relationships/control" Target="../activeX/activeX35.xml"/><Relationship Id="rId60" Type="http://schemas.openxmlformats.org/officeDocument/2006/relationships/control" Target="../activeX/activeX39.xml"/><Relationship Id="rId4" Type="http://schemas.openxmlformats.org/officeDocument/2006/relationships/control" Target="../activeX/activeX11.xml"/><Relationship Id="rId9" Type="http://schemas.openxmlformats.org/officeDocument/2006/relationships/image" Target="../media/image13.emf"/><Relationship Id="rId14" Type="http://schemas.openxmlformats.org/officeDocument/2006/relationships/control" Target="../activeX/activeX16.xml"/><Relationship Id="rId22" Type="http://schemas.openxmlformats.org/officeDocument/2006/relationships/control" Target="../activeX/activeX20.xml"/><Relationship Id="rId27" Type="http://schemas.openxmlformats.org/officeDocument/2006/relationships/image" Target="../media/image22.emf"/><Relationship Id="rId30" Type="http://schemas.openxmlformats.org/officeDocument/2006/relationships/control" Target="../activeX/activeX24.xml"/><Relationship Id="rId35" Type="http://schemas.openxmlformats.org/officeDocument/2006/relationships/image" Target="../media/image26.emf"/><Relationship Id="rId43" Type="http://schemas.openxmlformats.org/officeDocument/2006/relationships/image" Target="../media/image30.emf"/><Relationship Id="rId48" Type="http://schemas.openxmlformats.org/officeDocument/2006/relationships/control" Target="../activeX/activeX33.xml"/><Relationship Id="rId56" Type="http://schemas.openxmlformats.org/officeDocument/2006/relationships/control" Target="../activeX/activeX37.xml"/><Relationship Id="rId8" Type="http://schemas.openxmlformats.org/officeDocument/2006/relationships/control" Target="../activeX/activeX13.xml"/><Relationship Id="rId51" Type="http://schemas.openxmlformats.org/officeDocument/2006/relationships/image" Target="../media/image34.emf"/><Relationship Id="rId3" Type="http://schemas.openxmlformats.org/officeDocument/2006/relationships/vmlDrawing" Target="../drawings/vmlDrawing3.vml"/><Relationship Id="rId12" Type="http://schemas.openxmlformats.org/officeDocument/2006/relationships/control" Target="../activeX/activeX15.xml"/><Relationship Id="rId17" Type="http://schemas.openxmlformats.org/officeDocument/2006/relationships/image" Target="../media/image17.emf"/><Relationship Id="rId25" Type="http://schemas.openxmlformats.org/officeDocument/2006/relationships/image" Target="../media/image21.emf"/><Relationship Id="rId33" Type="http://schemas.openxmlformats.org/officeDocument/2006/relationships/image" Target="../media/image25.emf"/><Relationship Id="rId38" Type="http://schemas.openxmlformats.org/officeDocument/2006/relationships/control" Target="../activeX/activeX28.xml"/><Relationship Id="rId46" Type="http://schemas.openxmlformats.org/officeDocument/2006/relationships/control" Target="../activeX/activeX32.xml"/><Relationship Id="rId59" Type="http://schemas.openxmlformats.org/officeDocument/2006/relationships/image" Target="../media/image38.emf"/></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tabColor theme="1"/>
    <pageSetUpPr fitToPage="1"/>
  </sheetPr>
  <dimension ref="A1:D48"/>
  <sheetViews>
    <sheetView showGridLines="0" topLeftCell="A3" zoomScale="80" zoomScaleNormal="80" workbookViewId="0">
      <pane ySplit="5" topLeftCell="A8" activePane="bottomLeft" state="frozen"/>
      <selection activeCell="A3" sqref="A3"/>
      <selection pane="bottomLeft" activeCell="G29" sqref="G29"/>
    </sheetView>
  </sheetViews>
  <sheetFormatPr baseColWidth="10" defaultColWidth="11.42578125" defaultRowHeight="12.75"/>
  <cols>
    <col min="1" max="1" width="11.42578125" style="131" customWidth="1"/>
    <col min="2" max="2" width="7" style="131" customWidth="1"/>
    <col min="3" max="3" width="110.7109375" style="131" customWidth="1"/>
    <col min="4" max="4" width="31.140625" style="131" customWidth="1"/>
    <col min="5" max="16384" width="11.42578125" style="131"/>
  </cols>
  <sheetData>
    <row r="1" spans="1:4">
      <c r="A1" s="1221" t="str">
        <f ca="1">RIGHT(CELL("nombrearchivo",A1),LEN(CELL("nombrearchivo",A1))-SEARCH("]",CELL("nombrearchivo",A1)))</f>
        <v>Indice</v>
      </c>
    </row>
    <row r="3" spans="1:4" ht="6.75" customHeight="1" thickBot="1"/>
    <row r="4" spans="1:4" ht="26.25" customHeight="1" thickTop="1">
      <c r="C4" s="2164" t="s">
        <v>0</v>
      </c>
      <c r="D4" s="2165"/>
    </row>
    <row r="5" spans="1:4" ht="26.25" customHeight="1" thickBot="1">
      <c r="C5" s="2166" t="s">
        <v>1</v>
      </c>
      <c r="D5" s="2167"/>
    </row>
    <row r="6" spans="1:4" ht="8.25" customHeight="1" thickTop="1" thickBot="1"/>
    <row r="7" spans="1:4" ht="36.75" customHeight="1" thickTop="1" thickBot="1">
      <c r="C7" s="1220" t="s">
        <v>2</v>
      </c>
      <c r="D7" s="1222" t="s">
        <v>3</v>
      </c>
    </row>
    <row r="8" spans="1:4" ht="8.25" customHeight="1" thickTop="1">
      <c r="C8" s="1483"/>
      <c r="D8" s="1484"/>
    </row>
    <row r="9" spans="1:4" s="1485" customFormat="1" ht="15">
      <c r="C9" s="1486" t="s">
        <v>4</v>
      </c>
      <c r="D9" s="1487" t="str">
        <f ca="1">+DatosGenerales!A1</f>
        <v>DatosGenerales</v>
      </c>
    </row>
    <row r="10" spans="1:4" s="1485" customFormat="1" ht="8.25" customHeight="1">
      <c r="C10" s="1488"/>
      <c r="D10" s="1489"/>
    </row>
    <row r="11" spans="1:4" s="1485" customFormat="1" ht="15">
      <c r="C11" s="1486" t="str">
        <f ca="1">+'Panorama A.'!E3</f>
        <v>Panorama A.  Personas naturales y jurídicas relacionadas con la empresa declarante a setiembre 2025</v>
      </c>
      <c r="D11" s="1487" t="str">
        <f ca="1">+'Panorama A.'!B7</f>
        <v>Panorama A.</v>
      </c>
    </row>
    <row r="12" spans="1:4" s="1485" customFormat="1" ht="8.25" customHeight="1">
      <c r="C12" s="1488"/>
      <c r="D12" s="1489"/>
    </row>
    <row r="13" spans="1:4" s="1485" customFormat="1" ht="15">
      <c r="C13" s="1486" t="str">
        <f ca="1">+'Panorama B. anterior'!F4</f>
        <v>Panorama B. anterior  Balance general de la empresa declarante (*)</v>
      </c>
      <c r="D13" s="1487" t="str">
        <f ca="1">'Panorama B.'!$C$6</f>
        <v>Panorama B.</v>
      </c>
    </row>
    <row r="14" spans="1:4" s="1485" customFormat="1" ht="8.25" customHeight="1">
      <c r="C14" s="1488"/>
      <c r="D14" s="1490"/>
    </row>
    <row r="15" spans="1:4" s="1485" customFormat="1" ht="15">
      <c r="C15" s="1486" t="str">
        <f ca="1">+'Panorama C.'!F4</f>
        <v>Panorama C.  Compras y ventas de bienes y servicios de la empresa declarante (*)</v>
      </c>
      <c r="D15" s="1487" t="str">
        <f ca="1">'Panorama C.'!$C$6</f>
        <v>Panorama C.</v>
      </c>
    </row>
    <row r="16" spans="1:4" s="1485" customFormat="1" ht="8.25" customHeight="1">
      <c r="C16" s="1488"/>
      <c r="D16" s="1489"/>
    </row>
    <row r="17" spans="3:4" s="1485" customFormat="1" ht="15">
      <c r="C17" s="1486" t="str">
        <f ca="1">+'Tabla I.'!C2</f>
        <v>Tabla I.  Servicios con el Exterior</v>
      </c>
      <c r="D17" s="1487" t="str">
        <f ca="1">'Tabla I.'!$A$4</f>
        <v>Tabla I.</v>
      </c>
    </row>
    <row r="18" spans="3:4" s="1485" customFormat="1" ht="8.25" customHeight="1">
      <c r="C18" s="1488"/>
      <c r="D18" s="1489"/>
    </row>
    <row r="19" spans="3:4" s="1485" customFormat="1" ht="15">
      <c r="C19" s="1486" t="str">
        <f ca="1">+'Tabla II.'!F4</f>
        <v>Tabla II.  Derechos en instrumentos de deuda con no residentes y depósitos en moneda extranjera</v>
      </c>
      <c r="D19" s="1487" t="str">
        <f ca="1">'Tabla II.'!$C$41</f>
        <v>Tabla II.</v>
      </c>
    </row>
    <row r="20" spans="3:4" s="1485" customFormat="1" ht="8.25" customHeight="1">
      <c r="C20" s="1488"/>
      <c r="D20" s="1489"/>
    </row>
    <row r="21" spans="3:4" s="1485" customFormat="1" ht="15">
      <c r="C21" s="1486" t="str">
        <f ca="1">+'Tabla III.1.'!F4</f>
        <v>Tabla III.1.  Obligaciones en instrumentos de deuda con no residentes</v>
      </c>
      <c r="D21" s="1487" t="str">
        <f ca="1">'Tabla III.1.'!$C$9</f>
        <v>Tabla III.1.</v>
      </c>
    </row>
    <row r="22" spans="3:4" s="1485" customFormat="1" ht="8.25" customHeight="1">
      <c r="C22" s="1488"/>
      <c r="D22" s="1489"/>
    </row>
    <row r="23" spans="3:4" s="1485" customFormat="1" ht="15">
      <c r="C23" s="1486" t="str">
        <f ca="1">+'Tabla III.2.'!F4</f>
        <v>Tabla III.2.  Intereses por las obligaciones en instrumentos de deuda con no residentes</v>
      </c>
      <c r="D23" s="1487" t="str">
        <f ca="1">'Tabla III.2.'!$C$9</f>
        <v>Tabla III.2.</v>
      </c>
    </row>
    <row r="24" spans="3:4" s="1485" customFormat="1" ht="8.25" customHeight="1">
      <c r="C24" s="1488"/>
      <c r="D24" s="1489"/>
    </row>
    <row r="25" spans="3:4" s="1485" customFormat="1" ht="15">
      <c r="C25" s="1486" t="str">
        <f ca="1">+'Tabla III.3.'!F4</f>
        <v>Tabla III.3.  Calendario de pagos del principal de las obligaciones en instrumentos de deuda</v>
      </c>
      <c r="D25" s="1487" t="str">
        <f ca="1">'Tabla III.3.'!$C$8</f>
        <v>Tabla III.3.</v>
      </c>
    </row>
    <row r="26" spans="3:4" s="1485" customFormat="1" ht="8.25" customHeight="1">
      <c r="C26" s="1488"/>
      <c r="D26" s="1489"/>
    </row>
    <row r="27" spans="3:4" s="1485" customFormat="1" ht="15">
      <c r="C27" s="1486" t="str">
        <f ca="1">+'Tabla III.4.'!F4</f>
        <v>Tabla III.4.  Calendario de pagos de intereses por obligaciones en instrumentos de deuda</v>
      </c>
      <c r="D27" s="1487" t="str">
        <f ca="1">'Tabla III.4.'!$C$8</f>
        <v>Tabla III.4.</v>
      </c>
    </row>
    <row r="28" spans="3:4" s="1485" customFormat="1" ht="8.25" customHeight="1">
      <c r="C28" s="1488"/>
      <c r="D28" s="1489"/>
    </row>
    <row r="29" spans="3:4" s="1485" customFormat="1" ht="15">
      <c r="C29" s="1486" t="str">
        <f ca="1">+'Tabla III.5.'!F4</f>
        <v>Tabla III.5.  Obligaciones en instrumentos de deuda por moneda</v>
      </c>
      <c r="D29" s="1487" t="str">
        <f ca="1">'Tabla III.5.'!$C$8</f>
        <v>Tabla III.5.</v>
      </c>
    </row>
    <row r="30" spans="3:4" s="1485" customFormat="1" ht="8.25" customHeight="1">
      <c r="C30" s="1488"/>
      <c r="D30" s="1489"/>
    </row>
    <row r="31" spans="3:4" s="1485" customFormat="1" ht="15">
      <c r="C31" s="1486" t="str">
        <f ca="1">+'Tabla IV.1.'!F4</f>
        <v>Tabla IV.1.  Derivados financieros según libros</v>
      </c>
      <c r="D31" s="1487" t="str">
        <f ca="1">'Tabla IV.1.'!$C$8</f>
        <v>Tabla IV.1.</v>
      </c>
    </row>
    <row r="32" spans="3:4" s="1485" customFormat="1" ht="8.25" customHeight="1">
      <c r="C32" s="1488"/>
      <c r="D32" s="1489"/>
    </row>
    <row r="33" spans="3:4" s="1485" customFormat="1" ht="15">
      <c r="C33" s="1486" t="str">
        <f ca="1">+'Tabla IV.2.'!F4</f>
        <v>Tabla IV.2. Derivados financieros: tenencias y transacciones entre residentes y no residentes</v>
      </c>
      <c r="D33" s="1487" t="str">
        <f ca="1">'Tabla IV.2.'!$C$8</f>
        <v>Tabla IV.2.</v>
      </c>
    </row>
    <row r="34" spans="3:4" s="1485" customFormat="1" ht="8.25" customHeight="1">
      <c r="C34" s="1488"/>
      <c r="D34" s="1489"/>
    </row>
    <row r="35" spans="3:4" s="1485" customFormat="1" ht="30">
      <c r="C35" s="1491" t="s">
        <v>5</v>
      </c>
      <c r="D35" s="1492" t="str">
        <f ca="1">'Tabla IV.3.'!$B$2</f>
        <v>Tabla IV.3.</v>
      </c>
    </row>
    <row r="36" spans="3:4" s="1485" customFormat="1" ht="8.25" customHeight="1">
      <c r="C36" s="1488"/>
      <c r="D36" s="1489"/>
    </row>
    <row r="37" spans="3:4" s="1485" customFormat="1" ht="15">
      <c r="C37" s="1486" t="str">
        <f ca="1">+'Tabla V.'!F4</f>
        <v>Tabla V.  Programa de inversiones de la empresa declarante</v>
      </c>
      <c r="D37" s="1487" t="str">
        <f ca="1">'Tabla V.'!$C$6</f>
        <v>Tabla V.</v>
      </c>
    </row>
    <row r="38" spans="3:4" s="1485" customFormat="1" ht="8.25" customHeight="1">
      <c r="C38" s="1488"/>
      <c r="D38" s="1489"/>
    </row>
    <row r="39" spans="3:4" s="1485" customFormat="1" ht="39.75" customHeight="1">
      <c r="C39" s="1491" t="str">
        <f ca="1">+'Tabla VI.'!F4</f>
        <v>Tabla VI.  Derechos y obligaciones patrimoniales y en participaciones de capital. Posiciones y transacciones totales y con no residentes</v>
      </c>
      <c r="D39" s="1487" t="str">
        <f ca="1">'Tabla VI.'!$C$10</f>
        <v>Tabla VI.</v>
      </c>
    </row>
    <row r="40" spans="3:4" s="1485" customFormat="1" ht="8.25" customHeight="1">
      <c r="C40" s="1488"/>
      <c r="D40" s="1489"/>
    </row>
    <row r="41" spans="3:4" s="1485" customFormat="1" ht="15">
      <c r="C41" s="1486" t="str">
        <f ca="1">+'Tabla VII.1.'!G4</f>
        <v>Tabla VII.1.  Inversión directa por país de origen y de destino.</v>
      </c>
      <c r="D41" s="1487" t="str">
        <f ca="1">'Tabla VII.1.'!$B$10</f>
        <v>Tabla VII.1.</v>
      </c>
    </row>
    <row r="42" spans="3:4" s="1485" customFormat="1" ht="30">
      <c r="C42" s="1493" t="s">
        <v>6</v>
      </c>
      <c r="D42" s="1494"/>
    </row>
    <row r="43" spans="3:4" s="1485" customFormat="1" ht="8.25" customHeight="1">
      <c r="C43" s="1488"/>
      <c r="D43" s="1489"/>
    </row>
    <row r="44" spans="3:4" s="1485" customFormat="1" ht="15">
      <c r="C44" s="1486" t="str">
        <f ca="1">+'Tabla VII.2.'!G4</f>
        <v>Tabla VII.2.  Inversión directa por país de origen y de destino.</v>
      </c>
      <c r="D44" s="1487" t="str">
        <f ca="1">'Tabla VII.2.'!$B$10</f>
        <v>Tabla VII.2.</v>
      </c>
    </row>
    <row r="45" spans="3:4" s="1485" customFormat="1" ht="15">
      <c r="C45" s="1495" t="str">
        <f>+'Tabla VII.2.'!G5</f>
        <v>Derechos y obligaciones en instrumentos de deuda con no residentes</v>
      </c>
      <c r="D45" s="1494"/>
    </row>
    <row r="46" spans="3:4" s="1485" customFormat="1" ht="8.25" customHeight="1">
      <c r="C46" s="1488"/>
      <c r="D46" s="1489"/>
    </row>
    <row r="47" spans="3:4" s="1485" customFormat="1" ht="24.75" customHeight="1" thickBot="1">
      <c r="C47" s="1496" t="str">
        <f ca="1">+TCambioSalida!B3</f>
        <v>TCambioSalida</v>
      </c>
      <c r="D47" s="1497" t="str">
        <f ca="1">+TCambioSalida!B3</f>
        <v>TCambioSalida</v>
      </c>
    </row>
    <row r="48" spans="3:4" ht="13.5" thickTop="1"/>
  </sheetData>
  <sheetProtection algorithmName="SHA-512" hashValue="trjurbWI+Z6G7tfIcVyrSENt6saYVLT0uKsfHrJhHAe0ZB8eu/ERPCf6Tamb1r97lx+NeMMPc0FGx0a6KZsayg==" saltValue="p2/jsM/PKtInM1JxtuaXrg==" spinCount="100000" sheet="1" objects="1" scenarios="1"/>
  <mergeCells count="2">
    <mergeCell ref="C4:D4"/>
    <mergeCell ref="C5:D5"/>
  </mergeCells>
  <hyperlinks>
    <hyperlink ref="D9" location="DatosGenerales!D11" display="DatosGenerales!D11" xr:uid="{00000000-0004-0000-0000-000000000000}"/>
    <hyperlink ref="D11" location="'Panorama A.'!F11" display="'Panorama A.'!F11" xr:uid="{00000000-0004-0000-0000-000001000000}"/>
    <hyperlink ref="D13" location="'Panorama B.'!H9" display="'Panorama B.'!H9" xr:uid="{00000000-0004-0000-0000-000002000000}"/>
    <hyperlink ref="D15" location="'Panorama C.'!H9" display="'Panorama C.'!H9" xr:uid="{00000000-0004-0000-0000-000003000000}"/>
    <hyperlink ref="D17" location="'Tabla I.'!F6" display="'Tabla I.'!F6" xr:uid="{00000000-0004-0000-0000-000004000000}"/>
    <hyperlink ref="D19" location="'Tabla II.'!H13" display="'Tabla II.'!H13" xr:uid="{00000000-0004-0000-0000-000005000000}"/>
    <hyperlink ref="D21" location="'Tabla III.1.'!H13" display="'Tabla III.1.'!H13" xr:uid="{00000000-0004-0000-0000-000006000000}"/>
    <hyperlink ref="D23" location="'Tabla III.2.'!H13" display="'Tabla III.2.'!H13" xr:uid="{00000000-0004-0000-0000-000007000000}"/>
    <hyperlink ref="D25" location="'Tabla III.3.'!H12" display="'Tabla III.3.'!H12" xr:uid="{00000000-0004-0000-0000-000008000000}"/>
    <hyperlink ref="D27" location="'Tabla III.4.'!H12" display="'Tabla III.4.'!H12" xr:uid="{00000000-0004-0000-0000-000009000000}"/>
    <hyperlink ref="D29" location="'Tabla III.5.'!H12" display="'Tabla III.5.'!H12" xr:uid="{00000000-0004-0000-0000-00000A000000}"/>
    <hyperlink ref="D31" location="'Tabla IV.1.'!H12" display="'Tabla IV.1.'!H12" xr:uid="{00000000-0004-0000-0000-00000B000000}"/>
    <hyperlink ref="D33" location="'Tabla IV.2.'!F8" display="'Tabla IV.2.'!F8" xr:uid="{00000000-0004-0000-0000-00000C000000}"/>
    <hyperlink ref="D37" location="'Tabla V.'!H10" display="'Tabla V.'!H10" xr:uid="{00000000-0004-0000-0000-00000D000000}"/>
    <hyperlink ref="D39" location="'Tabla VI.'!H15" display="'Tabla VI.'!H15" xr:uid="{00000000-0004-0000-0000-00000E000000}"/>
    <hyperlink ref="D44" location="'Tabla VII.2.'!I4" display="'Tabla VII.2.'!I4" xr:uid="{00000000-0004-0000-0000-00000F000000}"/>
    <hyperlink ref="D41" location="'Tabla VII.1.'!I14" display="'Tabla VII.1.'!I14" xr:uid="{00000000-0004-0000-0000-000010000000}"/>
    <hyperlink ref="D47" location="TCambioSalida!G6" display="TCambioSalida!G6" xr:uid="{00000000-0004-0000-0000-000011000000}"/>
    <hyperlink ref="D35" location="'Tabla IV.3'!D4" display="'Tabla IV.3'!D4" xr:uid="{45FA2AD4-AFF1-4FCB-8F81-E2C1C34C955E}"/>
  </hyperlinks>
  <printOptions verticalCentered="1"/>
  <pageMargins left="0.51181102362204722" right="0.35433070866141736" top="0.47244094488188981" bottom="0.55118110236220474" header="0.31496062992125984" footer="0.31496062992125984"/>
  <pageSetup paperSize="9" scale="66" orientation="portrait" horizontalDpi="4294967295" verticalDpi="4294967295" r:id="rId1"/>
  <headerFooter>
    <oddFooter>&amp;L&amp;D&amp;C&amp;F&amp;R&amp;A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7">
    <tabColor rgb="FF002060"/>
    <pageSetUpPr fitToPage="1"/>
  </sheetPr>
  <dimension ref="A1:Y71"/>
  <sheetViews>
    <sheetView showGridLines="0" topLeftCell="A2" zoomScale="85" zoomScaleNormal="85" workbookViewId="0">
      <pane xSplit="5" ySplit="4" topLeftCell="F6" activePane="bottomRight" state="frozen"/>
      <selection activeCell="H11" sqref="H11:XFD11"/>
      <selection pane="topRight" activeCell="H11" sqref="H11:XFD11"/>
      <selection pane="bottomLeft" activeCell="H11" sqref="H11:XFD11"/>
      <selection pane="bottomRight" activeCell="E37" sqref="E37"/>
    </sheetView>
  </sheetViews>
  <sheetFormatPr baseColWidth="10" defaultColWidth="11.42578125" defaultRowHeight="15.75"/>
  <cols>
    <col min="1" max="1" width="0.140625" style="480" customWidth="1"/>
    <col min="2" max="2" width="6.28515625" style="480" customWidth="1"/>
    <col min="3" max="3" width="6.7109375" style="1937" customWidth="1"/>
    <col min="4" max="4" width="5.7109375" style="479" customWidth="1"/>
    <col min="5" max="5" width="117.140625" style="479" customWidth="1"/>
    <col min="6" max="7" width="20.7109375" style="481" customWidth="1"/>
    <col min="8" max="8" width="16.7109375" style="480" customWidth="1"/>
    <col min="9" max="25" width="11.42578125" style="480"/>
    <col min="26" max="16384" width="11.42578125" style="479"/>
  </cols>
  <sheetData>
    <row r="1" spans="1:25" ht="21.75" customHeight="1">
      <c r="C1" s="1919"/>
      <c r="D1" s="480"/>
      <c r="E1" s="480"/>
      <c r="F1" s="484"/>
      <c r="G1" s="482"/>
    </row>
    <row r="2" spans="1:25" ht="35.25">
      <c r="C2" s="1920" t="str">
        <f ca="1">$A$4&amp;"  Servicios con el Exterior"</f>
        <v>Tabla I.  Servicios con el Exterior</v>
      </c>
      <c r="D2" s="483"/>
      <c r="E2" s="483"/>
      <c r="F2" s="240"/>
      <c r="G2" s="241"/>
    </row>
    <row r="3" spans="1:25" ht="33.75" thickBot="1">
      <c r="C3" s="1921" t="s">
        <v>2318</v>
      </c>
      <c r="D3" s="483"/>
      <c r="E3" s="483"/>
      <c r="F3" s="240"/>
      <c r="G3" s="241"/>
    </row>
    <row r="4" spans="1:25" s="1918" customFormat="1" ht="39.950000000000003" customHeight="1" thickTop="1">
      <c r="A4" s="1938" t="str">
        <f ca="1">RIGHT(CELL("nombrearchivo",A1),LEN(CELL("nombrearchivo",A1))-SEARCH("]",CELL("nombrearchivo",A1)))</f>
        <v>Tabla I.</v>
      </c>
      <c r="B4" s="1917"/>
      <c r="C4" s="1939"/>
      <c r="D4" s="1940"/>
      <c r="E4" s="1940"/>
      <c r="F4" s="2295" t="str">
        <f>CONCATENATE(Menu!D3,"T",Menu!C3," ",Menu!E4)</f>
        <v>3T2025 (JUL - SET)</v>
      </c>
      <c r="G4" s="2296"/>
      <c r="H4" s="1917"/>
      <c r="I4" s="1917"/>
      <c r="J4" s="1917"/>
      <c r="K4" s="1917"/>
      <c r="L4" s="1917"/>
      <c r="M4" s="1917"/>
      <c r="N4" s="1917"/>
      <c r="O4" s="1917"/>
      <c r="P4" s="1917"/>
      <c r="Q4" s="1917"/>
      <c r="R4" s="1917"/>
      <c r="S4" s="1917"/>
      <c r="T4" s="1917"/>
      <c r="U4" s="1917"/>
      <c r="V4" s="1917"/>
      <c r="W4" s="1917"/>
      <c r="X4" s="1917"/>
      <c r="Y4" s="1917"/>
    </row>
    <row r="5" spans="1:25" s="1918" customFormat="1" ht="30" customHeight="1" thickBot="1">
      <c r="A5" s="1917"/>
      <c r="B5" s="1917"/>
      <c r="C5" s="1941"/>
      <c r="D5" s="1942"/>
      <c r="E5" s="1943"/>
      <c r="F5" s="1944" t="s">
        <v>2341</v>
      </c>
      <c r="G5" s="1945" t="s">
        <v>2342</v>
      </c>
      <c r="H5" s="1917"/>
      <c r="I5" s="1917"/>
      <c r="J5" s="1917"/>
      <c r="K5" s="1917"/>
      <c r="L5" s="1917"/>
      <c r="M5" s="1917"/>
      <c r="N5" s="1917"/>
      <c r="O5" s="1917"/>
      <c r="P5" s="1917"/>
      <c r="Q5" s="1917"/>
      <c r="R5" s="1917"/>
      <c r="S5" s="1917"/>
      <c r="T5" s="1917"/>
      <c r="U5" s="1917"/>
      <c r="V5" s="1917"/>
      <c r="W5" s="1917"/>
      <c r="X5" s="1917"/>
      <c r="Y5" s="1917"/>
    </row>
    <row r="6" spans="1:25" s="1862" customFormat="1" ht="56.25" customHeight="1" thickTop="1">
      <c r="A6" s="1860"/>
      <c r="B6" s="1861">
        <v>1</v>
      </c>
      <c r="C6" s="1922">
        <v>1</v>
      </c>
      <c r="D6" s="2297" t="s">
        <v>4469</v>
      </c>
      <c r="E6" s="2297"/>
      <c r="F6" s="1871">
        <f>SUM(F7,F11,F15,F19)</f>
        <v>0</v>
      </c>
      <c r="G6" s="1872">
        <f>SUM(G7,G11,G15,G19)</f>
        <v>0</v>
      </c>
      <c r="H6" s="1860"/>
      <c r="I6" s="1860"/>
      <c r="J6" s="1860"/>
      <c r="K6" s="1860"/>
      <c r="L6" s="1860"/>
      <c r="M6" s="1860"/>
      <c r="N6" s="1860"/>
      <c r="O6" s="1860"/>
      <c r="P6" s="1860"/>
      <c r="Q6" s="1860"/>
      <c r="R6" s="1860"/>
      <c r="S6" s="1860"/>
      <c r="T6" s="1860"/>
      <c r="U6" s="1860"/>
      <c r="V6" s="1860"/>
      <c r="W6" s="1860"/>
      <c r="X6" s="1860"/>
      <c r="Y6" s="1860"/>
    </row>
    <row r="7" spans="1:25" s="1865" customFormat="1" ht="20.100000000000001" customHeight="1">
      <c r="A7" s="1863"/>
      <c r="B7" s="1864">
        <v>2</v>
      </c>
      <c r="C7" s="1923"/>
      <c r="D7" s="1873" t="s">
        <v>2344</v>
      </c>
      <c r="E7" s="1874" t="s">
        <v>2345</v>
      </c>
      <c r="F7" s="1875">
        <f>SUM(F8:F10)</f>
        <v>0</v>
      </c>
      <c r="G7" s="1876">
        <f>SUM(G8:G10)</f>
        <v>0</v>
      </c>
      <c r="H7" s="1860"/>
      <c r="I7" s="1860"/>
      <c r="J7" s="1860"/>
      <c r="K7" s="1860"/>
      <c r="L7" s="1860"/>
      <c r="M7" s="1863"/>
      <c r="N7" s="1863"/>
      <c r="O7" s="1863"/>
      <c r="P7" s="1863"/>
      <c r="Q7" s="1863"/>
      <c r="R7" s="1863"/>
      <c r="S7" s="1863"/>
      <c r="T7" s="1863"/>
      <c r="U7" s="1863"/>
      <c r="V7" s="1863"/>
      <c r="W7" s="1863"/>
      <c r="X7" s="1863"/>
      <c r="Y7" s="1863"/>
    </row>
    <row r="8" spans="1:25" s="1865" customFormat="1" ht="20.100000000000001" customHeight="1">
      <c r="A8" s="1863"/>
      <c r="B8" s="1864">
        <v>3</v>
      </c>
      <c r="C8" s="1923"/>
      <c r="D8" s="1873"/>
      <c r="E8" s="1877" t="s">
        <v>2346</v>
      </c>
      <c r="F8" s="1878"/>
      <c r="G8" s="1879"/>
      <c r="H8" s="1860"/>
      <c r="I8" s="1860"/>
      <c r="J8" s="1860"/>
      <c r="K8" s="1860"/>
      <c r="L8" s="1860"/>
      <c r="M8" s="1863"/>
      <c r="N8" s="1863"/>
      <c r="O8" s="1863"/>
      <c r="P8" s="1863"/>
      <c r="Q8" s="1863"/>
      <c r="R8" s="1863"/>
      <c r="S8" s="1863"/>
      <c r="T8" s="1863"/>
      <c r="U8" s="1863"/>
      <c r="V8" s="1863"/>
      <c r="W8" s="1863"/>
      <c r="X8" s="1863"/>
      <c r="Y8" s="1863"/>
    </row>
    <row r="9" spans="1:25" s="1865" customFormat="1" ht="20.100000000000001" customHeight="1">
      <c r="A9" s="1863"/>
      <c r="B9" s="1861">
        <v>4</v>
      </c>
      <c r="C9" s="1923"/>
      <c r="D9" s="1873"/>
      <c r="E9" s="1877" t="s">
        <v>2347</v>
      </c>
      <c r="F9" s="1878"/>
      <c r="G9" s="1879"/>
      <c r="H9" s="1860"/>
      <c r="I9" s="1860"/>
      <c r="J9" s="1860"/>
      <c r="K9" s="1860"/>
      <c r="L9" s="1860"/>
      <c r="M9" s="1863"/>
      <c r="N9" s="1863"/>
      <c r="O9" s="1863"/>
      <c r="P9" s="1863"/>
      <c r="Q9" s="1863"/>
      <c r="R9" s="1863"/>
      <c r="S9" s="1863"/>
      <c r="T9" s="1863"/>
      <c r="U9" s="1863"/>
      <c r="V9" s="1863"/>
      <c r="W9" s="1863"/>
      <c r="X9" s="1863"/>
      <c r="Y9" s="1863"/>
    </row>
    <row r="10" spans="1:25" s="1865" customFormat="1" ht="20.100000000000001" customHeight="1">
      <c r="A10" s="1863"/>
      <c r="B10" s="1864">
        <v>5</v>
      </c>
      <c r="C10" s="1923"/>
      <c r="D10" s="1873"/>
      <c r="E10" s="1877" t="s">
        <v>2348</v>
      </c>
      <c r="F10" s="1878"/>
      <c r="G10" s="1879"/>
      <c r="H10" s="1860"/>
      <c r="I10" s="1860"/>
      <c r="J10" s="1860"/>
      <c r="K10" s="1860"/>
      <c r="L10" s="1860"/>
      <c r="M10" s="1863"/>
      <c r="N10" s="1863"/>
      <c r="O10" s="1863"/>
      <c r="P10" s="1863"/>
      <c r="Q10" s="1863"/>
      <c r="R10" s="1863"/>
      <c r="S10" s="1863"/>
      <c r="T10" s="1863"/>
      <c r="U10" s="1863"/>
      <c r="V10" s="1863"/>
      <c r="W10" s="1863"/>
      <c r="X10" s="1863"/>
      <c r="Y10" s="1863"/>
    </row>
    <row r="11" spans="1:25" s="1865" customFormat="1" ht="20.100000000000001" customHeight="1">
      <c r="A11" s="1863"/>
      <c r="B11" s="1864">
        <v>6</v>
      </c>
      <c r="C11" s="1923"/>
      <c r="D11" s="1873" t="s">
        <v>2349</v>
      </c>
      <c r="E11" s="1874" t="s">
        <v>2350</v>
      </c>
      <c r="F11" s="1875">
        <f>SUM(F12:F14)</f>
        <v>0</v>
      </c>
      <c r="G11" s="1876">
        <f>SUM(G12:G14)</f>
        <v>0</v>
      </c>
      <c r="H11" s="1860"/>
      <c r="I11" s="1860"/>
      <c r="J11" s="1860"/>
      <c r="K11" s="1860"/>
      <c r="L11" s="1860"/>
      <c r="M11" s="1863"/>
      <c r="N11" s="1863"/>
      <c r="O11" s="1863"/>
      <c r="P11" s="1863"/>
      <c r="Q11" s="1863"/>
      <c r="R11" s="1863"/>
      <c r="S11" s="1863"/>
      <c r="T11" s="1863"/>
      <c r="U11" s="1863"/>
      <c r="V11" s="1863"/>
      <c r="W11" s="1863"/>
      <c r="X11" s="1863"/>
      <c r="Y11" s="1863"/>
    </row>
    <row r="12" spans="1:25" s="1865" customFormat="1" ht="20.100000000000001" customHeight="1">
      <c r="A12" s="1863"/>
      <c r="B12" s="1861">
        <v>7</v>
      </c>
      <c r="C12" s="1923"/>
      <c r="D12" s="1873"/>
      <c r="E12" s="1877" t="s">
        <v>2346</v>
      </c>
      <c r="F12" s="1878"/>
      <c r="G12" s="1879"/>
      <c r="H12" s="1860"/>
      <c r="I12" s="1860"/>
      <c r="J12" s="1860"/>
      <c r="K12" s="1860"/>
      <c r="L12" s="1860"/>
      <c r="M12" s="1863"/>
      <c r="N12" s="1863"/>
      <c r="O12" s="1863"/>
      <c r="P12" s="1863"/>
      <c r="Q12" s="1863"/>
      <c r="R12" s="1863"/>
      <c r="S12" s="1863"/>
      <c r="T12" s="1863"/>
      <c r="U12" s="1863"/>
      <c r="V12" s="1863"/>
      <c r="W12" s="1863"/>
      <c r="X12" s="1863"/>
      <c r="Y12" s="1863"/>
    </row>
    <row r="13" spans="1:25" s="1865" customFormat="1" ht="20.100000000000001" customHeight="1">
      <c r="A13" s="1863"/>
      <c r="B13" s="1864">
        <v>8</v>
      </c>
      <c r="C13" s="1923"/>
      <c r="D13" s="1873"/>
      <c r="E13" s="1877" t="s">
        <v>2347</v>
      </c>
      <c r="F13" s="1878"/>
      <c r="G13" s="1879"/>
      <c r="H13" s="1860"/>
      <c r="I13" s="1860"/>
      <c r="J13" s="1860"/>
      <c r="K13" s="1860"/>
      <c r="L13" s="1860"/>
      <c r="M13" s="1863"/>
      <c r="N13" s="1863"/>
      <c r="O13" s="1863"/>
      <c r="P13" s="1863"/>
      <c r="Q13" s="1863"/>
      <c r="R13" s="1863"/>
      <c r="S13" s="1863"/>
      <c r="T13" s="1863"/>
      <c r="U13" s="1863"/>
      <c r="V13" s="1863"/>
      <c r="W13" s="1863"/>
      <c r="X13" s="1863"/>
      <c r="Y13" s="1863"/>
    </row>
    <row r="14" spans="1:25" s="1865" customFormat="1" ht="20.100000000000001" customHeight="1">
      <c r="A14" s="1863"/>
      <c r="B14" s="1864">
        <v>9</v>
      </c>
      <c r="C14" s="1923"/>
      <c r="D14" s="1873"/>
      <c r="E14" s="1877" t="s">
        <v>2348</v>
      </c>
      <c r="F14" s="1878"/>
      <c r="G14" s="1879"/>
      <c r="H14" s="1860"/>
      <c r="I14" s="1860"/>
      <c r="J14" s="1860"/>
      <c r="K14" s="1860"/>
      <c r="L14" s="1860"/>
      <c r="M14" s="1863"/>
      <c r="N14" s="1863"/>
      <c r="O14" s="1863"/>
      <c r="P14" s="1863"/>
      <c r="Q14" s="1863"/>
      <c r="R14" s="1863"/>
      <c r="S14" s="1863"/>
      <c r="T14" s="1863"/>
      <c r="U14" s="1863"/>
      <c r="V14" s="1863"/>
      <c r="W14" s="1863"/>
      <c r="X14" s="1863"/>
      <c r="Y14" s="1863"/>
    </row>
    <row r="15" spans="1:25" s="1865" customFormat="1" ht="20.100000000000001" customHeight="1">
      <c r="A15" s="1863"/>
      <c r="B15" s="1861">
        <v>10</v>
      </c>
      <c r="C15" s="1923"/>
      <c r="D15" s="1873" t="s">
        <v>2351</v>
      </c>
      <c r="E15" s="1874" t="s">
        <v>4470</v>
      </c>
      <c r="F15" s="1875">
        <f>SUM(F16:F18)</f>
        <v>0</v>
      </c>
      <c r="G15" s="1876">
        <f>SUM(G16:G18)</f>
        <v>0</v>
      </c>
      <c r="H15" s="1860"/>
      <c r="I15" s="1860"/>
      <c r="J15" s="1860"/>
      <c r="K15" s="1860"/>
      <c r="L15" s="1860"/>
      <c r="M15" s="1863"/>
      <c r="N15" s="1863"/>
      <c r="O15" s="1863"/>
      <c r="P15" s="1863"/>
      <c r="Q15" s="1863"/>
      <c r="R15" s="1863"/>
      <c r="S15" s="1863"/>
      <c r="T15" s="1863"/>
      <c r="U15" s="1863"/>
      <c r="V15" s="1863"/>
      <c r="W15" s="1863"/>
      <c r="X15" s="1863"/>
      <c r="Y15" s="1863"/>
    </row>
    <row r="16" spans="1:25" s="1865" customFormat="1" ht="20.100000000000001" customHeight="1">
      <c r="A16" s="1863"/>
      <c r="B16" s="1864">
        <v>11</v>
      </c>
      <c r="C16" s="1923"/>
      <c r="D16" s="1873"/>
      <c r="E16" s="1877" t="s">
        <v>2346</v>
      </c>
      <c r="F16" s="1878"/>
      <c r="G16" s="1879"/>
      <c r="H16" s="1860"/>
      <c r="I16" s="1860"/>
      <c r="J16" s="1860"/>
      <c r="K16" s="1860"/>
      <c r="L16" s="1860"/>
      <c r="M16" s="1863"/>
      <c r="N16" s="1863"/>
      <c r="O16" s="1863"/>
      <c r="P16" s="1863"/>
      <c r="Q16" s="1863"/>
      <c r="R16" s="1863"/>
      <c r="S16" s="1863"/>
      <c r="T16" s="1863"/>
      <c r="U16" s="1863"/>
      <c r="V16" s="1863"/>
      <c r="W16" s="1863"/>
      <c r="X16" s="1863"/>
      <c r="Y16" s="1863"/>
    </row>
    <row r="17" spans="1:25" s="1865" customFormat="1" ht="20.100000000000001" customHeight="1">
      <c r="A17" s="1863"/>
      <c r="B17" s="1864">
        <v>12</v>
      </c>
      <c r="C17" s="1923"/>
      <c r="D17" s="1873"/>
      <c r="E17" s="1877" t="s">
        <v>2347</v>
      </c>
      <c r="F17" s="1878"/>
      <c r="G17" s="1879"/>
      <c r="H17" s="1860"/>
      <c r="I17" s="1860"/>
      <c r="J17" s="1860"/>
      <c r="K17" s="1860"/>
      <c r="L17" s="1860"/>
      <c r="M17" s="1863"/>
      <c r="N17" s="1863"/>
      <c r="O17" s="1863"/>
      <c r="P17" s="1863"/>
      <c r="Q17" s="1863"/>
      <c r="R17" s="1863"/>
      <c r="S17" s="1863"/>
      <c r="T17" s="1863"/>
      <c r="U17" s="1863"/>
      <c r="V17" s="1863"/>
      <c r="W17" s="1863"/>
      <c r="X17" s="1863"/>
      <c r="Y17" s="1863"/>
    </row>
    <row r="18" spans="1:25" s="1865" customFormat="1" ht="20.100000000000001" customHeight="1">
      <c r="A18" s="1863"/>
      <c r="B18" s="1861">
        <v>13</v>
      </c>
      <c r="C18" s="1923"/>
      <c r="D18" s="1873"/>
      <c r="E18" s="1877" t="s">
        <v>2348</v>
      </c>
      <c r="F18" s="1878"/>
      <c r="G18" s="1879"/>
      <c r="H18" s="1860"/>
      <c r="I18" s="1860"/>
      <c r="J18" s="1860"/>
      <c r="K18" s="1860"/>
      <c r="L18" s="1860"/>
      <c r="M18" s="1863"/>
      <c r="N18" s="1863"/>
      <c r="O18" s="1863"/>
      <c r="P18" s="1863"/>
      <c r="Q18" s="1863"/>
      <c r="R18" s="1863"/>
      <c r="S18" s="1863"/>
      <c r="T18" s="1863"/>
      <c r="U18" s="1863"/>
      <c r="V18" s="1863"/>
      <c r="W18" s="1863"/>
      <c r="X18" s="1863"/>
      <c r="Y18" s="1863"/>
    </row>
    <row r="19" spans="1:25" s="1865" customFormat="1" ht="20.100000000000001" customHeight="1">
      <c r="A19" s="1863"/>
      <c r="B19" s="1864">
        <v>14</v>
      </c>
      <c r="C19" s="1923"/>
      <c r="D19" s="1877" t="s">
        <v>2352</v>
      </c>
      <c r="E19" s="1880" t="s">
        <v>2353</v>
      </c>
      <c r="F19" s="1881"/>
      <c r="G19" s="1882"/>
      <c r="H19" s="1860"/>
      <c r="I19" s="1860"/>
      <c r="J19" s="1860"/>
      <c r="K19" s="1860"/>
      <c r="L19" s="1860"/>
      <c r="M19" s="1863"/>
      <c r="N19" s="1863"/>
      <c r="O19" s="1863"/>
      <c r="P19" s="1863"/>
      <c r="Q19" s="1863"/>
      <c r="R19" s="1863"/>
      <c r="S19" s="1863"/>
      <c r="T19" s="1863"/>
      <c r="U19" s="1863"/>
      <c r="V19" s="1863"/>
      <c r="W19" s="1863"/>
      <c r="X19" s="1863"/>
      <c r="Y19" s="1863"/>
    </row>
    <row r="20" spans="1:25" s="1862" customFormat="1" ht="39.950000000000003" customHeight="1">
      <c r="A20" s="1860"/>
      <c r="B20" s="1864">
        <v>15</v>
      </c>
      <c r="C20" s="1922">
        <v>2</v>
      </c>
      <c r="D20" s="1883" t="s">
        <v>2355</v>
      </c>
      <c r="E20" s="1884"/>
      <c r="F20" s="1871">
        <f>SUM(F21,F22,F23)</f>
        <v>0</v>
      </c>
      <c r="G20" s="1872">
        <f>SUM(G21,G22,G23)</f>
        <v>0</v>
      </c>
      <c r="H20" s="1860"/>
      <c r="I20" s="1860"/>
      <c r="J20" s="1860"/>
      <c r="K20" s="1860"/>
      <c r="L20" s="1860"/>
      <c r="M20" s="1860"/>
      <c r="N20" s="1860"/>
      <c r="O20" s="1860"/>
      <c r="P20" s="1860"/>
      <c r="Q20" s="1860"/>
      <c r="R20" s="1860"/>
      <c r="S20" s="1860"/>
      <c r="T20" s="1860"/>
      <c r="U20" s="1860"/>
      <c r="V20" s="1860"/>
      <c r="W20" s="1860"/>
      <c r="X20" s="1860"/>
      <c r="Y20" s="1860"/>
    </row>
    <row r="21" spans="1:25" s="1865" customFormat="1" ht="39.950000000000003" customHeight="1">
      <c r="A21" s="1863"/>
      <c r="B21" s="1861">
        <v>16</v>
      </c>
      <c r="C21" s="1924"/>
      <c r="D21" s="1873" t="s">
        <v>2356</v>
      </c>
      <c r="E21" s="1885" t="s">
        <v>4471</v>
      </c>
      <c r="F21" s="1878"/>
      <c r="G21" s="1879"/>
      <c r="H21" s="1860"/>
      <c r="I21" s="1860"/>
      <c r="J21" s="1860"/>
      <c r="K21" s="1860"/>
      <c r="L21" s="1860"/>
      <c r="M21" s="1863"/>
      <c r="N21" s="1863"/>
      <c r="O21" s="1863"/>
      <c r="P21" s="1863"/>
      <c r="Q21" s="1863"/>
      <c r="R21" s="1863"/>
      <c r="S21" s="1863"/>
      <c r="T21" s="1863"/>
      <c r="U21" s="1863"/>
      <c r="V21" s="1863"/>
      <c r="W21" s="1863"/>
      <c r="X21" s="1863"/>
      <c r="Y21" s="1863"/>
    </row>
    <row r="22" spans="1:25" s="1865" customFormat="1" ht="20.100000000000001" customHeight="1">
      <c r="A22" s="1863"/>
      <c r="B22" s="1864">
        <v>17</v>
      </c>
      <c r="C22" s="1924"/>
      <c r="D22" s="1873" t="s">
        <v>2357</v>
      </c>
      <c r="E22" s="1883" t="s">
        <v>2358</v>
      </c>
      <c r="F22" s="1878"/>
      <c r="G22" s="1879"/>
      <c r="H22" s="1860"/>
      <c r="I22" s="1860"/>
      <c r="J22" s="1860"/>
      <c r="K22" s="1860"/>
      <c r="L22" s="1860"/>
      <c r="M22" s="1863"/>
      <c r="N22" s="1863"/>
      <c r="O22" s="1863"/>
      <c r="P22" s="1863"/>
      <c r="Q22" s="1863"/>
      <c r="R22" s="1863"/>
      <c r="S22" s="1863"/>
      <c r="T22" s="1863"/>
      <c r="U22" s="1863"/>
      <c r="V22" s="1863"/>
      <c r="W22" s="1863"/>
      <c r="X22" s="1863"/>
      <c r="Y22" s="1863"/>
    </row>
    <row r="23" spans="1:25" s="1865" customFormat="1" ht="20.100000000000001" customHeight="1">
      <c r="A23" s="1863"/>
      <c r="B23" s="1864">
        <v>18</v>
      </c>
      <c r="C23" s="1924"/>
      <c r="D23" s="1873" t="s">
        <v>2359</v>
      </c>
      <c r="E23" s="1883" t="s">
        <v>2360</v>
      </c>
      <c r="F23" s="1878"/>
      <c r="G23" s="1879"/>
      <c r="H23" s="1860"/>
      <c r="I23" s="1860"/>
      <c r="J23" s="1860"/>
      <c r="K23" s="1860"/>
      <c r="L23" s="1860"/>
      <c r="M23" s="1863"/>
      <c r="N23" s="1863"/>
      <c r="O23" s="1863"/>
      <c r="P23" s="1863"/>
      <c r="Q23" s="1863"/>
      <c r="R23" s="1863"/>
      <c r="S23" s="1863"/>
      <c r="T23" s="1863"/>
      <c r="U23" s="1863"/>
      <c r="V23" s="1863"/>
      <c r="W23" s="1863"/>
      <c r="X23" s="1863"/>
      <c r="Y23" s="1863"/>
    </row>
    <row r="24" spans="1:25" s="1862" customFormat="1" ht="20.100000000000001" customHeight="1">
      <c r="A24" s="1860"/>
      <c r="B24" s="1861">
        <v>19</v>
      </c>
      <c r="C24" s="1922">
        <v>3</v>
      </c>
      <c r="D24" s="1883" t="s">
        <v>2361</v>
      </c>
      <c r="E24" s="1874"/>
      <c r="F24" s="1886">
        <f>SUM(F25,F29)</f>
        <v>0</v>
      </c>
      <c r="G24" s="1872">
        <f>SUM(G25,G29)</f>
        <v>0</v>
      </c>
      <c r="H24" s="1860"/>
      <c r="I24" s="1860"/>
      <c r="J24" s="1860"/>
      <c r="K24" s="1860"/>
      <c r="L24" s="1860"/>
      <c r="M24" s="1860"/>
      <c r="N24" s="1860"/>
      <c r="O24" s="1860"/>
      <c r="P24" s="1860"/>
      <c r="Q24" s="1860"/>
      <c r="R24" s="1860"/>
      <c r="S24" s="1860"/>
      <c r="T24" s="1860"/>
      <c r="U24" s="1860"/>
      <c r="V24" s="1860"/>
      <c r="W24" s="1860"/>
      <c r="X24" s="1860"/>
      <c r="Y24" s="1860"/>
    </row>
    <row r="25" spans="1:25" s="1862" customFormat="1" ht="20.100000000000001" customHeight="1">
      <c r="A25" s="1860"/>
      <c r="B25" s="1864">
        <v>20</v>
      </c>
      <c r="C25" s="1925"/>
      <c r="D25" s="1873" t="s">
        <v>2362</v>
      </c>
      <c r="E25" s="1887" t="s">
        <v>2363</v>
      </c>
      <c r="F25" s="1888">
        <f>SUM(F26:F28)</f>
        <v>0</v>
      </c>
      <c r="G25" s="1889">
        <f>SUM(G26:G28)</f>
        <v>0</v>
      </c>
      <c r="H25" s="1860"/>
      <c r="I25" s="1860"/>
      <c r="J25" s="1860"/>
      <c r="K25" s="1860"/>
      <c r="L25" s="1860"/>
      <c r="M25" s="1860"/>
      <c r="N25" s="1860"/>
      <c r="O25" s="1860"/>
      <c r="P25" s="1860"/>
      <c r="Q25" s="1860"/>
      <c r="R25" s="1860"/>
      <c r="S25" s="1860"/>
      <c r="T25" s="1860"/>
      <c r="U25" s="1860"/>
      <c r="V25" s="1860"/>
      <c r="W25" s="1860"/>
      <c r="X25" s="1860"/>
      <c r="Y25" s="1860"/>
    </row>
    <row r="26" spans="1:25" s="1862" customFormat="1" ht="20.100000000000001" customHeight="1">
      <c r="A26" s="1860"/>
      <c r="B26" s="1864">
        <v>21</v>
      </c>
      <c r="C26" s="1925"/>
      <c r="D26" s="1877"/>
      <c r="E26" s="1890" t="s">
        <v>2364</v>
      </c>
      <c r="F26" s="1891"/>
      <c r="G26" s="1892"/>
      <c r="H26" s="1860"/>
      <c r="I26" s="1860"/>
      <c r="J26" s="1860"/>
      <c r="K26" s="1860"/>
      <c r="L26" s="1860"/>
      <c r="M26" s="1860"/>
      <c r="N26" s="1860"/>
      <c r="O26" s="1860"/>
      <c r="P26" s="1860"/>
      <c r="Q26" s="1860"/>
      <c r="R26" s="1860"/>
      <c r="S26" s="1860"/>
      <c r="T26" s="1860"/>
      <c r="U26" s="1860"/>
      <c r="V26" s="1860"/>
      <c r="W26" s="1860"/>
      <c r="X26" s="1860"/>
      <c r="Y26" s="1860"/>
    </row>
    <row r="27" spans="1:25" s="1862" customFormat="1" ht="20.100000000000001" customHeight="1">
      <c r="A27" s="1860"/>
      <c r="B27" s="1861">
        <v>22</v>
      </c>
      <c r="C27" s="1925"/>
      <c r="D27" s="1877"/>
      <c r="E27" s="1893" t="s">
        <v>2365</v>
      </c>
      <c r="F27" s="1894"/>
      <c r="G27" s="1892"/>
      <c r="H27" s="1860"/>
      <c r="I27" s="1860"/>
      <c r="J27" s="1860"/>
      <c r="K27" s="1860"/>
      <c r="L27" s="1860"/>
      <c r="M27" s="1860"/>
      <c r="N27" s="1860"/>
      <c r="O27" s="1860"/>
      <c r="P27" s="1860"/>
      <c r="Q27" s="1860"/>
      <c r="R27" s="1860"/>
      <c r="S27" s="1860"/>
      <c r="T27" s="1860"/>
      <c r="U27" s="1860"/>
      <c r="V27" s="1860"/>
      <c r="W27" s="1860"/>
      <c r="X27" s="1860"/>
      <c r="Y27" s="1860"/>
    </row>
    <row r="28" spans="1:25" s="1862" customFormat="1" ht="20.100000000000001" customHeight="1">
      <c r="A28" s="1860"/>
      <c r="B28" s="1864">
        <v>23</v>
      </c>
      <c r="C28" s="1925"/>
      <c r="D28" s="1877"/>
      <c r="E28" s="1893" t="s">
        <v>2366</v>
      </c>
      <c r="F28" s="1894"/>
      <c r="G28" s="1892"/>
      <c r="H28" s="1860"/>
      <c r="I28" s="1860"/>
      <c r="J28" s="1860"/>
      <c r="K28" s="1860"/>
      <c r="L28" s="1860"/>
      <c r="M28" s="1860"/>
      <c r="N28" s="1860"/>
      <c r="O28" s="1860"/>
      <c r="P28" s="1860"/>
      <c r="Q28" s="1860"/>
      <c r="R28" s="1860"/>
      <c r="S28" s="1860"/>
      <c r="T28" s="1860"/>
      <c r="U28" s="1860"/>
      <c r="V28" s="1860"/>
      <c r="W28" s="1860"/>
      <c r="X28" s="1860"/>
      <c r="Y28" s="1860"/>
    </row>
    <row r="29" spans="1:25" s="1862" customFormat="1" ht="20.100000000000001" customHeight="1">
      <c r="A29" s="1860"/>
      <c r="B29" s="1864">
        <v>24</v>
      </c>
      <c r="C29" s="1925"/>
      <c r="D29" s="1873" t="s">
        <v>2367</v>
      </c>
      <c r="E29" s="1874" t="s">
        <v>2368</v>
      </c>
      <c r="F29" s="1888">
        <f>SUM(F30:F32)</f>
        <v>0</v>
      </c>
      <c r="G29" s="1889">
        <f>SUM(G30:G32)</f>
        <v>0</v>
      </c>
      <c r="H29" s="1860"/>
      <c r="I29" s="1860"/>
      <c r="J29" s="1860"/>
      <c r="K29" s="1860"/>
      <c r="L29" s="1860"/>
      <c r="M29" s="1860"/>
      <c r="N29" s="1860"/>
      <c r="O29" s="1860"/>
      <c r="P29" s="1860"/>
      <c r="Q29" s="1860"/>
      <c r="R29" s="1860"/>
      <c r="S29" s="1860"/>
      <c r="T29" s="1860"/>
      <c r="U29" s="1860"/>
      <c r="V29" s="1860"/>
      <c r="W29" s="1860"/>
      <c r="X29" s="1860"/>
      <c r="Y29" s="1860"/>
    </row>
    <row r="30" spans="1:25" s="1862" customFormat="1" ht="20.100000000000001" customHeight="1">
      <c r="A30" s="1860"/>
      <c r="B30" s="1861">
        <v>25</v>
      </c>
      <c r="C30" s="1925"/>
      <c r="D30" s="1877"/>
      <c r="E30" s="1890" t="s">
        <v>2369</v>
      </c>
      <c r="F30" s="1878"/>
      <c r="G30" s="1879"/>
      <c r="H30" s="1860"/>
      <c r="I30" s="1860"/>
      <c r="J30" s="1860"/>
      <c r="K30" s="1860"/>
      <c r="L30" s="1860"/>
      <c r="M30" s="1860"/>
      <c r="N30" s="1860"/>
      <c r="O30" s="1860"/>
      <c r="P30" s="1860"/>
      <c r="Q30" s="1860"/>
      <c r="R30" s="1860"/>
      <c r="S30" s="1860"/>
      <c r="T30" s="1860"/>
      <c r="U30" s="1860"/>
      <c r="V30" s="1860"/>
      <c r="W30" s="1860"/>
      <c r="X30" s="1860"/>
      <c r="Y30" s="1860"/>
    </row>
    <row r="31" spans="1:25" s="1862" customFormat="1" ht="20.100000000000001" customHeight="1">
      <c r="A31" s="1860"/>
      <c r="B31" s="1864">
        <v>26</v>
      </c>
      <c r="C31" s="1925"/>
      <c r="D31" s="1877"/>
      <c r="E31" s="1893" t="s">
        <v>2370</v>
      </c>
      <c r="F31" s="1878"/>
      <c r="G31" s="1879"/>
      <c r="H31" s="1860"/>
      <c r="I31" s="1860"/>
      <c r="J31" s="1860"/>
      <c r="K31" s="1860"/>
      <c r="L31" s="1860"/>
      <c r="M31" s="1860"/>
      <c r="N31" s="1860"/>
      <c r="O31" s="1860"/>
      <c r="P31" s="1860"/>
      <c r="Q31" s="1860"/>
      <c r="R31" s="1860"/>
      <c r="S31" s="1860"/>
      <c r="T31" s="1860"/>
      <c r="U31" s="1860"/>
      <c r="V31" s="1860"/>
      <c r="W31" s="1860"/>
      <c r="X31" s="1860"/>
      <c r="Y31" s="1860"/>
    </row>
    <row r="32" spans="1:25" s="1862" customFormat="1" ht="20.100000000000001" customHeight="1">
      <c r="A32" s="1860"/>
      <c r="B32" s="1864">
        <v>27</v>
      </c>
      <c r="C32" s="1925"/>
      <c r="D32" s="1877"/>
      <c r="E32" s="1893" t="s">
        <v>2371</v>
      </c>
      <c r="F32" s="1878"/>
      <c r="G32" s="1879"/>
      <c r="H32" s="1860"/>
      <c r="I32" s="1860"/>
      <c r="J32" s="1860"/>
      <c r="K32" s="1860"/>
      <c r="L32" s="1860"/>
      <c r="M32" s="1860"/>
      <c r="N32" s="1860"/>
      <c r="O32" s="1860"/>
      <c r="P32" s="1860"/>
      <c r="Q32" s="1860"/>
      <c r="R32" s="1860"/>
      <c r="S32" s="1860"/>
      <c r="T32" s="1860"/>
      <c r="U32" s="1860"/>
      <c r="V32" s="1860"/>
      <c r="W32" s="1860"/>
      <c r="X32" s="1860"/>
      <c r="Y32" s="1860"/>
    </row>
    <row r="33" spans="1:25" s="1865" customFormat="1" ht="20.100000000000001" customHeight="1">
      <c r="A33" s="1863"/>
      <c r="B33" s="1861">
        <v>28</v>
      </c>
      <c r="C33" s="1922">
        <v>4</v>
      </c>
      <c r="D33" s="1883" t="s">
        <v>4472</v>
      </c>
      <c r="E33" s="1883"/>
      <c r="F33" s="1881"/>
      <c r="G33" s="1882"/>
      <c r="H33" s="1860"/>
      <c r="I33" s="1860"/>
      <c r="J33" s="1860"/>
      <c r="K33" s="1860"/>
      <c r="L33" s="1860"/>
      <c r="M33" s="1863"/>
      <c r="N33" s="1863"/>
      <c r="O33" s="1863"/>
      <c r="P33" s="1863"/>
      <c r="Q33" s="1863"/>
      <c r="R33" s="1863"/>
      <c r="S33" s="1863"/>
      <c r="T33" s="1863"/>
      <c r="U33" s="1863"/>
      <c r="V33" s="1863"/>
      <c r="W33" s="1863"/>
      <c r="X33" s="1863"/>
      <c r="Y33" s="1863"/>
    </row>
    <row r="34" spans="1:25" s="1862" customFormat="1" ht="20.100000000000001" customHeight="1">
      <c r="A34" s="1860"/>
      <c r="B34" s="1864">
        <v>29</v>
      </c>
      <c r="C34" s="1922">
        <v>5</v>
      </c>
      <c r="D34" s="1883" t="s">
        <v>4473</v>
      </c>
      <c r="E34" s="1874"/>
      <c r="F34" s="1871">
        <f>SUM(F35:F36)</f>
        <v>0</v>
      </c>
      <c r="G34" s="1872">
        <f>SUM(G35:G36)</f>
        <v>0</v>
      </c>
      <c r="H34" s="1860"/>
      <c r="I34" s="1860"/>
      <c r="J34" s="1860"/>
      <c r="K34" s="1860"/>
      <c r="L34" s="1860"/>
      <c r="M34" s="1860"/>
      <c r="N34" s="1860"/>
      <c r="O34" s="1860"/>
      <c r="P34" s="1860"/>
      <c r="Q34" s="1860"/>
      <c r="R34" s="1860"/>
      <c r="S34" s="1860"/>
      <c r="T34" s="1860"/>
      <c r="U34" s="1860"/>
      <c r="V34" s="1860"/>
      <c r="W34" s="1860"/>
      <c r="X34" s="1860"/>
      <c r="Y34" s="1860"/>
    </row>
    <row r="35" spans="1:25" s="1865" customFormat="1" ht="20.100000000000001" customHeight="1">
      <c r="A35" s="1863"/>
      <c r="B35" s="1864">
        <v>30</v>
      </c>
      <c r="C35" s="1926"/>
      <c r="D35" s="1873" t="s">
        <v>2372</v>
      </c>
      <c r="E35" s="1895" t="s">
        <v>2373</v>
      </c>
      <c r="F35" s="1878"/>
      <c r="G35" s="1879"/>
      <c r="H35" s="1860"/>
      <c r="I35" s="1860"/>
      <c r="J35" s="1860"/>
      <c r="K35" s="1860"/>
      <c r="L35" s="1860"/>
      <c r="M35" s="1863"/>
      <c r="N35" s="1863"/>
      <c r="O35" s="1863"/>
      <c r="P35" s="1863"/>
      <c r="Q35" s="1863"/>
      <c r="R35" s="1863"/>
      <c r="S35" s="1863"/>
      <c r="T35" s="1863"/>
      <c r="U35" s="1863"/>
      <c r="V35" s="1863"/>
      <c r="W35" s="1863"/>
      <c r="X35" s="1863"/>
      <c r="Y35" s="1863"/>
    </row>
    <row r="36" spans="1:25" s="1865" customFormat="1" ht="20.100000000000001" customHeight="1">
      <c r="A36" s="1863"/>
      <c r="B36" s="1861">
        <v>31</v>
      </c>
      <c r="C36" s="1927"/>
      <c r="D36" s="1873" t="s">
        <v>2374</v>
      </c>
      <c r="E36" s="1895" t="s">
        <v>2375</v>
      </c>
      <c r="F36" s="1878"/>
      <c r="G36" s="1879"/>
      <c r="H36" s="1860"/>
      <c r="I36" s="1860"/>
      <c r="J36" s="1860"/>
      <c r="K36" s="1860"/>
      <c r="L36" s="1860"/>
      <c r="M36" s="1863"/>
      <c r="N36" s="1863"/>
      <c r="O36" s="1863"/>
      <c r="P36" s="1863"/>
      <c r="Q36" s="1863"/>
      <c r="R36" s="1863"/>
      <c r="S36" s="1863"/>
      <c r="T36" s="1863"/>
      <c r="U36" s="1863"/>
      <c r="V36" s="1863"/>
      <c r="W36" s="1863"/>
      <c r="X36" s="1863"/>
      <c r="Y36" s="1863"/>
    </row>
    <row r="37" spans="1:25" s="1865" customFormat="1" ht="20.100000000000001" customHeight="1">
      <c r="A37" s="1863"/>
      <c r="B37" s="1864">
        <v>32</v>
      </c>
      <c r="C37" s="1928">
        <v>6</v>
      </c>
      <c r="D37" s="1896" t="s">
        <v>2376</v>
      </c>
      <c r="E37" s="1897"/>
      <c r="F37" s="1898">
        <f>SUM(F38:F41)</f>
        <v>0</v>
      </c>
      <c r="G37" s="1899">
        <f>SUM(G38:G41)</f>
        <v>0</v>
      </c>
      <c r="H37" s="1860"/>
      <c r="I37" s="1860"/>
      <c r="J37" s="1860"/>
      <c r="K37" s="1860"/>
      <c r="L37" s="1860"/>
      <c r="M37" s="1863"/>
      <c r="N37" s="1863"/>
      <c r="O37" s="1863"/>
      <c r="P37" s="1863"/>
      <c r="Q37" s="1863"/>
      <c r="R37" s="1863"/>
      <c r="S37" s="1863"/>
      <c r="T37" s="1863"/>
      <c r="U37" s="1863"/>
      <c r="V37" s="1863"/>
      <c r="W37" s="1863"/>
      <c r="X37" s="1863"/>
      <c r="Y37" s="1863"/>
    </row>
    <row r="38" spans="1:25" s="1862" customFormat="1" ht="20.100000000000001" customHeight="1">
      <c r="A38" s="1860"/>
      <c r="B38" s="1864">
        <v>33</v>
      </c>
      <c r="C38" s="1924"/>
      <c r="D38" s="1873" t="s">
        <v>2377</v>
      </c>
      <c r="E38" s="1874" t="s">
        <v>2378</v>
      </c>
      <c r="F38" s="1878"/>
      <c r="G38" s="1879"/>
      <c r="H38" s="1860"/>
      <c r="I38" s="1860"/>
      <c r="J38" s="1860"/>
      <c r="K38" s="1860"/>
      <c r="L38" s="1860"/>
      <c r="M38" s="1860"/>
      <c r="N38" s="1860"/>
      <c r="O38" s="1860"/>
      <c r="P38" s="1860"/>
      <c r="Q38" s="1860"/>
      <c r="R38" s="1860"/>
      <c r="S38" s="1860"/>
      <c r="T38" s="1860"/>
      <c r="U38" s="1860"/>
      <c r="V38" s="1860"/>
      <c r="W38" s="1860"/>
      <c r="X38" s="1860"/>
      <c r="Y38" s="1860"/>
    </row>
    <row r="39" spans="1:25" s="1862" customFormat="1" ht="20.100000000000001" customHeight="1">
      <c r="A39" s="1860"/>
      <c r="B39" s="1861">
        <v>34</v>
      </c>
      <c r="C39" s="1924"/>
      <c r="D39" s="1873" t="s">
        <v>2379</v>
      </c>
      <c r="E39" s="1874" t="s">
        <v>2380</v>
      </c>
      <c r="F39" s="1878"/>
      <c r="G39" s="1879"/>
      <c r="H39" s="1860"/>
      <c r="I39" s="1860"/>
      <c r="J39" s="1860"/>
      <c r="K39" s="1860"/>
      <c r="L39" s="1860"/>
      <c r="M39" s="1860"/>
      <c r="N39" s="1860"/>
      <c r="O39" s="1860"/>
      <c r="P39" s="1860"/>
      <c r="Q39" s="1860"/>
      <c r="R39" s="1860"/>
      <c r="S39" s="1860"/>
      <c r="T39" s="1860"/>
      <c r="U39" s="1860"/>
      <c r="V39" s="1860"/>
      <c r="W39" s="1860"/>
      <c r="X39" s="1860"/>
      <c r="Y39" s="1860"/>
    </row>
    <row r="40" spans="1:25" s="1862" customFormat="1" ht="39.950000000000003" customHeight="1">
      <c r="A40" s="1860"/>
      <c r="B40" s="1864">
        <v>35</v>
      </c>
      <c r="C40" s="1925"/>
      <c r="D40" s="1873" t="s">
        <v>2381</v>
      </c>
      <c r="E40" s="1900" t="s">
        <v>2382</v>
      </c>
      <c r="F40" s="1878"/>
      <c r="G40" s="1879"/>
      <c r="H40" s="1860"/>
      <c r="I40" s="1860"/>
      <c r="J40" s="1860"/>
      <c r="K40" s="1860"/>
      <c r="L40" s="1860"/>
      <c r="M40" s="1860"/>
      <c r="N40" s="1860"/>
      <c r="O40" s="1860"/>
      <c r="P40" s="1860"/>
      <c r="Q40" s="1860"/>
      <c r="R40" s="1860"/>
      <c r="S40" s="1860"/>
      <c r="T40" s="1860"/>
      <c r="U40" s="1860"/>
      <c r="V40" s="1860"/>
      <c r="W40" s="1860"/>
      <c r="X40" s="1860"/>
      <c r="Y40" s="1860"/>
    </row>
    <row r="41" spans="1:25" s="1862" customFormat="1" ht="39.950000000000003" customHeight="1">
      <c r="A41" s="1860"/>
      <c r="B41" s="1864">
        <v>36</v>
      </c>
      <c r="C41" s="1925"/>
      <c r="D41" s="1873" t="s">
        <v>2383</v>
      </c>
      <c r="E41" s="1877" t="s">
        <v>2384</v>
      </c>
      <c r="F41" s="1878"/>
      <c r="G41" s="1879"/>
      <c r="H41" s="1860" t="s">
        <v>2385</v>
      </c>
      <c r="I41" s="1860"/>
      <c r="J41" s="1860"/>
      <c r="K41" s="1860"/>
      <c r="L41" s="1860"/>
      <c r="M41" s="1860"/>
      <c r="N41" s="1860"/>
      <c r="O41" s="1860"/>
      <c r="P41" s="1860"/>
      <c r="Q41" s="1860"/>
      <c r="R41" s="1860"/>
      <c r="S41" s="1860"/>
      <c r="T41" s="1860"/>
      <c r="U41" s="1860"/>
      <c r="V41" s="1860"/>
      <c r="W41" s="1860"/>
      <c r="X41" s="1860"/>
      <c r="Y41" s="1860"/>
    </row>
    <row r="42" spans="1:25" s="1865" customFormat="1" ht="20.100000000000001" customHeight="1">
      <c r="A42" s="1863"/>
      <c r="B42" s="1861">
        <v>37</v>
      </c>
      <c r="C42" s="1922">
        <v>7</v>
      </c>
      <c r="D42" s="1883" t="s">
        <v>2386</v>
      </c>
      <c r="E42" s="1884"/>
      <c r="F42" s="1871">
        <f>SUM(F43:F44)</f>
        <v>0</v>
      </c>
      <c r="G42" s="1872">
        <f>SUM(G43:G44)</f>
        <v>0</v>
      </c>
      <c r="H42" s="1860"/>
      <c r="I42" s="1860"/>
      <c r="J42" s="1860"/>
      <c r="K42" s="1860"/>
      <c r="L42" s="1860"/>
      <c r="M42" s="1863"/>
      <c r="N42" s="1863"/>
      <c r="O42" s="1863"/>
      <c r="P42" s="1863"/>
      <c r="Q42" s="1863"/>
      <c r="R42" s="1863"/>
      <c r="S42" s="1863"/>
      <c r="T42" s="1863"/>
      <c r="U42" s="1863"/>
      <c r="V42" s="1863"/>
      <c r="W42" s="1863"/>
      <c r="X42" s="1863"/>
      <c r="Y42" s="1863"/>
    </row>
    <row r="43" spans="1:25" s="1862" customFormat="1" ht="20.100000000000001" customHeight="1">
      <c r="A43" s="1860"/>
      <c r="B43" s="1864">
        <v>38</v>
      </c>
      <c r="C43" s="1922"/>
      <c r="D43" s="1873" t="s">
        <v>2387</v>
      </c>
      <c r="E43" s="1877" t="s">
        <v>2388</v>
      </c>
      <c r="F43" s="1878"/>
      <c r="G43" s="1879"/>
      <c r="H43" s="1860"/>
      <c r="I43" s="1860"/>
      <c r="J43" s="1860"/>
      <c r="K43" s="1860"/>
      <c r="L43" s="1860"/>
      <c r="M43" s="1860"/>
      <c r="N43" s="1860"/>
      <c r="O43" s="1860"/>
      <c r="P43" s="1860"/>
      <c r="Q43" s="1860"/>
      <c r="R43" s="1860"/>
      <c r="S43" s="1860"/>
      <c r="T43" s="1860"/>
      <c r="U43" s="1860"/>
      <c r="V43" s="1860"/>
      <c r="W43" s="1860"/>
      <c r="X43" s="1860"/>
      <c r="Y43" s="1860"/>
    </row>
    <row r="44" spans="1:25" s="1862" customFormat="1" ht="20.100000000000001" customHeight="1">
      <c r="A44" s="1860"/>
      <c r="B44" s="1864">
        <v>39</v>
      </c>
      <c r="C44" s="1922"/>
      <c r="D44" s="1873" t="s">
        <v>2389</v>
      </c>
      <c r="E44" s="1877" t="s">
        <v>2390</v>
      </c>
      <c r="F44" s="1878"/>
      <c r="G44" s="1879"/>
      <c r="H44" s="1860"/>
      <c r="I44" s="1860"/>
      <c r="J44" s="1860"/>
      <c r="K44" s="1860"/>
      <c r="L44" s="1860"/>
      <c r="M44" s="1860"/>
      <c r="N44" s="1860"/>
      <c r="O44" s="1860"/>
      <c r="P44" s="1860"/>
      <c r="Q44" s="1860"/>
      <c r="R44" s="1860"/>
      <c r="S44" s="1860"/>
      <c r="T44" s="1860"/>
      <c r="U44" s="1860"/>
      <c r="V44" s="1860"/>
      <c r="W44" s="1860"/>
      <c r="X44" s="1860"/>
      <c r="Y44" s="1860"/>
    </row>
    <row r="45" spans="1:25" s="1865" customFormat="1" ht="20.100000000000001" customHeight="1">
      <c r="A45" s="1863"/>
      <c r="B45" s="1861">
        <v>40</v>
      </c>
      <c r="C45" s="1922">
        <v>8</v>
      </c>
      <c r="D45" s="1883" t="s">
        <v>2391</v>
      </c>
      <c r="E45" s="1901"/>
      <c r="F45" s="1878"/>
      <c r="G45" s="1879"/>
      <c r="H45" s="1860"/>
      <c r="I45" s="1860"/>
      <c r="J45" s="1860"/>
      <c r="K45" s="1860"/>
      <c r="L45" s="1860"/>
      <c r="M45" s="1863"/>
      <c r="N45" s="1863"/>
      <c r="O45" s="1863"/>
      <c r="P45" s="1863"/>
      <c r="Q45" s="1863"/>
      <c r="R45" s="1863"/>
      <c r="S45" s="1863"/>
      <c r="T45" s="1863"/>
      <c r="U45" s="1863"/>
      <c r="V45" s="1863"/>
      <c r="W45" s="1863"/>
      <c r="X45" s="1863"/>
      <c r="Y45" s="1863"/>
    </row>
    <row r="46" spans="1:25" s="1865" customFormat="1" ht="39.950000000000003" customHeight="1">
      <c r="A46" s="1863"/>
      <c r="B46" s="1864">
        <v>41</v>
      </c>
      <c r="C46" s="1922">
        <v>9</v>
      </c>
      <c r="D46" s="2297" t="s">
        <v>4474</v>
      </c>
      <c r="E46" s="2297"/>
      <c r="F46" s="1878"/>
      <c r="G46" s="1879"/>
      <c r="H46" s="1860"/>
      <c r="I46" s="1860"/>
      <c r="J46" s="1860"/>
      <c r="K46" s="1860"/>
      <c r="L46" s="1860"/>
      <c r="M46" s="1863"/>
      <c r="N46" s="1863"/>
      <c r="O46" s="1863"/>
      <c r="P46" s="1863"/>
      <c r="Q46" s="1863"/>
      <c r="R46" s="1863"/>
      <c r="S46" s="1863"/>
      <c r="T46" s="1863"/>
      <c r="U46" s="1863"/>
      <c r="V46" s="1863"/>
      <c r="W46" s="1863"/>
      <c r="X46" s="1863"/>
      <c r="Y46" s="1863"/>
    </row>
    <row r="47" spans="1:25" s="1865" customFormat="1" ht="39.950000000000003" customHeight="1">
      <c r="A47" s="1863"/>
      <c r="B47" s="1864">
        <v>42</v>
      </c>
      <c r="C47" s="1922">
        <v>10</v>
      </c>
      <c r="D47" s="2297" t="s">
        <v>4475</v>
      </c>
      <c r="E47" s="2297"/>
      <c r="F47" s="1871">
        <f>SUM(F48,F51,F54)</f>
        <v>0</v>
      </c>
      <c r="G47" s="1872">
        <f>SUM(G48,G51,G54)</f>
        <v>0</v>
      </c>
      <c r="H47" s="1860"/>
      <c r="I47" s="1860"/>
      <c r="J47" s="1860"/>
      <c r="K47" s="1860"/>
      <c r="L47" s="1860"/>
      <c r="M47" s="1863"/>
      <c r="N47" s="1863"/>
      <c r="O47" s="1863"/>
      <c r="P47" s="1863"/>
      <c r="Q47" s="1863"/>
      <c r="R47" s="1863"/>
      <c r="S47" s="1863"/>
      <c r="T47" s="1863"/>
      <c r="U47" s="1863"/>
      <c r="V47" s="1863"/>
      <c r="W47" s="1863"/>
      <c r="X47" s="1863"/>
      <c r="Y47" s="1863"/>
    </row>
    <row r="48" spans="1:25" s="1862" customFormat="1" ht="20.100000000000001" customHeight="1">
      <c r="A48" s="1860"/>
      <c r="B48" s="1861">
        <v>43</v>
      </c>
      <c r="C48" s="1924"/>
      <c r="D48" s="1873" t="s">
        <v>2393</v>
      </c>
      <c r="E48" s="1874" t="s">
        <v>2394</v>
      </c>
      <c r="F48" s="1875">
        <f>SUM(F49:F50)</f>
        <v>0</v>
      </c>
      <c r="G48" s="1876">
        <f>SUM(G49:G50)</f>
        <v>0</v>
      </c>
      <c r="H48" s="1860"/>
      <c r="I48" s="1860"/>
      <c r="J48" s="1860"/>
      <c r="K48" s="1860"/>
      <c r="L48" s="1860"/>
      <c r="M48" s="1860"/>
      <c r="N48" s="1860"/>
      <c r="O48" s="1860"/>
      <c r="P48" s="1860"/>
      <c r="Q48" s="1860"/>
      <c r="R48" s="1860"/>
      <c r="S48" s="1860"/>
      <c r="T48" s="1860"/>
      <c r="U48" s="1860"/>
      <c r="V48" s="1860"/>
      <c r="W48" s="1860"/>
      <c r="X48" s="1860"/>
      <c r="Y48" s="1860"/>
    </row>
    <row r="49" spans="1:25" s="1862" customFormat="1" ht="20.100000000000001" customHeight="1">
      <c r="A49" s="1860"/>
      <c r="B49" s="1864">
        <v>44</v>
      </c>
      <c r="C49" s="1924"/>
      <c r="D49" s="1877"/>
      <c r="E49" s="1893" t="s">
        <v>2395</v>
      </c>
      <c r="F49" s="1878"/>
      <c r="G49" s="1879"/>
      <c r="H49" s="1860"/>
      <c r="I49" s="1860"/>
      <c r="J49" s="1860"/>
      <c r="K49" s="1860"/>
      <c r="L49" s="1860"/>
      <c r="M49" s="1860"/>
      <c r="N49" s="1860"/>
      <c r="O49" s="1860"/>
      <c r="P49" s="1860"/>
      <c r="Q49" s="1860"/>
      <c r="R49" s="1860"/>
      <c r="S49" s="1860"/>
      <c r="T49" s="1860"/>
      <c r="U49" s="1860"/>
      <c r="V49" s="1860"/>
      <c r="W49" s="1860"/>
      <c r="X49" s="1860"/>
      <c r="Y49" s="1860"/>
    </row>
    <row r="50" spans="1:25" s="1862" customFormat="1" ht="20.100000000000001" customHeight="1">
      <c r="A50" s="1860"/>
      <c r="B50" s="1864">
        <v>45</v>
      </c>
      <c r="C50" s="1924"/>
      <c r="D50" s="1877"/>
      <c r="E50" s="1893" t="s">
        <v>2396</v>
      </c>
      <c r="F50" s="1878"/>
      <c r="G50" s="1879"/>
      <c r="H50" s="1860"/>
      <c r="I50" s="1860"/>
      <c r="J50" s="1860"/>
      <c r="K50" s="1860"/>
      <c r="L50" s="1860"/>
      <c r="M50" s="1860"/>
      <c r="N50" s="1860"/>
      <c r="O50" s="1860"/>
      <c r="P50" s="1860"/>
      <c r="Q50" s="1860"/>
      <c r="R50" s="1860"/>
      <c r="S50" s="1860"/>
      <c r="T50" s="1860"/>
      <c r="U50" s="1860"/>
      <c r="V50" s="1860"/>
      <c r="W50" s="1860"/>
      <c r="X50" s="1860"/>
      <c r="Y50" s="1860"/>
    </row>
    <row r="51" spans="1:25" s="1862" customFormat="1" ht="20.100000000000001" customHeight="1">
      <c r="A51" s="1860"/>
      <c r="B51" s="1861">
        <v>46</v>
      </c>
      <c r="C51" s="1924"/>
      <c r="D51" s="1873" t="s">
        <v>2397</v>
      </c>
      <c r="E51" s="1874" t="s">
        <v>2398</v>
      </c>
      <c r="F51" s="1875">
        <f>SUM(F52:F53)</f>
        <v>0</v>
      </c>
      <c r="G51" s="1876">
        <f>SUM(G52:G53)</f>
        <v>0</v>
      </c>
      <c r="H51" s="1860"/>
      <c r="I51" s="1860"/>
      <c r="J51" s="1860"/>
      <c r="K51" s="1860"/>
      <c r="L51" s="1860"/>
      <c r="M51" s="1860"/>
      <c r="N51" s="1860"/>
      <c r="O51" s="1860"/>
      <c r="P51" s="1860"/>
      <c r="Q51" s="1860"/>
      <c r="R51" s="1860"/>
      <c r="S51" s="1860"/>
      <c r="T51" s="1860"/>
      <c r="U51" s="1860"/>
      <c r="V51" s="1860"/>
      <c r="W51" s="1860"/>
      <c r="X51" s="1860"/>
      <c r="Y51" s="1860"/>
    </row>
    <row r="52" spans="1:25" s="1862" customFormat="1" ht="20.100000000000001" customHeight="1">
      <c r="A52" s="1860"/>
      <c r="B52" s="1864">
        <v>47</v>
      </c>
      <c r="C52" s="1924"/>
      <c r="D52" s="1877"/>
      <c r="E52" s="1893" t="s">
        <v>2395</v>
      </c>
      <c r="F52" s="1878"/>
      <c r="G52" s="1879"/>
      <c r="H52" s="1860"/>
      <c r="I52" s="1860"/>
      <c r="J52" s="1860"/>
      <c r="K52" s="1860"/>
      <c r="L52" s="1860"/>
      <c r="M52" s="1860"/>
      <c r="N52" s="1860"/>
      <c r="O52" s="1860"/>
      <c r="P52" s="1860"/>
      <c r="Q52" s="1860"/>
      <c r="R52" s="1860"/>
      <c r="S52" s="1860"/>
      <c r="T52" s="1860"/>
      <c r="U52" s="1860"/>
      <c r="V52" s="1860"/>
      <c r="W52" s="1860"/>
      <c r="X52" s="1860"/>
      <c r="Y52" s="1860"/>
    </row>
    <row r="53" spans="1:25" s="1862" customFormat="1" ht="20.100000000000001" customHeight="1">
      <c r="A53" s="1860"/>
      <c r="B53" s="1864">
        <v>48</v>
      </c>
      <c r="C53" s="1924"/>
      <c r="D53" s="1877"/>
      <c r="E53" s="1893" t="s">
        <v>2396</v>
      </c>
      <c r="F53" s="1878"/>
      <c r="G53" s="1879"/>
      <c r="H53" s="1860"/>
      <c r="I53" s="1860"/>
      <c r="J53" s="1860"/>
      <c r="K53" s="1860"/>
      <c r="L53" s="1860"/>
      <c r="M53" s="1860"/>
      <c r="N53" s="1860"/>
      <c r="O53" s="1860"/>
      <c r="P53" s="1860"/>
      <c r="Q53" s="1860"/>
      <c r="R53" s="1860"/>
      <c r="S53" s="1860"/>
      <c r="T53" s="1860"/>
      <c r="U53" s="1860"/>
      <c r="V53" s="1860"/>
      <c r="W53" s="1860"/>
      <c r="X53" s="1860"/>
      <c r="Y53" s="1860"/>
    </row>
    <row r="54" spans="1:25" s="1862" customFormat="1" ht="20.100000000000001" customHeight="1">
      <c r="A54" s="1860"/>
      <c r="B54" s="1861">
        <v>49</v>
      </c>
      <c r="C54" s="1925"/>
      <c r="D54" s="1873" t="s">
        <v>2399</v>
      </c>
      <c r="E54" s="1874" t="s">
        <v>2400</v>
      </c>
      <c r="F54" s="1875">
        <f>SUM(F55:F56)</f>
        <v>0</v>
      </c>
      <c r="G54" s="1876">
        <f>SUM(G55:G56)</f>
        <v>0</v>
      </c>
      <c r="H54" s="1860"/>
      <c r="I54" s="1860"/>
      <c r="J54" s="1860"/>
      <c r="K54" s="1860"/>
      <c r="L54" s="1860"/>
      <c r="M54" s="1860"/>
      <c r="N54" s="1860"/>
      <c r="O54" s="1860"/>
      <c r="P54" s="1860"/>
      <c r="Q54" s="1860"/>
      <c r="R54" s="1860"/>
      <c r="S54" s="1860"/>
      <c r="T54" s="1860"/>
      <c r="U54" s="1860"/>
      <c r="V54" s="1860"/>
      <c r="W54" s="1860"/>
      <c r="X54" s="1860"/>
      <c r="Y54" s="1860"/>
    </row>
    <row r="55" spans="1:25" s="1862" customFormat="1" ht="20.100000000000001" customHeight="1">
      <c r="A55" s="1860"/>
      <c r="B55" s="1864">
        <v>50</v>
      </c>
      <c r="C55" s="1925"/>
      <c r="D55" s="1877"/>
      <c r="E55" s="1893" t="s">
        <v>2395</v>
      </c>
      <c r="F55" s="1878"/>
      <c r="G55" s="1879"/>
      <c r="H55" s="1860"/>
      <c r="I55" s="1860"/>
      <c r="J55" s="1860"/>
      <c r="K55" s="1860"/>
      <c r="L55" s="1860"/>
      <c r="M55" s="1860"/>
      <c r="N55" s="1860"/>
      <c r="O55" s="1860"/>
      <c r="P55" s="1860"/>
      <c r="Q55" s="1860"/>
      <c r="R55" s="1860"/>
      <c r="S55" s="1860"/>
      <c r="T55" s="1860"/>
      <c r="U55" s="1860"/>
      <c r="V55" s="1860"/>
      <c r="W55" s="1860"/>
      <c r="X55" s="1860"/>
      <c r="Y55" s="1860"/>
    </row>
    <row r="56" spans="1:25" s="1862" customFormat="1" ht="20.100000000000001" customHeight="1" thickBot="1">
      <c r="A56" s="1860"/>
      <c r="B56" s="1864">
        <v>51</v>
      </c>
      <c r="C56" s="1929"/>
      <c r="D56" s="1902"/>
      <c r="E56" s="1903" t="s">
        <v>2396</v>
      </c>
      <c r="F56" s="1904"/>
      <c r="G56" s="1905"/>
      <c r="H56" s="1860"/>
      <c r="I56" s="1860"/>
      <c r="J56" s="1860"/>
      <c r="K56" s="1860"/>
      <c r="L56" s="1860"/>
      <c r="M56" s="1860"/>
      <c r="N56" s="1860"/>
      <c r="O56" s="1860"/>
      <c r="P56" s="1860"/>
      <c r="Q56" s="1860"/>
      <c r="R56" s="1860"/>
      <c r="S56" s="1860"/>
      <c r="T56" s="1860"/>
      <c r="U56" s="1860"/>
      <c r="V56" s="1860"/>
      <c r="W56" s="1860"/>
      <c r="X56" s="1860"/>
      <c r="Y56" s="1860"/>
    </row>
    <row r="57" spans="1:25" s="1865" customFormat="1" ht="55.5" customHeight="1" thickTop="1">
      <c r="A57" s="1863"/>
      <c r="B57" s="1866"/>
      <c r="C57" s="1930">
        <v>11</v>
      </c>
      <c r="D57" s="2286" t="s">
        <v>2402</v>
      </c>
      <c r="E57" s="2287"/>
      <c r="F57" s="2287"/>
      <c r="G57" s="2287"/>
      <c r="H57" s="1863"/>
      <c r="I57" s="1863"/>
      <c r="J57" s="1863"/>
      <c r="K57" s="1863"/>
      <c r="L57" s="1863"/>
      <c r="M57" s="1863"/>
      <c r="N57" s="1863"/>
      <c r="O57" s="1863"/>
      <c r="P57" s="1863"/>
      <c r="Q57" s="1863"/>
      <c r="R57" s="1863"/>
      <c r="S57" s="1863"/>
      <c r="T57" s="1863"/>
      <c r="U57" s="1863"/>
      <c r="V57" s="1863"/>
      <c r="W57" s="1863"/>
      <c r="X57" s="1863"/>
      <c r="Y57" s="1863"/>
    </row>
    <row r="58" spans="1:25" s="1865" customFormat="1" ht="39.950000000000003" customHeight="1">
      <c r="A58" s="1863"/>
      <c r="B58" s="1866"/>
      <c r="C58" s="2288"/>
      <c r="D58" s="2289"/>
      <c r="E58" s="2290"/>
      <c r="F58" s="2278" t="str">
        <f>+F4</f>
        <v>3T2025 (JUL - SET)</v>
      </c>
      <c r="G58" s="2279"/>
      <c r="H58" s="1863"/>
      <c r="I58" s="1863"/>
      <c r="J58" s="1863"/>
      <c r="K58" s="1863"/>
      <c r="L58" s="1863"/>
      <c r="M58" s="1863"/>
      <c r="N58" s="1863"/>
      <c r="O58" s="1863"/>
      <c r="P58" s="1863"/>
      <c r="Q58" s="1863"/>
      <c r="R58" s="1863"/>
      <c r="S58" s="1863"/>
      <c r="T58" s="1863"/>
      <c r="U58" s="1863"/>
      <c r="V58" s="1863"/>
      <c r="W58" s="1863"/>
      <c r="X58" s="1863"/>
      <c r="Y58" s="1863"/>
    </row>
    <row r="59" spans="1:25" s="1862" customFormat="1" ht="39.950000000000003" customHeight="1">
      <c r="A59" s="1860"/>
      <c r="B59" s="1861">
        <f>+B56+1</f>
        <v>52</v>
      </c>
      <c r="C59" s="1931"/>
      <c r="D59" s="1906" t="s">
        <v>2403</v>
      </c>
      <c r="E59" s="1907" t="s">
        <v>2404</v>
      </c>
      <c r="F59" s="2298" t="s">
        <v>2405</v>
      </c>
      <c r="G59" s="2299"/>
      <c r="H59" s="1860"/>
      <c r="I59" s="1860"/>
      <c r="J59" s="1860"/>
      <c r="K59" s="1860"/>
      <c r="L59" s="1860"/>
      <c r="M59" s="1860"/>
      <c r="N59" s="1860"/>
      <c r="O59" s="1860"/>
      <c r="P59" s="1860"/>
      <c r="Q59" s="1860"/>
      <c r="R59" s="1860"/>
      <c r="S59" s="1860"/>
      <c r="T59" s="1860"/>
      <c r="U59" s="1860"/>
      <c r="V59" s="1860"/>
      <c r="W59" s="1860"/>
      <c r="X59" s="1860"/>
      <c r="Y59" s="1860"/>
    </row>
    <row r="60" spans="1:25" s="1862" customFormat="1" ht="39.950000000000003" customHeight="1">
      <c r="A60" s="1860"/>
      <c r="B60" s="1861">
        <f>+B59+1</f>
        <v>53</v>
      </c>
      <c r="C60" s="1931"/>
      <c r="D60" s="1877" t="s">
        <v>2406</v>
      </c>
      <c r="E60" s="1908" t="s">
        <v>2407</v>
      </c>
      <c r="F60" s="2293" t="s">
        <v>2405</v>
      </c>
      <c r="G60" s="2294"/>
      <c r="H60" s="1860"/>
      <c r="I60" s="1860"/>
      <c r="J60" s="1860"/>
      <c r="K60" s="1860"/>
      <c r="L60" s="1860"/>
      <c r="M60" s="1860"/>
      <c r="N60" s="1860"/>
      <c r="O60" s="1860"/>
      <c r="P60" s="1860"/>
      <c r="Q60" s="1860"/>
      <c r="R60" s="1860"/>
      <c r="S60" s="1860"/>
      <c r="T60" s="1860"/>
      <c r="U60" s="1860"/>
      <c r="V60" s="1860"/>
      <c r="W60" s="1860"/>
      <c r="X60" s="1860"/>
      <c r="Y60" s="1860"/>
    </row>
    <row r="61" spans="1:25" s="1862" customFormat="1" ht="39.950000000000003" customHeight="1">
      <c r="A61" s="1860"/>
      <c r="B61" s="1861">
        <f>+B60+1</f>
        <v>54</v>
      </c>
      <c r="C61" s="1931"/>
      <c r="D61" s="1877" t="s">
        <v>2408</v>
      </c>
      <c r="E61" s="1908" t="s">
        <v>2409</v>
      </c>
      <c r="F61" s="2293" t="s">
        <v>2405</v>
      </c>
      <c r="G61" s="2294"/>
      <c r="H61" s="1860"/>
      <c r="I61" s="1860"/>
      <c r="J61" s="1860"/>
      <c r="K61" s="1860"/>
      <c r="L61" s="1860"/>
      <c r="M61" s="1860"/>
      <c r="N61" s="1860"/>
      <c r="O61" s="1860"/>
      <c r="P61" s="1860"/>
      <c r="Q61" s="1860"/>
      <c r="R61" s="1860"/>
      <c r="S61" s="1860"/>
      <c r="T61" s="1860"/>
      <c r="U61" s="1860"/>
      <c r="V61" s="1860"/>
      <c r="W61" s="1860"/>
      <c r="X61" s="1860"/>
      <c r="Y61" s="1860"/>
    </row>
    <row r="62" spans="1:25" s="1862" customFormat="1" ht="39.950000000000003" customHeight="1" thickBot="1">
      <c r="A62" s="1860"/>
      <c r="B62" s="1867"/>
      <c r="C62" s="1932"/>
      <c r="D62" s="1868" t="s">
        <v>4476</v>
      </c>
      <c r="E62" s="1868"/>
      <c r="F62" s="2276"/>
      <c r="G62" s="2277"/>
      <c r="H62" s="1860"/>
      <c r="I62" s="1860"/>
      <c r="J62" s="1860"/>
      <c r="K62" s="1860"/>
      <c r="L62" s="1860"/>
      <c r="M62" s="1860"/>
      <c r="N62" s="1860"/>
      <c r="O62" s="1860"/>
      <c r="P62" s="1860"/>
      <c r="Q62" s="1860"/>
      <c r="R62" s="1860"/>
      <c r="S62" s="1860"/>
      <c r="T62" s="1860"/>
      <c r="U62" s="1860"/>
      <c r="V62" s="1860"/>
      <c r="W62" s="1860"/>
      <c r="X62" s="1860"/>
      <c r="Y62" s="1860"/>
    </row>
    <row r="63" spans="1:25" s="1865" customFormat="1" ht="27.75" customHeight="1" thickTop="1">
      <c r="A63" s="1860"/>
      <c r="B63" s="1867"/>
      <c r="C63" s="1933">
        <v>12</v>
      </c>
      <c r="D63" s="2291" t="s">
        <v>2411</v>
      </c>
      <c r="E63" s="2291"/>
      <c r="F63" s="2292"/>
      <c r="G63" s="2292"/>
      <c r="H63" s="1863"/>
      <c r="I63" s="1863"/>
      <c r="J63" s="1863"/>
      <c r="K63" s="1863"/>
      <c r="L63" s="1863"/>
      <c r="M63" s="1863"/>
      <c r="N63" s="1863"/>
      <c r="O63" s="1863"/>
      <c r="P63" s="1863"/>
      <c r="Q63" s="1863"/>
      <c r="R63" s="1863"/>
      <c r="S63" s="1863"/>
      <c r="T63" s="1863"/>
      <c r="U63" s="1863"/>
      <c r="V63" s="1863"/>
      <c r="W63" s="1863"/>
      <c r="X63" s="1863"/>
      <c r="Y63" s="1863"/>
    </row>
    <row r="64" spans="1:25" s="1865" customFormat="1" ht="20.100000000000001" customHeight="1">
      <c r="A64" s="1863"/>
      <c r="B64" s="1866"/>
      <c r="C64" s="1934"/>
      <c r="D64" s="1909" t="s">
        <v>2318</v>
      </c>
      <c r="F64" s="1910"/>
      <c r="G64" s="1869"/>
      <c r="H64" s="1863"/>
      <c r="I64" s="1863"/>
      <c r="J64" s="1863"/>
      <c r="K64" s="1863"/>
      <c r="L64" s="1863"/>
      <c r="M64" s="1863"/>
      <c r="N64" s="1863"/>
      <c r="O64" s="1863"/>
      <c r="P64" s="1863"/>
      <c r="Q64" s="1863"/>
      <c r="R64" s="1863"/>
      <c r="S64" s="1863"/>
      <c r="T64" s="1863"/>
      <c r="U64" s="1863"/>
      <c r="V64" s="1863"/>
      <c r="W64" s="1863"/>
      <c r="X64" s="1863"/>
      <c r="Y64" s="1863"/>
    </row>
    <row r="65" spans="1:25" s="1865" customFormat="1" ht="30" customHeight="1">
      <c r="A65" s="1863"/>
      <c r="B65" s="1866"/>
      <c r="C65" s="2280"/>
      <c r="D65" s="2281"/>
      <c r="E65" s="2282"/>
      <c r="F65" s="2278" t="str">
        <f>+F4</f>
        <v>3T2025 (JUL - SET)</v>
      </c>
      <c r="G65" s="2279"/>
      <c r="H65" s="1863"/>
      <c r="I65" s="1863"/>
      <c r="J65" s="1863"/>
      <c r="K65" s="1863"/>
      <c r="L65" s="1863"/>
      <c r="M65" s="1863"/>
      <c r="N65" s="1863"/>
      <c r="O65" s="1863"/>
      <c r="P65" s="1863"/>
      <c r="Q65" s="1863"/>
      <c r="R65" s="1863"/>
      <c r="S65" s="1863"/>
      <c r="T65" s="1863"/>
      <c r="U65" s="1863"/>
      <c r="V65" s="1863"/>
      <c r="W65" s="1863"/>
      <c r="X65" s="1863"/>
      <c r="Y65" s="1863"/>
    </row>
    <row r="66" spans="1:25" s="1865" customFormat="1" ht="37.5" customHeight="1">
      <c r="A66" s="1863"/>
      <c r="B66" s="1866"/>
      <c r="C66" s="2283"/>
      <c r="D66" s="2284"/>
      <c r="E66" s="2285"/>
      <c r="F66" s="1911" t="s">
        <v>2341</v>
      </c>
      <c r="G66" s="1912" t="s">
        <v>2342</v>
      </c>
      <c r="H66" s="1863"/>
      <c r="I66" s="1863"/>
      <c r="J66" s="1863"/>
      <c r="K66" s="1863"/>
      <c r="L66" s="1863"/>
      <c r="M66" s="1863"/>
      <c r="N66" s="1863"/>
      <c r="O66" s="1863"/>
      <c r="P66" s="1863"/>
      <c r="Q66" s="1863"/>
      <c r="R66" s="1863"/>
      <c r="S66" s="1863"/>
      <c r="T66" s="1863"/>
      <c r="U66" s="1863"/>
      <c r="V66" s="1863"/>
      <c r="W66" s="1863"/>
      <c r="X66" s="1863"/>
      <c r="Y66" s="1863"/>
    </row>
    <row r="67" spans="1:25" s="1865" customFormat="1" ht="20.100000000000001" customHeight="1">
      <c r="A67" s="1863"/>
      <c r="B67" s="1864">
        <f>+B61+1</f>
        <v>55</v>
      </c>
      <c r="C67" s="1935"/>
      <c r="D67" s="1913" t="s">
        <v>2412</v>
      </c>
      <c r="F67" s="1871">
        <f>SUM(F68:F70)</f>
        <v>0</v>
      </c>
      <c r="G67" s="1872">
        <f>SUM(G68:G70)</f>
        <v>0</v>
      </c>
      <c r="H67" s="1863"/>
      <c r="I67" s="1863"/>
      <c r="J67" s="1863"/>
      <c r="K67" s="1863"/>
      <c r="L67" s="1863"/>
      <c r="M67" s="1863"/>
      <c r="N67" s="1863"/>
      <c r="O67" s="1863"/>
      <c r="P67" s="1863"/>
      <c r="Q67" s="1863"/>
      <c r="R67" s="1863"/>
      <c r="S67" s="1863"/>
      <c r="T67" s="1863"/>
      <c r="U67" s="1863"/>
      <c r="V67" s="1863"/>
      <c r="W67" s="1863"/>
      <c r="X67" s="1863"/>
      <c r="Y67" s="1863"/>
    </row>
    <row r="68" spans="1:25" s="1865" customFormat="1" ht="20.100000000000001" customHeight="1">
      <c r="A68" s="1863"/>
      <c r="B68" s="1864">
        <f>+B67+1</f>
        <v>56</v>
      </c>
      <c r="C68" s="1931"/>
      <c r="D68" s="1877" t="s">
        <v>2413</v>
      </c>
      <c r="E68" s="1908" t="s">
        <v>2414</v>
      </c>
      <c r="F68" s="1878"/>
      <c r="G68" s="1879"/>
      <c r="H68" s="1863"/>
      <c r="I68" s="1863"/>
      <c r="J68" s="1863"/>
      <c r="K68" s="1863"/>
      <c r="L68" s="1863"/>
      <c r="M68" s="1863"/>
      <c r="N68" s="1863"/>
      <c r="O68" s="1863"/>
      <c r="P68" s="1863"/>
      <c r="Q68" s="1863"/>
      <c r="R68" s="1863"/>
      <c r="S68" s="1863"/>
      <c r="T68" s="1863"/>
      <c r="U68" s="1863"/>
      <c r="V68" s="1863"/>
      <c r="W68" s="1863"/>
      <c r="X68" s="1863"/>
      <c r="Y68" s="1863"/>
    </row>
    <row r="69" spans="1:25" s="1865" customFormat="1" ht="20.100000000000001" customHeight="1">
      <c r="A69" s="1863"/>
      <c r="B69" s="1864">
        <f>+B68+1</f>
        <v>57</v>
      </c>
      <c r="C69" s="1931"/>
      <c r="D69" s="1877" t="s">
        <v>2415</v>
      </c>
      <c r="E69" s="1908" t="s">
        <v>2416</v>
      </c>
      <c r="F69" s="1878"/>
      <c r="G69" s="1879"/>
      <c r="H69" s="1863"/>
      <c r="I69" s="1863"/>
      <c r="J69" s="1863"/>
      <c r="K69" s="1863"/>
      <c r="L69" s="1863"/>
      <c r="M69" s="1863"/>
      <c r="N69" s="1863"/>
      <c r="O69" s="1863"/>
      <c r="P69" s="1863"/>
      <c r="Q69" s="1863"/>
      <c r="R69" s="1863"/>
      <c r="S69" s="1863"/>
      <c r="T69" s="1863"/>
      <c r="U69" s="1863"/>
      <c r="V69" s="1863"/>
      <c r="W69" s="1863"/>
      <c r="X69" s="1863"/>
      <c r="Y69" s="1863"/>
    </row>
    <row r="70" spans="1:25" s="1865" customFormat="1" ht="20.100000000000001" customHeight="1" thickBot="1">
      <c r="A70" s="1863"/>
      <c r="B70" s="1864">
        <f>+B69+1</f>
        <v>58</v>
      </c>
      <c r="C70" s="1932"/>
      <c r="D70" s="1902" t="s">
        <v>2417</v>
      </c>
      <c r="E70" s="1914" t="s">
        <v>2418</v>
      </c>
      <c r="F70" s="1915"/>
      <c r="G70" s="1916"/>
      <c r="H70" s="1863"/>
      <c r="I70" s="1863"/>
      <c r="J70" s="1863"/>
      <c r="K70" s="1863"/>
      <c r="L70" s="1863"/>
      <c r="M70" s="1863"/>
      <c r="N70" s="1863"/>
      <c r="O70" s="1863"/>
      <c r="P70" s="1863"/>
      <c r="Q70" s="1863"/>
      <c r="R70" s="1863"/>
      <c r="S70" s="1863"/>
      <c r="T70" s="1863"/>
      <c r="U70" s="1863"/>
      <c r="V70" s="1863"/>
      <c r="W70" s="1863"/>
      <c r="X70" s="1863"/>
      <c r="Y70" s="1863"/>
    </row>
    <row r="71" spans="1:25" s="1865" customFormat="1" thickTop="1">
      <c r="A71" s="1863"/>
      <c r="B71" s="1863"/>
      <c r="C71" s="1936"/>
      <c r="F71" s="1870"/>
      <c r="G71" s="1870"/>
      <c r="H71" s="1863"/>
      <c r="I71" s="1863"/>
      <c r="J71" s="1863"/>
      <c r="K71" s="1863"/>
      <c r="L71" s="1863"/>
      <c r="M71" s="1863"/>
      <c r="N71" s="1863"/>
      <c r="O71" s="1863"/>
      <c r="P71" s="1863"/>
      <c r="Q71" s="1863"/>
      <c r="R71" s="1863"/>
      <c r="S71" s="1863"/>
      <c r="T71" s="1863"/>
      <c r="U71" s="1863"/>
      <c r="V71" s="1863"/>
      <c r="W71" s="1863"/>
      <c r="X71" s="1863"/>
      <c r="Y71" s="1863"/>
    </row>
  </sheetData>
  <sheetProtection sheet="1" objects="1" scenarios="1"/>
  <dataConsolidate/>
  <mergeCells count="14">
    <mergeCell ref="F4:G4"/>
    <mergeCell ref="D6:E6"/>
    <mergeCell ref="D46:E46"/>
    <mergeCell ref="D47:E47"/>
    <mergeCell ref="F60:G60"/>
    <mergeCell ref="F59:G59"/>
    <mergeCell ref="F62:G62"/>
    <mergeCell ref="F65:G65"/>
    <mergeCell ref="C65:E66"/>
    <mergeCell ref="D57:G57"/>
    <mergeCell ref="F58:G58"/>
    <mergeCell ref="C58:E58"/>
    <mergeCell ref="D63:G63"/>
    <mergeCell ref="F61:G61"/>
  </mergeCells>
  <dataValidations count="2">
    <dataValidation operator="greaterThan" allowBlank="1" showErrorMessage="1" errorTitle="Valor Incorrecto" error="Elija solo entre las opciones mostradas." sqref="F60:G61" xr:uid="{00000000-0002-0000-0A00-000000000000}"/>
    <dataValidation operator="greaterThan" allowBlank="1" showErrorMessage="1" sqref="F59:G59" xr:uid="{00000000-0002-0000-0A00-000001000000}"/>
  </dataValidations>
  <printOptions horizontalCentered="1"/>
  <pageMargins left="0.19685039370078741" right="0.19685039370078741" top="0.35433070866141736" bottom="0.31496062992125984" header="0" footer="0"/>
  <pageSetup paperSize="9" scale="61" fitToHeight="2" orientation="portrait" r:id="rId1"/>
  <headerFooter alignWithMargins="0">
    <oddHeader>&amp;R&amp;16&amp;A</oddHeader>
    <oddFooter>&amp;L&amp;14&amp;D&amp;C&amp;14&amp;F&amp;R&amp;18&amp;A</oddFooter>
  </headerFooter>
  <rowBreaks count="1" manualBreakCount="1">
    <brk id="36" min="2" max="12" man="1"/>
  </rowBreaks>
  <ignoredErrors>
    <ignoredError sqref="G25" unlockedFormula="1"/>
  </ignoredErrors>
  <drawing r:id="rId2"/>
  <legacyDrawing r:id="rId3"/>
  <controls>
    <mc:AlternateContent xmlns:mc="http://schemas.openxmlformats.org/markup-compatibility/2006">
      <mc:Choice Requires="x14">
        <control shapeId="225293" r:id="rId4" name="TextBox1">
          <controlPr defaultSize="0" autoLine="0" linkedCell="Base_Servicios!G37" r:id="rId5">
            <anchor moveWithCells="1">
              <from>
                <xdr:col>4</xdr:col>
                <xdr:colOff>2943225</xdr:colOff>
                <xdr:row>40</xdr:row>
                <xdr:rowOff>47625</xdr:rowOff>
              </from>
              <to>
                <xdr:col>4</xdr:col>
                <xdr:colOff>7715250</xdr:colOff>
                <xdr:row>40</xdr:row>
                <xdr:rowOff>342900</xdr:rowOff>
              </to>
            </anchor>
          </controlPr>
        </control>
      </mc:Choice>
      <mc:Fallback>
        <control shapeId="225293" r:id="rId4" name="TextBox1"/>
      </mc:Fallback>
    </mc:AlternateContent>
    <mc:AlternateContent xmlns:mc="http://schemas.openxmlformats.org/markup-compatibility/2006">
      <mc:Choice Requires="x14">
        <control shapeId="225294" r:id="rId6" name="ComboBox1">
          <controlPr defaultSize="0" autoLine="0" linkedCell="F59" listFillRange="Opciones" r:id="rId7">
            <anchor moveWithCells="1">
              <from>
                <xdr:col>5</xdr:col>
                <xdr:colOff>38100</xdr:colOff>
                <xdr:row>58</xdr:row>
                <xdr:rowOff>47625</xdr:rowOff>
              </from>
              <to>
                <xdr:col>6</xdr:col>
                <xdr:colOff>895350</xdr:colOff>
                <xdr:row>58</xdr:row>
                <xdr:rowOff>333375</xdr:rowOff>
              </to>
            </anchor>
          </controlPr>
        </control>
      </mc:Choice>
      <mc:Fallback>
        <control shapeId="225294" r:id="rId6" name="ComboBox1"/>
      </mc:Fallback>
    </mc:AlternateContent>
    <mc:AlternateContent xmlns:mc="http://schemas.openxmlformats.org/markup-compatibility/2006">
      <mc:Choice Requires="x14">
        <control shapeId="225296" r:id="rId8" name="ComboBox3">
          <controlPr defaultSize="0" autoLine="0" linkedCell="F60" listFillRange="Opciones" r:id="rId9">
            <anchor moveWithCells="1">
              <from>
                <xdr:col>5</xdr:col>
                <xdr:colOff>38100</xdr:colOff>
                <xdr:row>59</xdr:row>
                <xdr:rowOff>47625</xdr:rowOff>
              </from>
              <to>
                <xdr:col>6</xdr:col>
                <xdr:colOff>895350</xdr:colOff>
                <xdr:row>59</xdr:row>
                <xdr:rowOff>333375</xdr:rowOff>
              </to>
            </anchor>
          </controlPr>
        </control>
      </mc:Choice>
      <mc:Fallback>
        <control shapeId="225296" r:id="rId8" name="ComboBox3"/>
      </mc:Fallback>
    </mc:AlternateContent>
    <mc:AlternateContent xmlns:mc="http://schemas.openxmlformats.org/markup-compatibility/2006">
      <mc:Choice Requires="x14">
        <control shapeId="225297" r:id="rId10" name="ComboBox4">
          <controlPr defaultSize="0" autoLine="0" linkedCell="F61" listFillRange="Opciones" r:id="rId11">
            <anchor moveWithCells="1">
              <from>
                <xdr:col>5</xdr:col>
                <xdr:colOff>38100</xdr:colOff>
                <xdr:row>60</xdr:row>
                <xdr:rowOff>47625</xdr:rowOff>
              </from>
              <to>
                <xdr:col>6</xdr:col>
                <xdr:colOff>895350</xdr:colOff>
                <xdr:row>60</xdr:row>
                <xdr:rowOff>333375</xdr:rowOff>
              </to>
            </anchor>
          </controlPr>
        </control>
      </mc:Choice>
      <mc:Fallback>
        <control shapeId="225297" r:id="rId10" name="ComboBox4"/>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50">
    <tabColor rgb="FF002060"/>
    <pageSetUpPr fitToPage="1"/>
  </sheetPr>
  <dimension ref="A1:U109"/>
  <sheetViews>
    <sheetView showGridLines="0" topLeftCell="E3" zoomScale="55" zoomScaleNormal="55" workbookViewId="0">
      <pane xSplit="1" ySplit="4" topLeftCell="F7" activePane="bottomRight" state="frozen"/>
      <selection activeCell="H11" sqref="H11:XFD11"/>
      <selection pane="topRight" activeCell="H11" sqref="H11:XFD11"/>
      <selection pane="bottomLeft" activeCell="H11" sqref="H11:XFD11"/>
      <selection pane="bottomRight" activeCell="I46" sqref="I46:I47"/>
    </sheetView>
  </sheetViews>
  <sheetFormatPr baseColWidth="10" defaultColWidth="11.42578125" defaultRowHeight="15.75"/>
  <cols>
    <col min="1" max="1" width="12.5703125" style="3" hidden="1" customWidth="1"/>
    <col min="2" max="2" width="24.28515625" style="3" hidden="1" customWidth="1"/>
    <col min="3" max="3" width="18.42578125" style="1" hidden="1" customWidth="1"/>
    <col min="4" max="4" width="23" style="1" hidden="1" customWidth="1"/>
    <col min="5" max="5" width="6.28515625" style="518" customWidth="1"/>
    <col min="6" max="6" width="22.28515625" style="1" customWidth="1"/>
    <col min="7" max="7" width="83.7109375" style="1" customWidth="1"/>
    <col min="8" max="14" width="24" style="1" customWidth="1"/>
    <col min="15" max="21" width="11.42578125" style="518"/>
    <col min="22" max="16384" width="11.42578125" style="1"/>
  </cols>
  <sheetData>
    <row r="1" spans="1:21" ht="31.5" customHeight="1">
      <c r="F1" s="537" t="s">
        <v>2253</v>
      </c>
      <c r="G1" s="537"/>
      <c r="H1" s="538" t="s">
        <v>2254</v>
      </c>
      <c r="I1" s="538" t="s">
        <v>2255</v>
      </c>
      <c r="J1" s="538" t="s">
        <v>2256</v>
      </c>
      <c r="K1" s="538" t="s">
        <v>2257</v>
      </c>
      <c r="L1" s="538" t="s">
        <v>2258</v>
      </c>
      <c r="M1" s="538" t="s">
        <v>2259</v>
      </c>
      <c r="N1" s="538" t="s">
        <v>2419</v>
      </c>
      <c r="O1" s="97"/>
    </row>
    <row r="3" spans="1:21" s="97" customFormat="1" ht="12" customHeight="1">
      <c r="B3" s="98"/>
      <c r="C3" s="98"/>
      <c r="D3" s="98"/>
      <c r="F3" s="178"/>
      <c r="G3" s="178"/>
      <c r="H3" s="179"/>
      <c r="I3" s="180"/>
      <c r="J3" s="180"/>
      <c r="K3" s="178"/>
      <c r="L3" s="180"/>
      <c r="M3" s="180"/>
      <c r="N3" s="180"/>
    </row>
    <row r="4" spans="1:21" s="97" customFormat="1" ht="35.25">
      <c r="B4" s="98"/>
      <c r="C4" s="98"/>
      <c r="D4" s="98"/>
      <c r="F4" s="162" t="str">
        <f ca="1">$C$9&amp;"  Derechos en instrumentos de deuda con no residentes y depósitos en moneda extranjera"</f>
        <v>Tabla II.  Derechos en instrumentos de deuda con no residentes y depósitos en moneda extranjera</v>
      </c>
      <c r="G4" s="160"/>
      <c r="H4" s="160"/>
      <c r="I4" s="161"/>
      <c r="J4" s="160"/>
      <c r="K4" s="160"/>
      <c r="L4" s="160"/>
      <c r="M4" s="160"/>
      <c r="N4" s="160"/>
    </row>
    <row r="5" spans="1:21" s="97" customFormat="1" ht="36.75" customHeight="1">
      <c r="B5" s="98"/>
      <c r="C5" s="98"/>
      <c r="D5" s="98"/>
      <c r="F5" s="169" t="s">
        <v>2420</v>
      </c>
      <c r="G5" s="160"/>
      <c r="H5" s="160"/>
      <c r="I5" s="168"/>
      <c r="J5" s="168"/>
      <c r="K5" s="168"/>
      <c r="L5" s="160"/>
      <c r="M5" s="160"/>
      <c r="N5" s="160"/>
    </row>
    <row r="6" spans="1:21" s="97" customFormat="1" ht="42" customHeight="1">
      <c r="B6" s="98"/>
      <c r="C6" s="98"/>
      <c r="D6" s="98"/>
      <c r="F6" s="2300" t="s">
        <v>2421</v>
      </c>
      <c r="G6" s="2300"/>
      <c r="H6" s="2300"/>
      <c r="I6" s="2300"/>
      <c r="J6" s="2300"/>
      <c r="K6" s="2300"/>
      <c r="L6" s="2300"/>
      <c r="M6" s="2300"/>
      <c r="N6" s="2300"/>
    </row>
    <row r="7" spans="1:21" s="518" customFormat="1" ht="8.25" customHeight="1">
      <c r="A7" s="519"/>
      <c r="B7" s="519"/>
      <c r="F7" s="156"/>
      <c r="G7" s="97"/>
      <c r="H7" s="617"/>
      <c r="I7" s="97"/>
      <c r="J7" s="97"/>
      <c r="K7" s="97"/>
      <c r="L7" s="97"/>
      <c r="M7" s="97"/>
      <c r="N7" s="97"/>
      <c r="O7" s="97"/>
    </row>
    <row r="8" spans="1:21" s="518" customFormat="1" ht="36" customHeight="1" thickBot="1">
      <c r="A8" s="519"/>
      <c r="B8" s="519"/>
      <c r="F8" s="158" t="str">
        <f>"Parte A. Sobre empresas no residentes relacionadas "&amp;D68&amp;"/"</f>
        <v>Parte A. Sobre empresas no residentes relacionadas 1/</v>
      </c>
      <c r="G8" s="618"/>
      <c r="H8" s="618"/>
      <c r="I8" s="618"/>
      <c r="J8" s="618"/>
      <c r="K8" s="618"/>
      <c r="L8" s="618"/>
      <c r="M8" s="160"/>
      <c r="N8" s="618"/>
    </row>
    <row r="9" spans="1:21" s="1987" customFormat="1" ht="36" customHeight="1" thickTop="1" thickBot="1">
      <c r="A9" s="1985"/>
      <c r="B9" s="1985"/>
      <c r="C9" s="1986" t="str">
        <f ca="1">RIGHT(CELL("nombrearchivo",$A$1),LEN(CELL("nombrearchivo",$A$1))-SEARCH("]",CELL("nombrearchivo",$A$1)))</f>
        <v>Tabla II.</v>
      </c>
      <c r="F9" s="2318" t="s">
        <v>2422</v>
      </c>
      <c r="G9" s="2319"/>
      <c r="H9" s="2301" t="s">
        <v>2423</v>
      </c>
      <c r="I9" s="2309"/>
      <c r="J9" s="2309"/>
      <c r="K9" s="2309"/>
      <c r="L9" s="2302"/>
      <c r="M9" s="2301" t="s">
        <v>2424</v>
      </c>
      <c r="N9" s="2302"/>
    </row>
    <row r="10" spans="1:21" s="1461" customFormat="1" ht="51" customHeight="1" thickTop="1" thickBot="1">
      <c r="A10" s="1988"/>
      <c r="B10" s="1988"/>
      <c r="C10" s="2310" t="str">
        <f ca="1">RIGHT(CELL("nombrearchivo",$A$1),LEN(CELL("nombrearchivo",$A$1))-SEARCH("]",CELL("nombrearchivo",$A$1)))</f>
        <v>Tabla II.</v>
      </c>
      <c r="D10" s="2311"/>
      <c r="E10" s="1987"/>
      <c r="F10" s="2320"/>
      <c r="G10" s="2321"/>
      <c r="H10" s="2314" t="str">
        <f>CONCATENATE("SALDO A FINES DE"," ",Menu!F3," ",IF(TRIM&gt;1,Menu!C3,Menu!C3-1))</f>
        <v>SALDO A FINES DE JUNIO 2025</v>
      </c>
      <c r="I10" s="2316" t="str">
        <f>CONCATENATE("TRANSACCIONES DEL
 ",Menu!D3,"T",Menu!C3," ",Menu!E4)</f>
        <v>TRANSACCIONES DEL
 3T2025 (JUL - SET)</v>
      </c>
      <c r="J10" s="2317"/>
      <c r="K10" s="2303" t="str">
        <f>"Variaciones por tipo de cambio ú otros (+ , -)  "&amp;$D$36&amp;"/"</f>
        <v>Variaciones por tipo de cambio ú otros (+ , -)  7/</v>
      </c>
      <c r="L10" s="2307" t="str">
        <f>CONCATENATE("SALDO A FINES DE"," ",Menu!E3," ",Menu!C3)</f>
        <v>SALDO A FINES DE SETIEMBRE 2025</v>
      </c>
      <c r="M10" s="2305" t="str">
        <f>CONCATENATE("Transacciones (movimiento) del ",Menu!D3,"T",Menu!C3," ",Menu!E4)</f>
        <v>Transacciones (movimiento) del 3T2025 (JUL - SET)</v>
      </c>
      <c r="N10" s="2306"/>
      <c r="O10" s="1987"/>
      <c r="P10" s="1987"/>
      <c r="Q10" s="1987"/>
      <c r="R10" s="1987"/>
      <c r="S10" s="1987"/>
      <c r="T10" s="1987"/>
      <c r="U10" s="1987"/>
    </row>
    <row r="11" spans="1:21" s="1460" customFormat="1" ht="91.5" customHeight="1" thickTop="1" thickBot="1">
      <c r="A11" s="1455"/>
      <c r="B11" s="1455"/>
      <c r="C11" s="2312"/>
      <c r="D11" s="2313"/>
      <c r="E11" s="904"/>
      <c r="F11" s="2320"/>
      <c r="G11" s="2321"/>
      <c r="H11" s="2315"/>
      <c r="I11" s="1989" t="s">
        <v>2425</v>
      </c>
      <c r="J11" s="1989" t="s">
        <v>2426</v>
      </c>
      <c r="K11" s="2304"/>
      <c r="L11" s="2308"/>
      <c r="M11" s="1990" t="s">
        <v>2427</v>
      </c>
      <c r="N11" s="1991" t="s">
        <v>2428</v>
      </c>
      <c r="O11" s="904"/>
      <c r="P11" s="904"/>
      <c r="Q11" s="904"/>
      <c r="R11" s="904"/>
      <c r="S11" s="904"/>
      <c r="T11" s="904"/>
      <c r="U11" s="904"/>
    </row>
    <row r="12" spans="1:21" s="1460" customFormat="1" ht="38.25" customHeight="1" thickBot="1">
      <c r="A12" s="1455" t="s">
        <v>2261</v>
      </c>
      <c r="B12" s="1455" t="s">
        <v>2262</v>
      </c>
      <c r="C12" s="1950" t="s">
        <v>2171</v>
      </c>
      <c r="D12" s="1951" t="s">
        <v>2172</v>
      </c>
      <c r="E12" s="904"/>
      <c r="F12" s="2322"/>
      <c r="G12" s="2323"/>
      <c r="H12" s="1992" t="s">
        <v>2266</v>
      </c>
      <c r="I12" s="1993" t="s">
        <v>2267</v>
      </c>
      <c r="J12" s="1993" t="s">
        <v>2268</v>
      </c>
      <c r="K12" s="1994" t="s">
        <v>2269</v>
      </c>
      <c r="L12" s="1995" t="s">
        <v>2429</v>
      </c>
      <c r="M12" s="1993" t="s">
        <v>2271</v>
      </c>
      <c r="N12" s="1996" t="s">
        <v>2430</v>
      </c>
      <c r="O12" s="904"/>
      <c r="P12" s="904"/>
      <c r="Q12" s="904"/>
      <c r="R12" s="904"/>
      <c r="S12" s="904"/>
      <c r="T12" s="904"/>
      <c r="U12" s="904"/>
    </row>
    <row r="13" spans="1:21" ht="39.950000000000003" customHeight="1" thickTop="1">
      <c r="A13" s="623">
        <v>1</v>
      </c>
      <c r="B13" s="624" t="s">
        <v>2272</v>
      </c>
      <c r="C13" s="625"/>
      <c r="D13" s="626" t="str">
        <f>CONCATENATE("0",A13,B13)</f>
        <v>01.01.</v>
      </c>
      <c r="E13" s="102"/>
      <c r="F13" s="627" t="str">
        <f>+D13</f>
        <v>01.01.</v>
      </c>
      <c r="G13" s="140" t="str">
        <f>"1.  SOBRE INVERSIONISTAS DIRECTOS "&amp;$D$29&amp;"/"</f>
        <v>1.  SOBRE INVERSIONISTAS DIRECTOS 2/</v>
      </c>
      <c r="H13" s="358">
        <f>SUM(H14,H15)</f>
        <v>0</v>
      </c>
      <c r="I13" s="359">
        <f>SUM(I14,I15)</f>
        <v>0</v>
      </c>
      <c r="J13" s="359">
        <f>SUM(J14,J15)</f>
        <v>0</v>
      </c>
      <c r="K13" s="360">
        <f>SUM(K14,K15)</f>
        <v>0</v>
      </c>
      <c r="L13" s="335">
        <f>+H13+I13-J13+K13</f>
        <v>0</v>
      </c>
      <c r="M13" s="359">
        <f>SUM(M14,M15)</f>
        <v>0</v>
      </c>
      <c r="N13" s="361">
        <f>SUM(N14,N15)</f>
        <v>0</v>
      </c>
      <c r="O13" s="411"/>
    </row>
    <row r="14" spans="1:21" ht="20.100000000000001" customHeight="1">
      <c r="A14" s="628">
        <f t="shared" ref="A14:A25" si="0">+A13</f>
        <v>1</v>
      </c>
      <c r="B14" s="629" t="s">
        <v>2431</v>
      </c>
      <c r="C14" s="630" t="s">
        <v>2432</v>
      </c>
      <c r="D14" s="631" t="str">
        <f t="shared" ref="D14:D60" si="1">CONCATENATE("0",A14,B14)</f>
        <v>01.01.00.01.</v>
      </c>
      <c r="E14" s="102"/>
      <c r="F14" s="632" t="str">
        <f t="shared" ref="F14:F25" si="2">+D14</f>
        <v>01.01.00.01.</v>
      </c>
      <c r="G14" s="1523" t="str">
        <f>"a. Largo plazo "&amp;$D$32&amp;"/"</f>
        <v>a. Largo plazo 3/</v>
      </c>
      <c r="H14" s="312"/>
      <c r="I14" s="313"/>
      <c r="J14" s="313"/>
      <c r="K14" s="1524"/>
      <c r="L14" s="633">
        <f t="shared" ref="L14:L25" si="3">+H14+I14-J14+K14</f>
        <v>0</v>
      </c>
      <c r="M14" s="313"/>
      <c r="N14" s="314"/>
      <c r="O14" s="411"/>
    </row>
    <row r="15" spans="1:21" ht="20.100000000000001" customHeight="1">
      <c r="A15" s="628">
        <f t="shared" si="0"/>
        <v>1</v>
      </c>
      <c r="B15" s="629" t="s">
        <v>2433</v>
      </c>
      <c r="C15" s="634" t="s">
        <v>2434</v>
      </c>
      <c r="D15" s="1555" t="str">
        <f t="shared" si="1"/>
        <v>01.01.00.02.</v>
      </c>
      <c r="E15" s="102"/>
      <c r="F15" s="635" t="str">
        <f t="shared" si="2"/>
        <v>01.01.00.02.</v>
      </c>
      <c r="G15" s="138" t="str">
        <f>"b. Corto plazo "&amp;$D$33&amp;"/"</f>
        <v>b. Corto plazo 4/</v>
      </c>
      <c r="H15" s="315"/>
      <c r="I15" s="316"/>
      <c r="J15" s="316"/>
      <c r="K15" s="317"/>
      <c r="L15" s="636">
        <f t="shared" si="3"/>
        <v>0</v>
      </c>
      <c r="M15" s="316"/>
      <c r="N15" s="318"/>
      <c r="O15" s="411"/>
    </row>
    <row r="16" spans="1:21" ht="39.950000000000003" customHeight="1">
      <c r="A16" s="623">
        <f t="shared" si="0"/>
        <v>1</v>
      </c>
      <c r="B16" s="624" t="s">
        <v>2302</v>
      </c>
      <c r="C16" s="637"/>
      <c r="D16" s="638" t="str">
        <f>CONCATENATE("0",A16,B16)</f>
        <v>01.02.</v>
      </c>
      <c r="E16" s="102"/>
      <c r="F16" s="639" t="str">
        <f t="shared" si="2"/>
        <v>01.02.</v>
      </c>
      <c r="G16" s="141" t="str">
        <f>"2.  SOBRE EMPRESAS DE INVERSIÓN DIRECTA "&amp;$D$29&amp;"/ "&amp;$D$34&amp;"/"</f>
        <v>2.  SOBRE EMPRESAS DE INVERSIÓN DIRECTA 2/ 5/</v>
      </c>
      <c r="H16" s="345">
        <f>SUM(H17,H18)</f>
        <v>0</v>
      </c>
      <c r="I16" s="346">
        <f>SUM(I17,I18)</f>
        <v>0</v>
      </c>
      <c r="J16" s="346">
        <f>SUM(J17,J18)</f>
        <v>0</v>
      </c>
      <c r="K16" s="347">
        <f>SUM(K17,K18)</f>
        <v>0</v>
      </c>
      <c r="L16" s="337">
        <f t="shared" si="3"/>
        <v>0</v>
      </c>
      <c r="M16" s="346">
        <f>SUM(M17,M18)</f>
        <v>0</v>
      </c>
      <c r="N16" s="362">
        <f>SUM(N17,N18)</f>
        <v>0</v>
      </c>
      <c r="O16" s="411"/>
    </row>
    <row r="17" spans="1:21" ht="20.100000000000001" customHeight="1">
      <c r="A17" s="628">
        <f t="shared" si="0"/>
        <v>1</v>
      </c>
      <c r="B17" s="629" t="s">
        <v>2435</v>
      </c>
      <c r="C17" s="630" t="s">
        <v>2436</v>
      </c>
      <c r="D17" s="631" t="str">
        <f t="shared" si="1"/>
        <v>01.02.00.01.</v>
      </c>
      <c r="E17" s="102"/>
      <c r="F17" s="632" t="str">
        <f t="shared" si="2"/>
        <v>01.02.00.01.</v>
      </c>
      <c r="G17" s="1523" t="str">
        <f>"a. Largo plazo "&amp;$D$32&amp;"/"</f>
        <v>a. Largo plazo 3/</v>
      </c>
      <c r="H17" s="312"/>
      <c r="I17" s="313"/>
      <c r="J17" s="313"/>
      <c r="K17" s="1524"/>
      <c r="L17" s="633">
        <f t="shared" si="3"/>
        <v>0</v>
      </c>
      <c r="M17" s="313"/>
      <c r="N17" s="314"/>
      <c r="O17" s="411"/>
    </row>
    <row r="18" spans="1:21" ht="20.100000000000001" customHeight="1">
      <c r="A18" s="628">
        <f t="shared" si="0"/>
        <v>1</v>
      </c>
      <c r="B18" s="629" t="s">
        <v>2437</v>
      </c>
      <c r="C18" s="1556" t="s">
        <v>2438</v>
      </c>
      <c r="D18" s="1557" t="str">
        <f t="shared" si="1"/>
        <v>01.02.00.02.</v>
      </c>
      <c r="E18" s="102"/>
      <c r="F18" s="1558" t="str">
        <f t="shared" si="2"/>
        <v>01.02.00.02.</v>
      </c>
      <c r="G18" s="138" t="str">
        <f>"b. Corto plazo "&amp;$D$33&amp;"/"</f>
        <v>b. Corto plazo 4/</v>
      </c>
      <c r="H18" s="1559"/>
      <c r="I18" s="1560"/>
      <c r="J18" s="1560"/>
      <c r="K18" s="1560"/>
      <c r="L18" s="1561">
        <f t="shared" si="3"/>
        <v>0</v>
      </c>
      <c r="M18" s="1560"/>
      <c r="N18" s="1560"/>
      <c r="O18" s="411"/>
    </row>
    <row r="19" spans="1:21" ht="39.950000000000003" customHeight="1">
      <c r="A19" s="623">
        <f t="shared" si="0"/>
        <v>1</v>
      </c>
      <c r="B19" s="624" t="s">
        <v>2439</v>
      </c>
      <c r="C19" s="637"/>
      <c r="D19" s="638" t="str">
        <f>CONCATENATE("0",A19,B19)</f>
        <v>01.03.</v>
      </c>
      <c r="E19" s="102"/>
      <c r="F19" s="639" t="str">
        <f t="shared" si="2"/>
        <v>01.03.</v>
      </c>
      <c r="G19" s="141" t="str">
        <f>"3.  SOBRE EMPARENTADAS, SI MATRIZ COMÚN QUE EJERCE EL CONTROL FINAL
     RESIDE EN EL EXTERIOR " &amp;D29&amp;"/ "&amp;D35&amp;"/ "</f>
        <v xml:space="preserve">3.  SOBRE EMPARENTADAS, SI MATRIZ COMÚN QUE EJERCE EL CONTROL FINAL
     RESIDE EN EL EXTERIOR 2/ 6/ </v>
      </c>
      <c r="H19" s="345">
        <f>SUM(H20,H21)</f>
        <v>0</v>
      </c>
      <c r="I19" s="346">
        <f>SUM(I20,I21)</f>
        <v>0</v>
      </c>
      <c r="J19" s="346">
        <f>SUM(J20,J21)</f>
        <v>0</v>
      </c>
      <c r="K19" s="347">
        <f>SUM(K20,K21)</f>
        <v>0</v>
      </c>
      <c r="L19" s="337">
        <f t="shared" si="3"/>
        <v>0</v>
      </c>
      <c r="M19" s="346">
        <f>SUM(M20,M21)</f>
        <v>0</v>
      </c>
      <c r="N19" s="362">
        <f>SUM(N20,N21)</f>
        <v>0</v>
      </c>
      <c r="O19" s="411"/>
    </row>
    <row r="20" spans="1:21" ht="20.100000000000001" customHeight="1">
      <c r="A20" s="628">
        <f t="shared" si="0"/>
        <v>1</v>
      </c>
      <c r="B20" s="629" t="s">
        <v>2440</v>
      </c>
      <c r="C20" s="630" t="s">
        <v>2436</v>
      </c>
      <c r="D20" s="631" t="str">
        <f t="shared" si="1"/>
        <v>01.03.00.01.</v>
      </c>
      <c r="E20" s="102"/>
      <c r="F20" s="632" t="str">
        <f t="shared" si="2"/>
        <v>01.03.00.01.</v>
      </c>
      <c r="G20" s="1523" t="str">
        <f>"a. Largo plazo "&amp;$D$32&amp;"/"</f>
        <v>a. Largo plazo 3/</v>
      </c>
      <c r="H20" s="312"/>
      <c r="I20" s="313"/>
      <c r="J20" s="313"/>
      <c r="K20" s="1524"/>
      <c r="L20" s="633">
        <f t="shared" si="3"/>
        <v>0</v>
      </c>
      <c r="M20" s="313"/>
      <c r="N20" s="314"/>
      <c r="O20" s="411"/>
    </row>
    <row r="21" spans="1:21" ht="20.100000000000001" customHeight="1">
      <c r="A21" s="628">
        <f t="shared" si="0"/>
        <v>1</v>
      </c>
      <c r="B21" s="629" t="s">
        <v>2441</v>
      </c>
      <c r="C21" s="634" t="s">
        <v>2438</v>
      </c>
      <c r="D21" s="1555" t="str">
        <f t="shared" si="1"/>
        <v>01.03.00.02.</v>
      </c>
      <c r="E21" s="102"/>
      <c r="F21" s="1558" t="str">
        <f t="shared" si="2"/>
        <v>01.03.00.02.</v>
      </c>
      <c r="G21" s="138" t="str">
        <f>"b. Corto plazo "&amp;$D$33&amp;"/"</f>
        <v>b. Corto plazo 4/</v>
      </c>
      <c r="H21" s="1562"/>
      <c r="I21" s="1563"/>
      <c r="J21" s="1563"/>
      <c r="K21" s="1564"/>
      <c r="L21" s="1565">
        <f t="shared" si="3"/>
        <v>0</v>
      </c>
      <c r="M21" s="1563"/>
      <c r="N21" s="1566"/>
      <c r="O21" s="411"/>
    </row>
    <row r="22" spans="1:21" ht="39.950000000000003" customHeight="1">
      <c r="A22" s="623">
        <f t="shared" si="0"/>
        <v>1</v>
      </c>
      <c r="B22" s="624" t="s">
        <v>2442</v>
      </c>
      <c r="C22" s="637"/>
      <c r="D22" s="638" t="str">
        <f>CONCATENATE("0",A22,B22)</f>
        <v>01.04.</v>
      </c>
      <c r="E22" s="102"/>
      <c r="F22" s="639" t="str">
        <f t="shared" si="2"/>
        <v>01.04.</v>
      </c>
      <c r="G22" s="141" t="str">
        <f>"4.  SOBRE EMPARENTADAS, SI MATRIZ COMÚN QUE EJERCE EL CONTROL FINAL
     RESIDE EN EL PAÍS " &amp;D29&amp;"/ "&amp;D35&amp;"/ "</f>
        <v xml:space="preserve">4.  SOBRE EMPARENTADAS, SI MATRIZ COMÚN QUE EJERCE EL CONTROL FINAL
     RESIDE EN EL PAÍS 2/ 6/ </v>
      </c>
      <c r="H22" s="345">
        <f>SUM(H23,H24)</f>
        <v>0</v>
      </c>
      <c r="I22" s="346">
        <f>SUM(I23,I24)</f>
        <v>0</v>
      </c>
      <c r="J22" s="346">
        <f>SUM(J23,J24)</f>
        <v>0</v>
      </c>
      <c r="K22" s="347">
        <f>SUM(K23,K24)</f>
        <v>0</v>
      </c>
      <c r="L22" s="337">
        <f t="shared" si="3"/>
        <v>0</v>
      </c>
      <c r="M22" s="346">
        <f>SUM(M23,M24)</f>
        <v>0</v>
      </c>
      <c r="N22" s="362">
        <f>SUM(N23,N24)</f>
        <v>0</v>
      </c>
      <c r="O22" s="411"/>
    </row>
    <row r="23" spans="1:21" ht="20.100000000000001" customHeight="1">
      <c r="A23" s="628">
        <f t="shared" si="0"/>
        <v>1</v>
      </c>
      <c r="B23" s="629" t="s">
        <v>2443</v>
      </c>
      <c r="C23" s="630" t="s">
        <v>2436</v>
      </c>
      <c r="D23" s="631" t="str">
        <f t="shared" si="1"/>
        <v>01.04.00.01.</v>
      </c>
      <c r="E23" s="102"/>
      <c r="F23" s="632" t="str">
        <f t="shared" si="2"/>
        <v>01.04.00.01.</v>
      </c>
      <c r="G23" s="1523" t="str">
        <f>"a. Largo plazo "&amp;$D$32&amp;"/"</f>
        <v>a. Largo plazo 3/</v>
      </c>
      <c r="H23" s="312"/>
      <c r="I23" s="313"/>
      <c r="J23" s="313"/>
      <c r="K23" s="1524"/>
      <c r="L23" s="633">
        <f t="shared" si="3"/>
        <v>0</v>
      </c>
      <c r="M23" s="313"/>
      <c r="N23" s="314"/>
      <c r="O23" s="411"/>
    </row>
    <row r="24" spans="1:21" ht="20.100000000000001" customHeight="1" thickBot="1">
      <c r="A24" s="628">
        <f t="shared" si="0"/>
        <v>1</v>
      </c>
      <c r="B24" s="629" t="s">
        <v>2444</v>
      </c>
      <c r="C24" s="634" t="s">
        <v>2438</v>
      </c>
      <c r="D24" s="1555" t="str">
        <f t="shared" si="1"/>
        <v>01.04.00.02.</v>
      </c>
      <c r="E24" s="102"/>
      <c r="F24" s="1558" t="str">
        <f t="shared" si="2"/>
        <v>01.04.00.02.</v>
      </c>
      <c r="G24" s="138" t="str">
        <f>"b. Corto plazo "&amp;$D$33&amp;"/"</f>
        <v>b. Corto plazo 4/</v>
      </c>
      <c r="H24" s="1562"/>
      <c r="I24" s="1563"/>
      <c r="J24" s="1563"/>
      <c r="K24" s="1564"/>
      <c r="L24" s="1567">
        <f t="shared" si="3"/>
        <v>0</v>
      </c>
      <c r="M24" s="1563"/>
      <c r="N24" s="1566"/>
      <c r="O24" s="411"/>
    </row>
    <row r="25" spans="1:21" s="1100" customFormat="1" ht="21.75" thickTop="1" thickBot="1">
      <c r="A25" s="1954">
        <f t="shared" si="0"/>
        <v>1</v>
      </c>
      <c r="B25" s="1955" t="s">
        <v>2307</v>
      </c>
      <c r="C25" s="1956"/>
      <c r="D25" s="1957" t="str">
        <f>CONCATENATE("0",A25,B25)</f>
        <v>01.99.</v>
      </c>
      <c r="E25" s="1952"/>
      <c r="F25" s="1958" t="str">
        <f t="shared" si="2"/>
        <v>01.99.</v>
      </c>
      <c r="G25" s="1959" t="s">
        <v>2445</v>
      </c>
      <c r="H25" s="1960">
        <f>SUM(H13,H16,H19,H22)</f>
        <v>0</v>
      </c>
      <c r="I25" s="1961">
        <f>SUM(I13,I16,I19,I22)</f>
        <v>0</v>
      </c>
      <c r="J25" s="1961">
        <f>SUM(J13,J16,J19,J22)</f>
        <v>0</v>
      </c>
      <c r="K25" s="1962">
        <f>SUM(K13,K16,K19,K22)</f>
        <v>0</v>
      </c>
      <c r="L25" s="1963">
        <f t="shared" si="3"/>
        <v>0</v>
      </c>
      <c r="M25" s="1961">
        <f>SUM(M13,M16,M19,M22)</f>
        <v>0</v>
      </c>
      <c r="N25" s="1964">
        <f>SUM(N13,N16,N19,N22)</f>
        <v>0</v>
      </c>
      <c r="O25" s="1953"/>
      <c r="P25" s="1949"/>
      <c r="Q25" s="1949"/>
      <c r="R25" s="1949"/>
      <c r="S25" s="1949"/>
      <c r="T25" s="1949"/>
      <c r="U25" s="1949"/>
    </row>
    <row r="26" spans="1:21" ht="13.5" customHeight="1" thickBot="1">
      <c r="A26" s="643"/>
      <c r="B26" s="643"/>
      <c r="C26" s="644"/>
      <c r="D26" s="645"/>
      <c r="E26" s="134"/>
      <c r="F26" s="646"/>
      <c r="G26" s="138"/>
      <c r="H26" s="647"/>
      <c r="I26" s="647"/>
      <c r="J26" s="647"/>
      <c r="K26" s="647"/>
      <c r="L26" s="139"/>
      <c r="M26" s="647"/>
      <c r="N26" s="647"/>
    </row>
    <row r="27" spans="1:21" s="1947" customFormat="1" ht="15" customHeight="1" thickTop="1">
      <c r="A27" s="1946"/>
      <c r="B27" s="1946"/>
      <c r="E27" s="2040"/>
      <c r="F27" s="2041" t="s">
        <v>2446</v>
      </c>
      <c r="G27" s="2042"/>
      <c r="H27" s="2042"/>
      <c r="I27" s="2042"/>
      <c r="J27" s="2043"/>
      <c r="K27" s="2043"/>
      <c r="L27" s="2043"/>
      <c r="M27" s="2043"/>
      <c r="N27" s="2044"/>
    </row>
    <row r="28" spans="1:21" s="1947" customFormat="1" ht="15" customHeight="1">
      <c r="A28" s="1946"/>
      <c r="B28" s="1946"/>
      <c r="D28" s="1965">
        <v>1</v>
      </c>
      <c r="E28" s="2040"/>
      <c r="F28" s="2045" t="str">
        <f>D28&amp;"/"&amp;" Empresas con las cuales la empresa declarante tiene un vínculo de propiedad de inversión directa, inmediato o indirecto, o comparte con ellas un inversionista directo común (propietario)."</f>
        <v>1/ Empresas con las cuales la empresa declarante tiene un vínculo de propiedad de inversión directa, inmediato o indirecto, o comparte con ellas un inversionista directo común (propietario).</v>
      </c>
      <c r="G28" s="2046"/>
      <c r="H28" s="2046"/>
      <c r="I28" s="2046"/>
      <c r="J28" s="2047"/>
      <c r="K28" s="2047"/>
      <c r="L28" s="2047"/>
      <c r="M28" s="2047"/>
      <c r="N28" s="2048"/>
    </row>
    <row r="29" spans="1:21" s="1947" customFormat="1" ht="15" customHeight="1">
      <c r="A29" s="1946"/>
      <c r="B29" s="1946"/>
      <c r="D29" s="1965">
        <f>COUNTA($D$28:D28)+1</f>
        <v>2</v>
      </c>
      <c r="F29" s="2045" t="str">
        <f>D29&amp;"/"&amp; " Posiciones activas por créditos y anticipos comerciales, préstamos y títulos de deuda (tenencias de bonos)."</f>
        <v>2/ Posiciones activas por créditos y anticipos comerciales, préstamos y títulos de deuda (tenencias de bonos).</v>
      </c>
      <c r="G29" s="2046"/>
      <c r="H29" s="2046"/>
      <c r="I29" s="2046"/>
      <c r="J29" s="2047"/>
      <c r="K29" s="2047"/>
      <c r="L29" s="2047"/>
      <c r="M29" s="2047"/>
      <c r="N29" s="2048"/>
    </row>
    <row r="30" spans="1:21" s="1947" customFormat="1" ht="15" customHeight="1">
      <c r="A30" s="1946"/>
      <c r="B30" s="1946"/>
      <c r="D30" s="1965"/>
      <c r="F30" s="2049" t="s">
        <v>2447</v>
      </c>
      <c r="G30" s="2046"/>
      <c r="H30" s="2046"/>
      <c r="I30" s="2046"/>
      <c r="J30" s="2047"/>
      <c r="K30" s="2047"/>
      <c r="L30" s="2047"/>
      <c r="M30" s="2047"/>
      <c r="N30" s="2048"/>
    </row>
    <row r="31" spans="1:21" s="1947" customFormat="1" ht="15" customHeight="1">
      <c r="A31" s="1946"/>
      <c r="B31" s="1946"/>
      <c r="D31" s="1965"/>
      <c r="F31" s="2045" t="s">
        <v>2448</v>
      </c>
      <c r="G31" s="2046"/>
      <c r="H31" s="2046"/>
      <c r="I31" s="2046"/>
      <c r="J31" s="2047"/>
      <c r="K31" s="2047"/>
      <c r="L31" s="2047"/>
      <c r="M31" s="2047"/>
      <c r="N31" s="2048"/>
    </row>
    <row r="32" spans="1:21" s="1947" customFormat="1" ht="15" customHeight="1">
      <c r="A32" s="1946"/>
      <c r="B32" s="1946"/>
      <c r="D32" s="1965">
        <f>COUNTA($D$28:D29)+1</f>
        <v>3</v>
      </c>
      <c r="F32" s="2045" t="str">
        <f>D32&amp;"/"&amp; " Cuyo plazo de vencimiento original es mayor de un año o no está determinado."</f>
        <v>3/ Cuyo plazo de vencimiento original es mayor de un año o no está determinado.</v>
      </c>
      <c r="G32" s="2046"/>
      <c r="H32" s="2046"/>
      <c r="I32" s="2046"/>
      <c r="J32" s="2047"/>
      <c r="K32" s="2047"/>
      <c r="L32" s="2047"/>
      <c r="M32" s="2047"/>
      <c r="N32" s="2048"/>
    </row>
    <row r="33" spans="1:21" s="1947" customFormat="1" ht="15" customHeight="1">
      <c r="A33" s="1946"/>
      <c r="B33" s="1946"/>
      <c r="D33" s="1965">
        <f>COUNTA($D$28:D32)+1</f>
        <v>4</v>
      </c>
      <c r="F33" s="2045" t="str">
        <f>D33&amp;"/"&amp; " Cuyo plazo de vencimiento original es igual o menor a un año."</f>
        <v>4/ Cuyo plazo de vencimiento original es igual o menor a un año.</v>
      </c>
      <c r="G33" s="2046"/>
      <c r="H33" s="2046"/>
      <c r="I33" s="2046"/>
      <c r="J33" s="2047"/>
      <c r="K33" s="2047"/>
      <c r="L33" s="2047"/>
      <c r="M33" s="2047"/>
      <c r="N33" s="2048"/>
    </row>
    <row r="34" spans="1:21" s="1947" customFormat="1" ht="15" customHeight="1">
      <c r="A34" s="1946"/>
      <c r="B34" s="1946"/>
      <c r="D34" s="1965">
        <f>COUNTA($D$28:D33)+1</f>
        <v>5</v>
      </c>
      <c r="F34" s="2045" t="str">
        <f>D34&amp;"/"&amp; " Posiciones activas sobre empresas de inversión directa no residentes, por créditos y anticipos comerciales, préstamos y títulos de deuda (tenencias de bonos)."</f>
        <v>5/ Posiciones activas sobre empresas de inversión directa no residentes, por créditos y anticipos comerciales, préstamos y títulos de deuda (tenencias de bonos).</v>
      </c>
      <c r="G34" s="2046"/>
      <c r="H34" s="2046"/>
      <c r="I34" s="2046"/>
      <c r="J34" s="2047"/>
      <c r="K34" s="2047"/>
      <c r="L34" s="2047"/>
      <c r="M34" s="2047"/>
      <c r="N34" s="2048"/>
    </row>
    <row r="35" spans="1:21" s="1947" customFormat="1" ht="15" customHeight="1">
      <c r="A35" s="1946"/>
      <c r="B35" s="1946"/>
      <c r="D35" s="1965">
        <f>COUNTA($D$28:D34)+1</f>
        <v>6</v>
      </c>
      <c r="F35" s="2045" t="str">
        <f>D35&amp;"/"&amp; " Posiciones activas sobre empresas con las que se comparte, en algún punto de la cadena de propiedad, un propietario común con una relación de inversión directa (inmediata o indirecta)."</f>
        <v>6/ Posiciones activas sobre empresas con las que se comparte, en algún punto de la cadena de propiedad, un propietario común con una relación de inversión directa (inmediata o indirecta).</v>
      </c>
      <c r="G35" s="2046"/>
      <c r="H35" s="2046"/>
      <c r="I35" s="2046"/>
      <c r="J35" s="2047"/>
      <c r="K35" s="2047"/>
      <c r="L35" s="2047"/>
      <c r="M35" s="2047"/>
      <c r="N35" s="2048"/>
    </row>
    <row r="36" spans="1:21" s="1947" customFormat="1" ht="15" customHeight="1" thickBot="1">
      <c r="A36" s="1946"/>
      <c r="B36" s="1946"/>
      <c r="D36" s="1965">
        <f>COUNTA($D$28:D35)+1</f>
        <v>7</v>
      </c>
      <c r="F36" s="2050" t="str">
        <f>D36&amp;"/"&amp;" Por variaciones de precios, del tipo de cambio ú otras que no representan un acuerdo de partes (por ejemplo, cancelación de deudas por incobrables)."</f>
        <v>7/ Por variaciones de precios, del tipo de cambio ú otras que no representan un acuerdo de partes (por ejemplo, cancelación de deudas por incobrables).</v>
      </c>
      <c r="G36" s="2051"/>
      <c r="H36" s="2051"/>
      <c r="I36" s="2051"/>
      <c r="J36" s="2052"/>
      <c r="K36" s="2052"/>
      <c r="L36" s="2052"/>
      <c r="M36" s="2052"/>
      <c r="N36" s="2053"/>
    </row>
    <row r="37" spans="1:21" ht="24" thickTop="1">
      <c r="A37" s="643"/>
      <c r="B37" s="643"/>
      <c r="C37" s="644"/>
      <c r="D37" s="519"/>
      <c r="E37" s="134"/>
      <c r="F37" s="646"/>
      <c r="G37" s="138"/>
      <c r="H37" s="647"/>
      <c r="I37" s="647"/>
      <c r="J37" s="647"/>
      <c r="K37" s="647"/>
      <c r="L37" s="139"/>
      <c r="M37" s="647"/>
      <c r="N37" s="647"/>
    </row>
    <row r="38" spans="1:21" ht="13.5" customHeight="1">
      <c r="A38" s="643"/>
      <c r="B38" s="643"/>
      <c r="C38" s="644"/>
      <c r="D38" s="645"/>
      <c r="E38" s="134"/>
      <c r="F38" s="658"/>
      <c r="G38" s="659"/>
      <c r="H38" s="660"/>
      <c r="I38" s="660"/>
      <c r="J38" s="660"/>
      <c r="K38" s="660"/>
      <c r="L38" s="661"/>
      <c r="M38" s="660"/>
      <c r="N38" s="660"/>
    </row>
    <row r="39" spans="1:21" ht="39" thickBot="1">
      <c r="A39" s="643"/>
      <c r="B39" s="643"/>
      <c r="C39" s="644"/>
      <c r="D39" s="645"/>
      <c r="E39" s="134"/>
      <c r="F39" s="158" t="s">
        <v>2449</v>
      </c>
      <c r="G39" s="662"/>
      <c r="H39" s="663"/>
      <c r="I39" s="663"/>
      <c r="J39" s="663"/>
      <c r="K39" s="663"/>
      <c r="L39" s="664"/>
      <c r="M39" s="663"/>
      <c r="N39" s="663"/>
    </row>
    <row r="40" spans="1:21" s="1987" customFormat="1" ht="36" customHeight="1" thickTop="1" thickBot="1">
      <c r="A40" s="1985"/>
      <c r="B40" s="1985"/>
      <c r="C40" s="1480" t="s">
        <v>2450</v>
      </c>
      <c r="F40" s="2318" t="s">
        <v>2451</v>
      </c>
      <c r="G40" s="2319"/>
      <c r="H40" s="2301" t="s">
        <v>2423</v>
      </c>
      <c r="I40" s="2309"/>
      <c r="J40" s="2309"/>
      <c r="K40" s="2309"/>
      <c r="L40" s="2302"/>
      <c r="M40" s="2301" t="s">
        <v>2424</v>
      </c>
      <c r="N40" s="2302"/>
    </row>
    <row r="41" spans="1:21" s="1461" customFormat="1" ht="52.5" customHeight="1" thickTop="1" thickBot="1">
      <c r="A41" s="1988"/>
      <c r="B41" s="1988"/>
      <c r="C41" s="2310" t="str">
        <f ca="1">RIGHT(CELL("nombrearchivo",$A$1),LEN(CELL("nombrearchivo",$A$1))-SEARCH("]",CELL("nombrearchivo",$A$1)))</f>
        <v>Tabla II.</v>
      </c>
      <c r="D41" s="2311"/>
      <c r="E41" s="1987"/>
      <c r="F41" s="2320"/>
      <c r="G41" s="2321"/>
      <c r="H41" s="2314" t="str">
        <f>+H10</f>
        <v>SALDO A FINES DE JUNIO 2025</v>
      </c>
      <c r="I41" s="2316" t="str">
        <f>+I10</f>
        <v>TRANSACCIONES DEL
 3T2025 (JUL - SET)</v>
      </c>
      <c r="J41" s="2317"/>
      <c r="K41" s="2303" t="str">
        <f>"Variaciones por tipo de cambio ú otros (+ , -)  "&amp;$D$75&amp;"/"</f>
        <v>Variaciones por tipo de cambio ú otros (+ , -)  7/</v>
      </c>
      <c r="L41" s="2307" t="str">
        <f>+L10</f>
        <v>SALDO A FINES DE SETIEMBRE 2025</v>
      </c>
      <c r="M41" s="2305" t="str">
        <f>+M10</f>
        <v>Transacciones (movimiento) del 3T2025 (JUL - SET)</v>
      </c>
      <c r="N41" s="2306"/>
      <c r="O41" s="1987"/>
      <c r="P41" s="1987"/>
      <c r="Q41" s="1987"/>
      <c r="R41" s="1987"/>
      <c r="S41" s="1987"/>
      <c r="T41" s="1987"/>
      <c r="U41" s="1987"/>
    </row>
    <row r="42" spans="1:21" s="1460" customFormat="1" ht="73.5" thickTop="1" thickBot="1">
      <c r="A42" s="1455"/>
      <c r="B42" s="1455"/>
      <c r="C42" s="2312"/>
      <c r="D42" s="2313"/>
      <c r="E42" s="904"/>
      <c r="F42" s="2320"/>
      <c r="G42" s="2321"/>
      <c r="H42" s="2315"/>
      <c r="I42" s="1989" t="s">
        <v>2425</v>
      </c>
      <c r="J42" s="1989" t="s">
        <v>2426</v>
      </c>
      <c r="K42" s="2304"/>
      <c r="L42" s="2308"/>
      <c r="M42" s="1990" t="str">
        <f>+M11</f>
        <v>COBRADOS</v>
      </c>
      <c r="N42" s="1991" t="str">
        <f>+N11</f>
        <v>DEVENGADOS</v>
      </c>
      <c r="O42" s="904"/>
      <c r="P42" s="904"/>
      <c r="Q42" s="904"/>
      <c r="R42" s="904"/>
      <c r="S42" s="904"/>
      <c r="T42" s="904"/>
      <c r="U42" s="904"/>
    </row>
    <row r="43" spans="1:21" s="1460" customFormat="1" ht="38.25" customHeight="1" thickBot="1">
      <c r="A43" s="1455" t="s">
        <v>2261</v>
      </c>
      <c r="B43" s="1455" t="s">
        <v>2262</v>
      </c>
      <c r="C43" s="1950" t="s">
        <v>2171</v>
      </c>
      <c r="D43" s="1951" t="s">
        <v>2172</v>
      </c>
      <c r="E43" s="904"/>
      <c r="F43" s="2322"/>
      <c r="G43" s="2323"/>
      <c r="H43" s="1992" t="s">
        <v>2266</v>
      </c>
      <c r="I43" s="1993" t="s">
        <v>2267</v>
      </c>
      <c r="J43" s="1993" t="s">
        <v>2268</v>
      </c>
      <c r="K43" s="1994" t="s">
        <v>2269</v>
      </c>
      <c r="L43" s="1995" t="s">
        <v>2429</v>
      </c>
      <c r="M43" s="1993" t="s">
        <v>2271</v>
      </c>
      <c r="N43" s="1996" t="s">
        <v>2430</v>
      </c>
      <c r="O43" s="904"/>
      <c r="P43" s="904"/>
      <c r="Q43" s="904"/>
      <c r="R43" s="904"/>
      <c r="S43" s="904"/>
      <c r="T43" s="904"/>
      <c r="U43" s="904"/>
    </row>
    <row r="44" spans="1:21" s="1100" customFormat="1" ht="39.950000000000003" customHeight="1">
      <c r="A44" s="1997">
        <f>+A25+1</f>
        <v>2</v>
      </c>
      <c r="B44" s="1998" t="s">
        <v>2272</v>
      </c>
      <c r="C44" s="1999" t="s">
        <v>2452</v>
      </c>
      <c r="D44" s="2000" t="str">
        <f t="shared" si="1"/>
        <v>02.01.</v>
      </c>
      <c r="E44" s="2001"/>
      <c r="F44" s="1967" t="str">
        <f>+D44</f>
        <v>02.01.</v>
      </c>
      <c r="G44" s="1968" t="str">
        <f>"A. ACTIVOS DE DEUDA DISTINTOS DE BONOS  Y DEPÓSITOS"</f>
        <v>A. ACTIVOS DE DEUDA DISTINTOS DE BONOS  Y DEPÓSITOS</v>
      </c>
      <c r="H44" s="2002">
        <f>SUM(H45,H48,H51)</f>
        <v>0</v>
      </c>
      <c r="I44" s="2003">
        <f>SUM(I45,I48,I51)</f>
        <v>0</v>
      </c>
      <c r="J44" s="2003">
        <f>SUM(J45,J48,J51)</f>
        <v>0</v>
      </c>
      <c r="K44" s="2004">
        <f>SUM(K45,K48,K51)</f>
        <v>0</v>
      </c>
      <c r="L44" s="2005">
        <f t="shared" ref="L44:L60" si="4">+H44+I44-J44+K44</f>
        <v>0</v>
      </c>
      <c r="M44" s="2003">
        <f>SUM(M45,M48,M51)</f>
        <v>0</v>
      </c>
      <c r="N44" s="2006">
        <f>SUM(N45,N48,N51)</f>
        <v>0</v>
      </c>
      <c r="O44" s="1953"/>
      <c r="P44" s="1949"/>
      <c r="Q44" s="1949"/>
      <c r="R44" s="1949"/>
      <c r="S44" s="1949"/>
      <c r="T44" s="1949"/>
      <c r="U44" s="1949"/>
    </row>
    <row r="45" spans="1:21" s="1948" customFormat="1" ht="20.100000000000001" customHeight="1">
      <c r="A45" s="2007">
        <f t="shared" ref="A45:A60" si="5">+A44</f>
        <v>2</v>
      </c>
      <c r="B45" s="2008" t="s">
        <v>2320</v>
      </c>
      <c r="C45" s="2009"/>
      <c r="D45" s="2010" t="str">
        <f t="shared" si="1"/>
        <v>02.01.01.</v>
      </c>
      <c r="E45" s="2001"/>
      <c r="F45" s="1969" t="str">
        <f t="shared" ref="F45:F60" si="6">+D45</f>
        <v>02.01.01.</v>
      </c>
      <c r="G45" s="1970" t="str">
        <f>"1.  CRÉDITOS Y ANTICIPOS COMERCIALES "&amp;D68&amp; "/"</f>
        <v>1.  CRÉDITOS Y ANTICIPOS COMERCIALES 1/</v>
      </c>
      <c r="H45" s="2011">
        <f>SUM(H46,H47)</f>
        <v>0</v>
      </c>
      <c r="I45" s="2012">
        <f>SUM(I46,I47)</f>
        <v>0</v>
      </c>
      <c r="J45" s="2012">
        <f>SUM(J46,J47)</f>
        <v>0</v>
      </c>
      <c r="K45" s="2013">
        <f>SUM(K46,K47)</f>
        <v>0</v>
      </c>
      <c r="L45" s="2014">
        <f t="shared" si="4"/>
        <v>0</v>
      </c>
      <c r="M45" s="2012">
        <f>SUM(M46,M47)</f>
        <v>0</v>
      </c>
      <c r="N45" s="2015">
        <f>SUM(N46,N47)</f>
        <v>0</v>
      </c>
      <c r="O45" s="1953"/>
      <c r="P45" s="1947"/>
      <c r="Q45" s="1947"/>
      <c r="R45" s="1947"/>
      <c r="S45" s="1947"/>
      <c r="T45" s="1947"/>
      <c r="U45" s="1947"/>
    </row>
    <row r="46" spans="1:21" s="1948" customFormat="1" ht="20.100000000000001" customHeight="1">
      <c r="A46" s="2007">
        <f t="shared" si="5"/>
        <v>2</v>
      </c>
      <c r="B46" s="2016" t="s">
        <v>2321</v>
      </c>
      <c r="C46" s="2017" t="s">
        <v>2453</v>
      </c>
      <c r="D46" s="2018" t="str">
        <f t="shared" si="1"/>
        <v>02.01.01.01.</v>
      </c>
      <c r="E46" s="2001"/>
      <c r="F46" s="1971" t="str">
        <f t="shared" si="6"/>
        <v>02.01.01.01.</v>
      </c>
      <c r="G46" s="2019" t="str">
        <f>"a. Largo plazo "&amp;$D$70&amp;"/"</f>
        <v>a. Largo plazo 2/</v>
      </c>
      <c r="H46" s="2020"/>
      <c r="I46" s="2021"/>
      <c r="J46" s="2021"/>
      <c r="K46" s="2021"/>
      <c r="L46" s="2022">
        <f t="shared" si="4"/>
        <v>0</v>
      </c>
      <c r="M46" s="2021"/>
      <c r="N46" s="2023"/>
      <c r="O46" s="1953"/>
      <c r="P46" s="1947"/>
      <c r="Q46" s="1947"/>
      <c r="R46" s="1947"/>
      <c r="S46" s="1947"/>
      <c r="T46" s="1947"/>
      <c r="U46" s="1947"/>
    </row>
    <row r="47" spans="1:21" s="1948" customFormat="1" ht="20.100000000000001" customHeight="1">
      <c r="A47" s="2007">
        <f t="shared" si="5"/>
        <v>2</v>
      </c>
      <c r="B47" s="2016" t="s">
        <v>2323</v>
      </c>
      <c r="C47" s="2024" t="s">
        <v>2454</v>
      </c>
      <c r="D47" s="2025" t="str">
        <f t="shared" si="1"/>
        <v>02.01.01.02.</v>
      </c>
      <c r="E47" s="2001"/>
      <c r="F47" s="1971" t="str">
        <f t="shared" si="6"/>
        <v>02.01.01.02.</v>
      </c>
      <c r="G47" s="2019" t="str">
        <f>"b. Corto plazo "&amp;$D$71&amp;"/"</f>
        <v>b. Corto plazo 3/</v>
      </c>
      <c r="H47" s="2020"/>
      <c r="I47" s="2021"/>
      <c r="J47" s="2021"/>
      <c r="K47" s="2026"/>
      <c r="L47" s="2022">
        <f t="shared" si="4"/>
        <v>0</v>
      </c>
      <c r="M47" s="2021"/>
      <c r="N47" s="2023"/>
      <c r="O47" s="1953"/>
      <c r="P47" s="1947"/>
      <c r="Q47" s="1947"/>
      <c r="R47" s="1947"/>
      <c r="S47" s="1947"/>
      <c r="T47" s="1947"/>
      <c r="U47" s="1947"/>
    </row>
    <row r="48" spans="1:21" s="1948" customFormat="1" ht="20.100000000000001" customHeight="1">
      <c r="A48" s="2007">
        <f t="shared" si="5"/>
        <v>2</v>
      </c>
      <c r="B48" s="2008" t="s">
        <v>2325</v>
      </c>
      <c r="C48" s="2009"/>
      <c r="D48" s="2027" t="str">
        <f t="shared" si="1"/>
        <v>02.01.02.</v>
      </c>
      <c r="E48" s="2001"/>
      <c r="F48" s="1969" t="str">
        <f t="shared" si="6"/>
        <v>02.01.02.</v>
      </c>
      <c r="G48" s="1970" t="str">
        <f>"2.  PRÉSTAMOS "&amp;D72&amp;" /"</f>
        <v>2.  PRÉSTAMOS 4 /</v>
      </c>
      <c r="H48" s="2011">
        <f>SUM(H49,H50)</f>
        <v>0</v>
      </c>
      <c r="I48" s="2012">
        <f>SUM(I49,I50)</f>
        <v>0</v>
      </c>
      <c r="J48" s="2012">
        <f>SUM(J49,J50)</f>
        <v>0</v>
      </c>
      <c r="K48" s="2013">
        <f>SUM(K49,K50)</f>
        <v>0</v>
      </c>
      <c r="L48" s="2014">
        <f t="shared" si="4"/>
        <v>0</v>
      </c>
      <c r="M48" s="2012">
        <f>SUM(M49,M50)</f>
        <v>0</v>
      </c>
      <c r="N48" s="2015">
        <f>SUM(N49,N50)</f>
        <v>0</v>
      </c>
      <c r="O48" s="1953"/>
      <c r="P48" s="1947"/>
      <c r="Q48" s="1947"/>
      <c r="R48" s="1947"/>
      <c r="S48" s="1947"/>
      <c r="T48" s="1947"/>
      <c r="U48" s="1947"/>
    </row>
    <row r="49" spans="1:21" s="1948" customFormat="1" ht="20.100000000000001" customHeight="1">
      <c r="A49" s="2007">
        <f t="shared" si="5"/>
        <v>2</v>
      </c>
      <c r="B49" s="2016" t="s">
        <v>2455</v>
      </c>
      <c r="C49" s="2017" t="s">
        <v>2456</v>
      </c>
      <c r="D49" s="2018" t="str">
        <f t="shared" si="1"/>
        <v>02.01.02.01.</v>
      </c>
      <c r="E49" s="2001"/>
      <c r="F49" s="1972" t="str">
        <f t="shared" si="6"/>
        <v>02.01.02.01.</v>
      </c>
      <c r="G49" s="2019" t="str">
        <f>"a. Largo plazo "&amp;$D$70&amp;"/"</f>
        <v>a. Largo plazo 2/</v>
      </c>
      <c r="H49" s="2020"/>
      <c r="I49" s="2021"/>
      <c r="J49" s="2021"/>
      <c r="K49" s="2021"/>
      <c r="L49" s="2022">
        <f t="shared" si="4"/>
        <v>0</v>
      </c>
      <c r="M49" s="2021"/>
      <c r="N49" s="2023"/>
      <c r="O49" s="1953"/>
      <c r="P49" s="1947"/>
      <c r="Q49" s="1947"/>
      <c r="R49" s="1947"/>
      <c r="S49" s="1947"/>
      <c r="T49" s="1947"/>
      <c r="U49" s="1947"/>
    </row>
    <row r="50" spans="1:21" s="1948" customFormat="1" ht="20.100000000000001" customHeight="1">
      <c r="A50" s="2007">
        <f t="shared" si="5"/>
        <v>2</v>
      </c>
      <c r="B50" s="2016" t="s">
        <v>2457</v>
      </c>
      <c r="C50" s="2024" t="s">
        <v>2458</v>
      </c>
      <c r="D50" s="2025" t="str">
        <f t="shared" si="1"/>
        <v>02.01.02.02.</v>
      </c>
      <c r="E50" s="2001"/>
      <c r="F50" s="1972" t="str">
        <f t="shared" si="6"/>
        <v>02.01.02.02.</v>
      </c>
      <c r="G50" s="2019" t="str">
        <f>"b. Corto plazo "&amp;$D$71&amp;"/"</f>
        <v>b. Corto plazo 3/</v>
      </c>
      <c r="H50" s="2020"/>
      <c r="I50" s="2021"/>
      <c r="J50" s="2021"/>
      <c r="K50" s="2026"/>
      <c r="L50" s="2022">
        <f t="shared" si="4"/>
        <v>0</v>
      </c>
      <c r="M50" s="2021"/>
      <c r="N50" s="2023"/>
      <c r="O50" s="1953"/>
      <c r="P50" s="1947"/>
      <c r="Q50" s="1947"/>
      <c r="R50" s="1947"/>
      <c r="S50" s="1947"/>
      <c r="T50" s="1947"/>
      <c r="U50" s="1947"/>
    </row>
    <row r="51" spans="1:21" s="1948" customFormat="1" ht="20.100000000000001" customHeight="1">
      <c r="A51" s="2007">
        <f>+A50</f>
        <v>2</v>
      </c>
      <c r="B51" s="2008" t="s">
        <v>2459</v>
      </c>
      <c r="C51" s="2009"/>
      <c r="D51" s="2027" t="str">
        <f t="shared" si="1"/>
        <v>02.01.03.</v>
      </c>
      <c r="E51" s="2001"/>
      <c r="F51" s="1969" t="str">
        <f t="shared" si="6"/>
        <v>02.01.03.</v>
      </c>
      <c r="G51" s="1970" t="str">
        <f>"3.  OTRAS CUENTAS POR COBRAR "&amp;$D$73&amp;"/"</f>
        <v>3.  OTRAS CUENTAS POR COBRAR 5/</v>
      </c>
      <c r="H51" s="2011">
        <f>SUM(H52,H53)</f>
        <v>0</v>
      </c>
      <c r="I51" s="2012">
        <f>SUM(I52,I53)</f>
        <v>0</v>
      </c>
      <c r="J51" s="2012">
        <f>SUM(J52,J53)</f>
        <v>0</v>
      </c>
      <c r="K51" s="2013">
        <f>SUM(K52,K53)</f>
        <v>0</v>
      </c>
      <c r="L51" s="2014">
        <f t="shared" si="4"/>
        <v>0</v>
      </c>
      <c r="M51" s="2012">
        <f>SUM(M52,M53)</f>
        <v>0</v>
      </c>
      <c r="N51" s="2015">
        <f>SUM(N52,N53)</f>
        <v>0</v>
      </c>
      <c r="O51" s="1953"/>
      <c r="P51" s="1947"/>
      <c r="Q51" s="1947"/>
      <c r="R51" s="1947"/>
      <c r="S51" s="1947"/>
      <c r="T51" s="1947"/>
      <c r="U51" s="1947"/>
    </row>
    <row r="52" spans="1:21" s="1948" customFormat="1" ht="20.100000000000001" customHeight="1">
      <c r="A52" s="2007">
        <f t="shared" si="5"/>
        <v>2</v>
      </c>
      <c r="B52" s="2016" t="s">
        <v>2460</v>
      </c>
      <c r="C52" s="2017" t="s">
        <v>2456</v>
      </c>
      <c r="D52" s="2018" t="str">
        <f t="shared" si="1"/>
        <v>02.01.03.01.</v>
      </c>
      <c r="E52" s="2001"/>
      <c r="F52" s="1971" t="str">
        <f t="shared" si="6"/>
        <v>02.01.03.01.</v>
      </c>
      <c r="G52" s="2019" t="str">
        <f>"a. Largo plazo "&amp;$D$70&amp;"/"</f>
        <v>a. Largo plazo 2/</v>
      </c>
      <c r="H52" s="2020"/>
      <c r="I52" s="2021"/>
      <c r="J52" s="2021"/>
      <c r="K52" s="2021"/>
      <c r="L52" s="2022">
        <f t="shared" si="4"/>
        <v>0</v>
      </c>
      <c r="M52" s="2021"/>
      <c r="N52" s="2023"/>
      <c r="O52" s="1953"/>
      <c r="P52" s="1947"/>
      <c r="Q52" s="1947"/>
      <c r="R52" s="1947"/>
      <c r="S52" s="1947"/>
      <c r="T52" s="1947"/>
      <c r="U52" s="1947"/>
    </row>
    <row r="53" spans="1:21" s="1948" customFormat="1" ht="20.100000000000001" customHeight="1">
      <c r="A53" s="2007">
        <f t="shared" si="5"/>
        <v>2</v>
      </c>
      <c r="B53" s="2016" t="s">
        <v>2461</v>
      </c>
      <c r="C53" s="2028" t="s">
        <v>2458</v>
      </c>
      <c r="D53" s="2018" t="str">
        <f t="shared" si="1"/>
        <v>02.01.03.02.</v>
      </c>
      <c r="E53" s="2001"/>
      <c r="F53" s="1971" t="str">
        <f t="shared" si="6"/>
        <v>02.01.03.02.</v>
      </c>
      <c r="G53" s="2019" t="str">
        <f>"b. Corto plazo "&amp;$D$71&amp;"/"</f>
        <v>b. Corto plazo 3/</v>
      </c>
      <c r="H53" s="2020"/>
      <c r="I53" s="2021"/>
      <c r="J53" s="2021"/>
      <c r="K53" s="2026"/>
      <c r="L53" s="2022">
        <f t="shared" si="4"/>
        <v>0</v>
      </c>
      <c r="M53" s="2021"/>
      <c r="N53" s="2023"/>
      <c r="O53" s="1953"/>
      <c r="P53" s="1947"/>
      <c r="Q53" s="1947"/>
      <c r="R53" s="1947"/>
      <c r="S53" s="1947"/>
      <c r="T53" s="1947"/>
      <c r="U53" s="1947"/>
    </row>
    <row r="54" spans="1:21" s="1100" customFormat="1" ht="39.950000000000003" customHeight="1">
      <c r="A54" s="1997">
        <f t="shared" si="5"/>
        <v>2</v>
      </c>
      <c r="B54" s="1998" t="s">
        <v>2326</v>
      </c>
      <c r="C54" s="1999" t="s">
        <v>2462</v>
      </c>
      <c r="D54" s="2029" t="str">
        <f t="shared" si="1"/>
        <v>02.02.01.</v>
      </c>
      <c r="E54" s="2001"/>
      <c r="F54" s="1973" t="str">
        <f t="shared" si="6"/>
        <v>02.02.01.</v>
      </c>
      <c r="G54" s="1974" t="str">
        <f>"B. ACTIVOS EN TÍTULOS DE DEUDA: BONOS Y  SIMILARES  "&amp;D74&amp;"/"</f>
        <v>B. ACTIVOS EN TÍTULOS DE DEUDA: BONOS Y  SIMILARES  6/</v>
      </c>
      <c r="H54" s="2030">
        <f>SUM(H55,H56)</f>
        <v>0</v>
      </c>
      <c r="I54" s="2031">
        <f>SUM(I55,I56)</f>
        <v>0</v>
      </c>
      <c r="J54" s="2031">
        <f>SUM(J55,J56)</f>
        <v>0</v>
      </c>
      <c r="K54" s="2032">
        <f>SUM(K55,K56)</f>
        <v>0</v>
      </c>
      <c r="L54" s="2033">
        <f t="shared" si="4"/>
        <v>0</v>
      </c>
      <c r="M54" s="2031">
        <f>SUM(M55,M56)</f>
        <v>0</v>
      </c>
      <c r="N54" s="2034">
        <f>SUM(N55,N56)</f>
        <v>0</v>
      </c>
      <c r="O54" s="1953"/>
      <c r="P54" s="1949"/>
      <c r="Q54" s="1949"/>
      <c r="R54" s="1949"/>
      <c r="S54" s="1949"/>
      <c r="T54" s="1949"/>
      <c r="U54" s="1949"/>
    </row>
    <row r="55" spans="1:21" s="1948" customFormat="1" ht="20.100000000000001" customHeight="1">
      <c r="A55" s="2007">
        <f t="shared" si="5"/>
        <v>2</v>
      </c>
      <c r="B55" s="2016" t="s">
        <v>2463</v>
      </c>
      <c r="C55" s="2035" t="s">
        <v>2464</v>
      </c>
      <c r="D55" s="2018" t="str">
        <f t="shared" si="1"/>
        <v>02.02.01.01.</v>
      </c>
      <c r="E55" s="2001"/>
      <c r="F55" s="1971" t="str">
        <f t="shared" si="6"/>
        <v>02.02.01.01.</v>
      </c>
      <c r="G55" s="2019" t="str">
        <f>"a. Largo plazo "&amp;$D$70&amp;"/"</f>
        <v>a. Largo plazo 2/</v>
      </c>
      <c r="H55" s="2020"/>
      <c r="I55" s="2021"/>
      <c r="J55" s="2021"/>
      <c r="K55" s="2021"/>
      <c r="L55" s="2022">
        <f t="shared" si="4"/>
        <v>0</v>
      </c>
      <c r="M55" s="2021"/>
      <c r="N55" s="2023"/>
      <c r="O55" s="1953"/>
      <c r="P55" s="1947"/>
      <c r="Q55" s="1947"/>
      <c r="R55" s="1947"/>
      <c r="S55" s="1947"/>
      <c r="T55" s="1947"/>
      <c r="U55" s="1947"/>
    </row>
    <row r="56" spans="1:21" s="1948" customFormat="1" ht="20.100000000000001" customHeight="1">
      <c r="A56" s="2007">
        <f t="shared" si="5"/>
        <v>2</v>
      </c>
      <c r="B56" s="2016" t="s">
        <v>2465</v>
      </c>
      <c r="C56" s="2035" t="s">
        <v>2466</v>
      </c>
      <c r="D56" s="2018" t="str">
        <f t="shared" si="1"/>
        <v>02.02.01.02.</v>
      </c>
      <c r="E56" s="2001"/>
      <c r="F56" s="1975" t="str">
        <f t="shared" si="6"/>
        <v>02.02.01.02.</v>
      </c>
      <c r="G56" s="2019" t="str">
        <f>"b. Corto plazo "&amp;$D$71&amp;"/"</f>
        <v>b. Corto plazo 3/</v>
      </c>
      <c r="H56" s="2020"/>
      <c r="I56" s="2021"/>
      <c r="J56" s="2021"/>
      <c r="K56" s="2026"/>
      <c r="L56" s="2036">
        <f t="shared" si="4"/>
        <v>0</v>
      </c>
      <c r="M56" s="2021"/>
      <c r="N56" s="2023"/>
      <c r="O56" s="1953"/>
      <c r="P56" s="1947"/>
      <c r="Q56" s="1947"/>
      <c r="R56" s="1947"/>
      <c r="S56" s="1947"/>
      <c r="T56" s="1947"/>
      <c r="U56" s="1947"/>
    </row>
    <row r="57" spans="1:21" s="1100" customFormat="1" ht="39.950000000000003" customHeight="1">
      <c r="A57" s="1997">
        <f t="shared" si="5"/>
        <v>2</v>
      </c>
      <c r="B57" s="1998" t="s">
        <v>2467</v>
      </c>
      <c r="C57" s="1999" t="s">
        <v>2468</v>
      </c>
      <c r="D57" s="2029" t="str">
        <f t="shared" si="1"/>
        <v>02.03.01.</v>
      </c>
      <c r="E57" s="2001"/>
      <c r="F57" s="1973" t="str">
        <f t="shared" si="6"/>
        <v>02.03.01.</v>
      </c>
      <c r="G57" s="1974" t="s">
        <v>2469</v>
      </c>
      <c r="H57" s="2030">
        <f>SUM(H58,H59)</f>
        <v>0</v>
      </c>
      <c r="I57" s="2031">
        <f>SUM(I58,I59)</f>
        <v>0</v>
      </c>
      <c r="J57" s="2031">
        <f>SUM(J58,J59)</f>
        <v>0</v>
      </c>
      <c r="K57" s="2032">
        <f>SUM(K58,K59)</f>
        <v>0</v>
      </c>
      <c r="L57" s="2033">
        <f t="shared" si="4"/>
        <v>0</v>
      </c>
      <c r="M57" s="2031">
        <f>SUM(M58,M59)</f>
        <v>0</v>
      </c>
      <c r="N57" s="2034">
        <f>SUM(N58,N59)</f>
        <v>0</v>
      </c>
      <c r="O57" s="1953"/>
      <c r="P57" s="1949"/>
      <c r="Q57" s="1949"/>
      <c r="R57" s="1949"/>
      <c r="S57" s="1949"/>
      <c r="T57" s="1949"/>
      <c r="U57" s="1949"/>
    </row>
    <row r="58" spans="1:21" s="1948" customFormat="1" ht="20.100000000000001" customHeight="1">
      <c r="A58" s="2007">
        <f t="shared" si="5"/>
        <v>2</v>
      </c>
      <c r="B58" s="2016" t="s">
        <v>2470</v>
      </c>
      <c r="C58" s="2035" t="s">
        <v>2471</v>
      </c>
      <c r="D58" s="2018" t="str">
        <f t="shared" si="1"/>
        <v>02.03.01.01.</v>
      </c>
      <c r="E58" s="2001"/>
      <c r="F58" s="1971" t="str">
        <f t="shared" si="6"/>
        <v>02.03.01.01.</v>
      </c>
      <c r="G58" s="1976" t="s">
        <v>2472</v>
      </c>
      <c r="H58" s="2020"/>
      <c r="I58" s="2021"/>
      <c r="J58" s="2021"/>
      <c r="K58" s="2021"/>
      <c r="L58" s="2022">
        <f t="shared" si="4"/>
        <v>0</v>
      </c>
      <c r="M58" s="2021"/>
      <c r="N58" s="2023"/>
      <c r="O58" s="1953"/>
      <c r="P58" s="1947"/>
      <c r="Q58" s="1947"/>
      <c r="R58" s="1947"/>
      <c r="S58" s="1947"/>
      <c r="T58" s="1947"/>
      <c r="U58" s="1947"/>
    </row>
    <row r="59" spans="1:21" s="1948" customFormat="1" ht="20.100000000000001" customHeight="1" thickBot="1">
      <c r="A59" s="2007">
        <f t="shared" si="5"/>
        <v>2</v>
      </c>
      <c r="B59" s="2016" t="s">
        <v>2473</v>
      </c>
      <c r="C59" s="2037" t="s">
        <v>2474</v>
      </c>
      <c r="D59" s="2025" t="str">
        <f t="shared" si="1"/>
        <v>02.03.01.02.</v>
      </c>
      <c r="E59" s="2001"/>
      <c r="F59" s="1975" t="str">
        <f t="shared" si="6"/>
        <v>02.03.01.02.</v>
      </c>
      <c r="G59" s="1977" t="s">
        <v>2475</v>
      </c>
      <c r="H59" s="2020"/>
      <c r="I59" s="2021"/>
      <c r="J59" s="2021"/>
      <c r="K59" s="2026"/>
      <c r="L59" s="2036">
        <f t="shared" si="4"/>
        <v>0</v>
      </c>
      <c r="M59" s="2038"/>
      <c r="N59" s="2039"/>
      <c r="O59" s="1953"/>
      <c r="P59" s="1947"/>
      <c r="Q59" s="1947"/>
      <c r="R59" s="1947"/>
      <c r="S59" s="1947"/>
      <c r="T59" s="1947"/>
      <c r="U59" s="1947"/>
    </row>
    <row r="60" spans="1:21" s="1100" customFormat="1" ht="21.75" thickTop="1" thickBot="1">
      <c r="A60" s="1978">
        <f t="shared" si="5"/>
        <v>2</v>
      </c>
      <c r="B60" s="1979" t="s">
        <v>2307</v>
      </c>
      <c r="C60" s="1980" t="s">
        <v>2476</v>
      </c>
      <c r="D60" s="1981" t="str">
        <f t="shared" si="1"/>
        <v>02.99.</v>
      </c>
      <c r="E60" s="1952"/>
      <c r="F60" s="1982" t="str">
        <f t="shared" si="6"/>
        <v>02.99.</v>
      </c>
      <c r="G60" s="1959" t="s">
        <v>2477</v>
      </c>
      <c r="H60" s="1983">
        <f>SUM(H44,H54,H57)</f>
        <v>0</v>
      </c>
      <c r="I60" s="1983">
        <f>SUM(I44,I54,I57)</f>
        <v>0</v>
      </c>
      <c r="J60" s="1983">
        <f>SUM(J44,J54,J57)</f>
        <v>0</v>
      </c>
      <c r="K60" s="1983">
        <f>SUM(K44,K54,K57)</f>
        <v>0</v>
      </c>
      <c r="L60" s="1983">
        <f t="shared" si="4"/>
        <v>0</v>
      </c>
      <c r="M60" s="1983">
        <f>SUM(M44,M54,M57)</f>
        <v>0</v>
      </c>
      <c r="N60" s="1984">
        <f>SUM(N44,N54,N57)</f>
        <v>0</v>
      </c>
      <c r="O60" s="1953"/>
      <c r="P60" s="1949"/>
      <c r="Q60" s="1949"/>
      <c r="R60" s="1949"/>
      <c r="S60" s="1949"/>
      <c r="T60" s="1949"/>
      <c r="U60" s="1949"/>
    </row>
    <row r="61" spans="1:21" ht="17.25" customHeight="1">
      <c r="F61" s="667" t="s">
        <v>2478</v>
      </c>
      <c r="G61" s="652"/>
      <c r="H61" s="652"/>
      <c r="I61" s="652"/>
      <c r="J61" s="651"/>
      <c r="K61" s="651"/>
      <c r="L61" s="651"/>
      <c r="M61" s="651"/>
      <c r="N61" s="651"/>
    </row>
    <row r="62" spans="1:21" ht="30" thickBot="1">
      <c r="F62" s="668" t="s">
        <v>2479</v>
      </c>
      <c r="G62" s="652"/>
      <c r="H62" s="652"/>
      <c r="I62" s="652"/>
      <c r="J62" s="651"/>
      <c r="K62" s="651"/>
      <c r="L62" s="651"/>
      <c r="M62" s="651"/>
      <c r="N62" s="651"/>
    </row>
    <row r="63" spans="1:21" ht="27" customHeight="1" thickTop="1">
      <c r="A63" s="628">
        <v>2</v>
      </c>
      <c r="B63" s="669" t="s">
        <v>2480</v>
      </c>
      <c r="C63" s="670"/>
      <c r="D63" s="671" t="str">
        <f>CONCATENATE("0",A63,B63)</f>
        <v>02.01.03..</v>
      </c>
      <c r="E63" s="102"/>
      <c r="F63" s="672" t="str">
        <f>+D63</f>
        <v>02.01.03..</v>
      </c>
      <c r="G63" s="673" t="s">
        <v>2481</v>
      </c>
      <c r="H63" s="352">
        <f>SUM(H64,H65)</f>
        <v>0</v>
      </c>
      <c r="I63" s="353">
        <f>SUM(I64,I65)</f>
        <v>0</v>
      </c>
      <c r="J63" s="353">
        <f>SUM(J64,J65)</f>
        <v>0</v>
      </c>
      <c r="K63" s="354">
        <f>SUM(K64,K65)</f>
        <v>0</v>
      </c>
      <c r="L63" s="351">
        <f>+H63+I63-J63+K63</f>
        <v>0</v>
      </c>
      <c r="M63" s="353">
        <f>SUM(M64,M65)</f>
        <v>0</v>
      </c>
      <c r="N63" s="674">
        <f>SUM(N64,N65)</f>
        <v>0</v>
      </c>
      <c r="O63" s="411"/>
    </row>
    <row r="64" spans="1:21" ht="21">
      <c r="A64" s="628">
        <v>2</v>
      </c>
      <c r="B64" s="669" t="s">
        <v>2482</v>
      </c>
      <c r="C64" s="1568"/>
      <c r="D64" s="1569" t="str">
        <f>CONCATENATE("0",A64,B64)</f>
        <v>02.01.03..01</v>
      </c>
      <c r="E64" s="102"/>
      <c r="F64" s="632" t="str">
        <f>+D64</f>
        <v>02.01.03..01</v>
      </c>
      <c r="G64" s="1523" t="str">
        <f>"a. Largo plazo "&amp;$D$70&amp;"/"</f>
        <v>a. Largo plazo 2/</v>
      </c>
      <c r="H64" s="302"/>
      <c r="I64" s="303"/>
      <c r="J64" s="303"/>
      <c r="K64" s="1525"/>
      <c r="L64" s="421">
        <f>+H64+I64-J64+K64</f>
        <v>0</v>
      </c>
      <c r="M64" s="303"/>
      <c r="N64" s="304"/>
      <c r="O64" s="411"/>
    </row>
    <row r="65" spans="1:15" ht="21.75" thickBot="1">
      <c r="A65" s="628">
        <v>2</v>
      </c>
      <c r="B65" s="669" t="s">
        <v>2483</v>
      </c>
      <c r="C65" s="675"/>
      <c r="D65" s="1571" t="str">
        <f>CONCATENATE("0",A65,B65)</f>
        <v>02.01.03..02</v>
      </c>
      <c r="E65" s="102"/>
      <c r="F65" s="676" t="str">
        <f>+D65</f>
        <v>02.01.03..02</v>
      </c>
      <c r="G65" s="677" t="str">
        <f>"b. Corto plazo "&amp;$D$71&amp;"/"</f>
        <v>b. Corto plazo 3/</v>
      </c>
      <c r="H65" s="305"/>
      <c r="I65" s="306"/>
      <c r="J65" s="306"/>
      <c r="K65" s="307"/>
      <c r="L65" s="678">
        <f>+H65+I65-J65+K65</f>
        <v>0</v>
      </c>
      <c r="M65" s="306"/>
      <c r="N65" s="308"/>
      <c r="O65" s="411"/>
    </row>
    <row r="66" spans="1:15" ht="11.25" customHeight="1" thickTop="1" thickBot="1">
      <c r="A66" s="519"/>
      <c r="B66" s="519"/>
      <c r="C66" s="679"/>
      <c r="D66" s="645"/>
      <c r="E66" s="102"/>
      <c r="F66" s="680"/>
      <c r="G66" s="681"/>
      <c r="H66" s="682"/>
      <c r="I66" s="682"/>
      <c r="J66" s="682"/>
      <c r="K66" s="682"/>
      <c r="L66" s="682"/>
      <c r="M66" s="682"/>
      <c r="N66" s="682"/>
    </row>
    <row r="67" spans="1:15" s="1947" customFormat="1" ht="15" customHeight="1" thickTop="1">
      <c r="A67" s="1946"/>
      <c r="B67" s="1946"/>
      <c r="E67" s="2040"/>
      <c r="F67" s="2041" t="s">
        <v>2446</v>
      </c>
      <c r="G67" s="2042"/>
      <c r="H67" s="2042"/>
      <c r="I67" s="2042"/>
      <c r="J67" s="2043"/>
      <c r="K67" s="2043"/>
      <c r="L67" s="2043"/>
      <c r="M67" s="2043"/>
      <c r="N67" s="2044"/>
    </row>
    <row r="68" spans="1:15" s="1947" customFormat="1" ht="15" customHeight="1">
      <c r="A68" s="1946"/>
      <c r="B68" s="1946"/>
      <c r="D68" s="2040">
        <v>1</v>
      </c>
      <c r="F68" s="2045" t="str">
        <f>D68&amp;"/"&amp; " Créditos comerciales, como la venta al crédito de bienes (exportaciones)."</f>
        <v>1/ Créditos comerciales, como la venta al crédito de bienes (exportaciones).</v>
      </c>
      <c r="G68" s="2046"/>
      <c r="H68" s="2046"/>
      <c r="I68" s="2046"/>
      <c r="J68" s="2047"/>
      <c r="K68" s="2047"/>
      <c r="L68" s="2047"/>
      <c r="M68" s="2047"/>
      <c r="N68" s="2048"/>
    </row>
    <row r="69" spans="1:15" s="1947" customFormat="1" ht="15" customHeight="1">
      <c r="A69" s="1946"/>
      <c r="B69" s="1946"/>
      <c r="D69" s="2040"/>
      <c r="F69" s="2045" t="s">
        <v>2484</v>
      </c>
      <c r="G69" s="2046"/>
      <c r="H69" s="2046"/>
      <c r="I69" s="2046"/>
      <c r="J69" s="2047"/>
      <c r="K69" s="2047"/>
      <c r="L69" s="2047"/>
      <c r="M69" s="2047"/>
      <c r="N69" s="2048"/>
    </row>
    <row r="70" spans="1:15" s="1947" customFormat="1" ht="15" customHeight="1">
      <c r="A70" s="1946"/>
      <c r="B70" s="1946"/>
      <c r="D70" s="2040">
        <f>COUNTA($D$68:D68)+1</f>
        <v>2</v>
      </c>
      <c r="F70" s="2045" t="str">
        <f>D70&amp;"/"&amp; " Cuyo plazo de vencimiento original es mayor de un año o no está determinado."</f>
        <v>2/ Cuyo plazo de vencimiento original es mayor de un año o no está determinado.</v>
      </c>
      <c r="G70" s="2046"/>
      <c r="H70" s="2046"/>
      <c r="I70" s="2046"/>
      <c r="J70" s="2047"/>
      <c r="K70" s="2047"/>
      <c r="L70" s="2047"/>
      <c r="M70" s="2047"/>
      <c r="N70" s="2048"/>
    </row>
    <row r="71" spans="1:15" s="1947" customFormat="1" ht="15" customHeight="1">
      <c r="A71" s="1946"/>
      <c r="B71" s="1946"/>
      <c r="D71" s="2040">
        <f>COUNTA($D$68:D70)+1</f>
        <v>3</v>
      </c>
      <c r="F71" s="2045" t="str">
        <f>D71&amp;"/"&amp; " Cuyo plazo de vencimiento original es igual o menor a un año."</f>
        <v>3/ Cuyo plazo de vencimiento original es igual o menor a un año.</v>
      </c>
      <c r="G71" s="2046"/>
      <c r="H71" s="2046"/>
      <c r="I71" s="2046"/>
      <c r="J71" s="2047"/>
      <c r="K71" s="2047"/>
      <c r="L71" s="2047"/>
      <c r="M71" s="2047"/>
      <c r="N71" s="2048"/>
    </row>
    <row r="72" spans="1:15" s="1947" customFormat="1" ht="15" customHeight="1">
      <c r="A72" s="1946"/>
      <c r="B72" s="1946"/>
      <c r="D72" s="2040">
        <f>COUNTA($D$68:D71)+1</f>
        <v>4</v>
      </c>
      <c r="F72" s="2045" t="str">
        <f>D72&amp;"/"&amp; " Préstamos que la empresa declarante otorga a no residentes."</f>
        <v>4/ Préstamos que la empresa declarante otorga a no residentes.</v>
      </c>
      <c r="G72" s="2046"/>
      <c r="H72" s="2046"/>
      <c r="I72" s="2046"/>
      <c r="J72" s="2047"/>
      <c r="K72" s="2047"/>
      <c r="L72" s="2047"/>
      <c r="M72" s="2047"/>
      <c r="N72" s="2048"/>
    </row>
    <row r="73" spans="1:15" s="1947" customFormat="1" ht="15" customHeight="1">
      <c r="A73" s="1946"/>
      <c r="B73" s="1946"/>
      <c r="D73" s="2040">
        <f>COUNTA($D$68:D72)+1</f>
        <v>5</v>
      </c>
      <c r="F73" s="2045" t="str">
        <f>D73&amp;"/"&amp;" Cuentas diversas por cobrar, no derivadas de operaciones comerciales o de préstamos. Excluye tenencias de bonos."</f>
        <v>5/ Cuentas diversas por cobrar, no derivadas de operaciones comerciales o de préstamos. Excluye tenencias de bonos.</v>
      </c>
      <c r="G73" s="2046"/>
      <c r="H73" s="2046"/>
      <c r="I73" s="2046"/>
      <c r="J73" s="2047"/>
      <c r="K73" s="2047"/>
      <c r="L73" s="2047"/>
      <c r="M73" s="2047"/>
      <c r="N73" s="2048"/>
    </row>
    <row r="74" spans="1:15" s="1947" customFormat="1" ht="15" customHeight="1">
      <c r="A74" s="1946"/>
      <c r="B74" s="1946"/>
      <c r="D74" s="2040">
        <f>COUNTA($D$68:D73)+1</f>
        <v>6</v>
      </c>
      <c r="F74" s="2045" t="str">
        <f>D74&amp;"/"&amp;" Emitidos por empresas 'no residentes-no relacionadas'. Incluye bonos del mercado local de emisores no residentes (p.ej., la IFC, la CAF, etc.) denominados en moneda nacional o extranjera."</f>
        <v>6/ Emitidos por empresas 'no residentes-no relacionadas'. Incluye bonos del mercado local de emisores no residentes (p.ej., la IFC, la CAF, etc.) denominados en moneda nacional o extranjera.</v>
      </c>
      <c r="G74" s="2046"/>
      <c r="H74" s="2046"/>
      <c r="I74" s="2046"/>
      <c r="J74" s="2047"/>
      <c r="K74" s="2047"/>
      <c r="L74" s="2047"/>
      <c r="M74" s="2047"/>
      <c r="N74" s="2048"/>
    </row>
    <row r="75" spans="1:15" s="1947" customFormat="1" ht="15" customHeight="1" thickBot="1">
      <c r="A75" s="1946"/>
      <c r="B75" s="1946"/>
      <c r="D75" s="2040">
        <f>COUNTA($D$68:D74)+1</f>
        <v>7</v>
      </c>
      <c r="F75" s="2050" t="str">
        <f>D75&amp;"/"&amp;" Por variaciones de precios, del tipo de cambio ú otras que no representan un acuerdo entre partes (por ejemplo, cancelación de deudas por incobrables)."</f>
        <v>7/ Por variaciones de precios, del tipo de cambio ú otras que no representan un acuerdo entre partes (por ejemplo, cancelación de deudas por incobrables).</v>
      </c>
      <c r="G75" s="2051"/>
      <c r="H75" s="2051"/>
      <c r="I75" s="2051"/>
      <c r="J75" s="2052"/>
      <c r="K75" s="2052"/>
      <c r="L75" s="2052"/>
      <c r="M75" s="2052"/>
      <c r="N75" s="2053"/>
    </row>
    <row r="76" spans="1:15" s="518" customFormat="1" ht="39" customHeight="1" thickTop="1">
      <c r="A76" s="519"/>
      <c r="B76" s="519"/>
      <c r="F76" s="667" t="s">
        <v>2478</v>
      </c>
      <c r="G76" s="652"/>
      <c r="H76" s="652"/>
      <c r="I76" s="652"/>
      <c r="J76" s="651"/>
      <c r="K76" s="651"/>
      <c r="L76" s="651"/>
      <c r="M76" s="651"/>
      <c r="N76" s="651"/>
    </row>
    <row r="77" spans="1:15" s="518" customFormat="1" ht="39" customHeight="1">
      <c r="A77" s="519"/>
      <c r="B77" s="519"/>
      <c r="F77" s="668"/>
      <c r="G77" s="652"/>
      <c r="H77" s="652"/>
      <c r="I77" s="652"/>
      <c r="J77" s="651"/>
      <c r="K77" s="651"/>
      <c r="L77" s="651"/>
      <c r="M77" s="651"/>
      <c r="N77" s="651"/>
    </row>
    <row r="78" spans="1:15" ht="67.5" customHeight="1">
      <c r="F78" s="683"/>
      <c r="N78" s="518"/>
    </row>
    <row r="79" spans="1:15">
      <c r="N79" s="518"/>
    </row>
    <row r="80" spans="1:15" ht="28.5" customHeight="1">
      <c r="N80" s="518"/>
    </row>
    <row r="81" spans="1:14" ht="28.5" customHeight="1">
      <c r="N81" s="518"/>
    </row>
    <row r="82" spans="1:14" ht="28.5" customHeight="1">
      <c r="N82" s="518"/>
    </row>
    <row r="83" spans="1:14" ht="171" customHeight="1">
      <c r="F83" s="518"/>
      <c r="G83" s="518"/>
      <c r="H83" s="518"/>
      <c r="I83" s="518"/>
      <c r="J83" s="518"/>
      <c r="K83" s="518"/>
      <c r="L83" s="518"/>
      <c r="M83" s="518"/>
      <c r="N83" s="518"/>
    </row>
    <row r="84" spans="1:14" ht="74.25" hidden="1" customHeight="1">
      <c r="F84" s="518"/>
      <c r="G84" s="518"/>
      <c r="H84" s="518"/>
      <c r="I84" s="518"/>
      <c r="J84" s="518"/>
      <c r="K84" s="518"/>
      <c r="L84" s="518"/>
      <c r="M84" s="518"/>
      <c r="N84" s="518"/>
    </row>
    <row r="85" spans="1:14" ht="32.25" hidden="1" customHeight="1">
      <c r="F85" s="684"/>
      <c r="G85" s="618"/>
      <c r="H85" s="518"/>
      <c r="I85" s="518"/>
      <c r="J85" s="518"/>
      <c r="K85" s="518"/>
      <c r="L85" s="518"/>
      <c r="M85" s="518"/>
      <c r="N85" s="518"/>
    </row>
    <row r="86" spans="1:14" ht="232.5" hidden="1" customHeight="1">
      <c r="F86" s="518"/>
      <c r="G86" s="518"/>
      <c r="H86" s="518"/>
      <c r="I86" s="518"/>
      <c r="J86" s="518"/>
      <c r="K86" s="518"/>
      <c r="L86" s="518"/>
      <c r="M86" s="518"/>
      <c r="N86" s="518"/>
    </row>
    <row r="87" spans="1:14" s="518" customFormat="1" hidden="1">
      <c r="A87" s="519"/>
      <c r="B87" s="519"/>
      <c r="C87" s="1"/>
      <c r="D87" s="1"/>
    </row>
    <row r="88" spans="1:14" s="518" customFormat="1" hidden="1">
      <c r="A88" s="519"/>
      <c r="B88" s="519"/>
      <c r="C88" s="1"/>
      <c r="D88" s="1"/>
    </row>
    <row r="89" spans="1:14" s="518" customFormat="1" hidden="1">
      <c r="A89" s="519"/>
      <c r="B89" s="519"/>
      <c r="C89" s="1"/>
      <c r="D89" s="1"/>
    </row>
    <row r="90" spans="1:14" s="686" customFormat="1" hidden="1">
      <c r="A90" s="685"/>
      <c r="B90" s="685"/>
    </row>
    <row r="91" spans="1:14" s="686" customFormat="1" hidden="1">
      <c r="A91" s="685"/>
      <c r="B91" s="685"/>
    </row>
    <row r="92" spans="1:14" s="686" customFormat="1" ht="27.75" hidden="1" customHeight="1">
      <c r="A92" s="685"/>
      <c r="B92" s="685"/>
    </row>
    <row r="93" spans="1:14" s="686" customFormat="1" ht="27.75" hidden="1" customHeight="1" thickBot="1">
      <c r="A93" s="685"/>
      <c r="B93" s="685"/>
    </row>
    <row r="94" spans="1:14" s="686" customFormat="1" ht="45.75" hidden="1" customHeight="1">
      <c r="A94" s="685"/>
      <c r="B94" s="685"/>
      <c r="I94" s="687" t="s">
        <v>2485</v>
      </c>
      <c r="J94" s="688" t="s">
        <v>2486</v>
      </c>
    </row>
    <row r="95" spans="1:14" s="686" customFormat="1" ht="27.75" hidden="1" customHeight="1">
      <c r="A95" s="685"/>
      <c r="B95" s="685"/>
      <c r="I95" s="689" t="s">
        <v>2487</v>
      </c>
      <c r="J95" s="690"/>
    </row>
    <row r="96" spans="1:14" s="686" customFormat="1" ht="27.75" hidden="1" customHeight="1" thickBot="1">
      <c r="A96" s="685"/>
      <c r="B96" s="685"/>
      <c r="I96" s="691" t="s">
        <v>2488</v>
      </c>
      <c r="J96" s="692"/>
    </row>
    <row r="97" spans="1:14" s="686" customFormat="1" ht="27.75" hidden="1" customHeight="1">
      <c r="A97" s="685"/>
      <c r="B97" s="685"/>
    </row>
    <row r="98" spans="1:14" s="686" customFormat="1" ht="27.75" customHeight="1">
      <c r="A98" s="685"/>
      <c r="B98" s="685"/>
    </row>
    <row r="99" spans="1:14" s="686" customFormat="1" ht="27.75" customHeight="1">
      <c r="A99" s="685"/>
      <c r="B99" s="685"/>
    </row>
    <row r="100" spans="1:14" s="686" customFormat="1" ht="27.75" customHeight="1">
      <c r="A100" s="685"/>
      <c r="B100" s="685"/>
    </row>
    <row r="101" spans="1:14" s="686" customFormat="1" ht="27.75" customHeight="1">
      <c r="A101" s="685"/>
      <c r="B101" s="685"/>
    </row>
    <row r="102" spans="1:14" s="518" customFormat="1" ht="27.75" customHeight="1">
      <c r="A102" s="519"/>
      <c r="B102" s="519"/>
      <c r="C102" s="1"/>
      <c r="D102" s="1"/>
      <c r="F102" s="1"/>
      <c r="G102" s="1"/>
      <c r="H102" s="1"/>
      <c r="I102" s="1"/>
      <c r="J102" s="1"/>
      <c r="K102" s="1"/>
      <c r="L102" s="1"/>
      <c r="M102" s="1"/>
      <c r="N102" s="1"/>
    </row>
    <row r="103" spans="1:14" ht="27.75" customHeight="1"/>
    <row r="104" spans="1:14" ht="27.75" customHeight="1"/>
    <row r="105" spans="1:14" ht="27.75" customHeight="1"/>
    <row r="106" spans="1:14" ht="27.75" customHeight="1"/>
    <row r="107" spans="1:14" ht="27.75" customHeight="1"/>
    <row r="108" spans="1:14" ht="27.75" customHeight="1"/>
    <row r="109" spans="1:14" ht="27.75" customHeight="1"/>
  </sheetData>
  <sheetProtection algorithmName="SHA-512" hashValue="5e/EdrJpmYDk7+uJkvYUpB3/aO5WVsGI8m1JaEpNl48VWkRdhvH8tDZ1syFertU99hOhPgm2MY+9DNMW4eLNkA==" saltValue="jW1DDeAr9DseWj9QbDMeXA==" spinCount="100000" sheet="1" objects="1" scenarios="1"/>
  <mergeCells count="19">
    <mergeCell ref="C10:D11"/>
    <mergeCell ref="H10:H11"/>
    <mergeCell ref="I10:J10"/>
    <mergeCell ref="C41:D42"/>
    <mergeCell ref="H41:H42"/>
    <mergeCell ref="I41:J41"/>
    <mergeCell ref="F9:G12"/>
    <mergeCell ref="F40:G43"/>
    <mergeCell ref="H9:L9"/>
    <mergeCell ref="F6:N6"/>
    <mergeCell ref="M9:N9"/>
    <mergeCell ref="K10:K11"/>
    <mergeCell ref="M10:N10"/>
    <mergeCell ref="M41:N41"/>
    <mergeCell ref="K41:K42"/>
    <mergeCell ref="L41:L42"/>
    <mergeCell ref="L10:L11"/>
    <mergeCell ref="H40:L40"/>
    <mergeCell ref="M40:N40"/>
  </mergeCells>
  <dataValidations count="4">
    <dataValidation operator="greaterThan" allowBlank="1" showErrorMessage="1" errorTitle="INFRACCION DE ENTEROS O DE SIGNO" error="SOLO VALORES ENTEROS: POSITIVOS O CERO." promptTitle="SIGNO POSITIVO" prompt="Ingrese valores enteros posiivos o cero." sqref="H66:N67 H27:N28" xr:uid="{00000000-0002-0000-0B00-000000000000}"/>
    <dataValidation type="whole" operator="greaterThanOrEqual" allowBlank="1" showInputMessage="1" showErrorMessage="1" sqref="I26:J26 I37:J39" xr:uid="{00000000-0002-0000-0B00-000001000000}">
      <formula1>0</formula1>
    </dataValidation>
    <dataValidation type="whole" operator="greaterThanOrEqual" allowBlank="1" showErrorMessage="1" errorTitle="INFRACCION DE ENTEROS O DE SIGNO" error="SOLO VALORES ENTEROS: POSITIVOS O CERO." promptTitle="SIGNO POSITIVO" prompt="Ingrese valores enteros posiivos o cero." sqref="M26:N26 M37:N39" xr:uid="{00000000-0002-0000-0B00-000002000000}">
      <formula1>0</formula1>
    </dataValidation>
    <dataValidation type="whole" allowBlank="1" showErrorMessage="1" errorTitle="SOLO VALORES ENTEROS" error="NO INGRESE DECIMALES. REDONDEE SI ES NECESARIO." sqref="K26 H26 H37:H39 K37:K39" xr:uid="{00000000-0002-0000-0B00-000003000000}">
      <formula1>-999999999999999000000</formula1>
      <formula2>999999999999999000000</formula2>
    </dataValidation>
  </dataValidations>
  <printOptions horizontalCentered="1" headings="1"/>
  <pageMargins left="0.23622047244094491" right="0.35433070866141736" top="0.47244094488188981" bottom="0.51181102362204722" header="0" footer="0.27559055118110237"/>
  <pageSetup paperSize="9" scale="47" orientation="landscape" horizontalDpi="4294967294" verticalDpi="4294967294" r:id="rId1"/>
  <headerFooter alignWithMargins="0">
    <oddFooter>&amp;L&amp;14&amp;D    &amp;T&amp;C&amp;18&amp;F&amp;R&amp;18&amp;A</oddFoot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4">
    <tabColor rgb="FF002060"/>
    <pageSetUpPr fitToPage="1"/>
  </sheetPr>
  <dimension ref="A1:R92"/>
  <sheetViews>
    <sheetView showGridLines="0" topLeftCell="E2" zoomScale="60" zoomScaleNormal="60" workbookViewId="0">
      <selection activeCell="E1" sqref="A1:XFD1"/>
    </sheetView>
  </sheetViews>
  <sheetFormatPr baseColWidth="10" defaultColWidth="11.42578125" defaultRowHeight="18.75"/>
  <cols>
    <col min="1" max="1" width="18.7109375" style="693" hidden="1" customWidth="1"/>
    <col min="2" max="2" width="21.7109375" style="693" hidden="1" customWidth="1"/>
    <col min="3" max="3" width="22.28515625" style="97" hidden="1" customWidth="1"/>
    <col min="4" max="4" width="24.28515625" style="97" hidden="1" customWidth="1"/>
    <col min="5" max="5" width="7.7109375" style="100" customWidth="1"/>
    <col min="6" max="6" width="22.140625" style="45" customWidth="1"/>
    <col min="7" max="7" width="83.7109375" style="45" customWidth="1"/>
    <col min="8" max="12" width="24.7109375" style="45" customWidth="1"/>
    <col min="13" max="13" width="24.7109375" style="97" customWidth="1"/>
    <col min="14" max="14" width="7.140625" style="97" customWidth="1"/>
    <col min="15" max="16" width="11.42578125" style="97"/>
    <col min="17" max="16384" width="11.42578125" style="45"/>
  </cols>
  <sheetData>
    <row r="1" spans="1:16" ht="27" hidden="1" customHeight="1">
      <c r="F1" s="537" t="s">
        <v>2253</v>
      </c>
      <c r="G1" s="537"/>
      <c r="H1" s="538" t="s">
        <v>2254</v>
      </c>
      <c r="I1" s="538" t="s">
        <v>2255</v>
      </c>
      <c r="J1" s="538" t="s">
        <v>2256</v>
      </c>
      <c r="K1" s="538" t="s">
        <v>2257</v>
      </c>
      <c r="L1" s="538" t="s">
        <v>2258</v>
      </c>
      <c r="M1" s="538" t="s">
        <v>2259</v>
      </c>
    </row>
    <row r="2" spans="1:16" ht="30.75" customHeight="1"/>
    <row r="3" spans="1:16" s="97" customFormat="1" ht="18.75" customHeight="1">
      <c r="B3" s="98"/>
      <c r="C3" s="98"/>
      <c r="D3" s="98"/>
      <c r="F3" s="178"/>
      <c r="G3" s="178"/>
      <c r="H3" s="615"/>
      <c r="I3" s="616"/>
      <c r="J3" s="616"/>
      <c r="K3" s="616"/>
      <c r="L3" s="180"/>
      <c r="M3" s="180"/>
      <c r="N3" s="180"/>
    </row>
    <row r="4" spans="1:16" s="97" customFormat="1" ht="35.25">
      <c r="B4" s="98"/>
      <c r="C4" s="98"/>
      <c r="D4" s="98"/>
      <c r="F4" s="162" t="str">
        <f ca="1">$C$9&amp;"  Obligaciones en instrumentos de deuda con no residentes"</f>
        <v>Tabla III.1.  Obligaciones en instrumentos de deuda con no residentes</v>
      </c>
      <c r="G4" s="160"/>
      <c r="H4" s="160"/>
      <c r="I4" s="161"/>
      <c r="J4" s="160"/>
      <c r="K4" s="160"/>
      <c r="L4" s="160"/>
      <c r="M4" s="160"/>
    </row>
    <row r="5" spans="1:16" s="97" customFormat="1" ht="36.75" customHeight="1">
      <c r="B5" s="98"/>
      <c r="C5" s="98"/>
      <c r="D5" s="98"/>
      <c r="F5" s="169" t="s">
        <v>2420</v>
      </c>
      <c r="G5" s="160"/>
      <c r="H5" s="160"/>
      <c r="I5" s="168"/>
      <c r="J5" s="168"/>
      <c r="K5" s="168"/>
      <c r="L5" s="160"/>
      <c r="M5" s="160"/>
    </row>
    <row r="6" spans="1:16" s="97" customFormat="1" ht="35.25" customHeight="1">
      <c r="B6" s="98"/>
      <c r="C6" s="98"/>
      <c r="D6" s="98"/>
      <c r="F6" s="2300" t="s">
        <v>2489</v>
      </c>
      <c r="G6" s="2300"/>
      <c r="H6" s="2300"/>
      <c r="I6" s="2300"/>
      <c r="J6" s="2300"/>
      <c r="K6" s="2300"/>
      <c r="L6" s="2300"/>
      <c r="M6" s="2300"/>
      <c r="N6" s="2300"/>
    </row>
    <row r="7" spans="1:16" ht="6.75" customHeight="1"/>
    <row r="8" spans="1:16" s="97" customFormat="1" ht="33" customHeight="1" thickBot="1">
      <c r="A8" s="694"/>
      <c r="B8" s="694"/>
      <c r="E8" s="100"/>
      <c r="F8" s="158" t="s">
        <v>2490</v>
      </c>
      <c r="G8" s="160"/>
      <c r="H8" s="160"/>
      <c r="I8" s="160"/>
      <c r="J8" s="160"/>
      <c r="K8" s="160"/>
      <c r="L8" s="160"/>
      <c r="M8" s="160"/>
    </row>
    <row r="9" spans="1:16" s="97" customFormat="1" ht="43.5" thickTop="1" thickBot="1">
      <c r="A9" s="694"/>
      <c r="B9" s="694"/>
      <c r="C9" s="120" t="str">
        <f ca="1">RIGHT(CELL("nombrearchivo",$A$1),LEN(CELL("nombrearchivo",$A$1))-SEARCH("]",CELL("nombrearchivo",$A$1)))</f>
        <v>Tabla III.1.</v>
      </c>
      <c r="E9" s="100"/>
      <c r="F9" s="2325" t="s">
        <v>2491</v>
      </c>
      <c r="G9" s="2326"/>
      <c r="H9" s="2331" t="s">
        <v>2423</v>
      </c>
      <c r="I9" s="2332"/>
      <c r="J9" s="2332"/>
      <c r="K9" s="2332"/>
      <c r="L9" s="2333"/>
      <c r="M9" s="695" t="s">
        <v>2492</v>
      </c>
    </row>
    <row r="10" spans="1:16" ht="51.75" customHeight="1" thickTop="1">
      <c r="C10" s="2334" t="str">
        <f ca="1">RIGHT(CELL("nombrearchivo",$A$1),LEN(CELL("nombrearchivo",$A$1))-SEARCH("]",CELL("nombrearchivo",$A$1)))</f>
        <v>Tabla III.1.</v>
      </c>
      <c r="D10" s="2335"/>
      <c r="F10" s="2327"/>
      <c r="G10" s="2328"/>
      <c r="H10" s="2338" t="str">
        <f>+'Tabla II.'!H10</f>
        <v>SALDO A FINES DE JUNIO 2025</v>
      </c>
      <c r="I10" s="2340" t="str">
        <f>+'Tabla II.'!I10</f>
        <v>TRANSACCIONES DEL
 3T2025 (JUL - SET)</v>
      </c>
      <c r="J10" s="2341"/>
      <c r="K10" s="2342" t="str">
        <f>"Variaciones por tipo de cambio ú otros (+ , -) 
"&amp;$D$37&amp;"/"</f>
        <v>Variaciones por tipo de cambio ú otros (+ , -) 
8/</v>
      </c>
      <c r="L10" s="2344" t="str">
        <f>+'Tabla II.'!L10</f>
        <v>SALDO A FINES DE SETIEMBRE 2025</v>
      </c>
      <c r="M10" s="696" t="str">
        <f>CONCATENATE("SALDO DE ATRASOS A FINES DEL ",Menu!D3,"T",Menu!C3," ")</f>
        <v xml:space="preserve">SALDO DE ATRASOS A FINES DEL 3T2025 </v>
      </c>
    </row>
    <row r="11" spans="1:16" ht="84" customHeight="1" thickBot="1">
      <c r="C11" s="2336"/>
      <c r="D11" s="2337"/>
      <c r="F11" s="2327"/>
      <c r="G11" s="2328"/>
      <c r="H11" s="2339"/>
      <c r="I11" s="619" t="s">
        <v>2493</v>
      </c>
      <c r="J11" s="619" t="str">
        <f>"Disminución del saldo
(amortización) "&amp;$D$36&amp;"/"</f>
        <v>Disminución del saldo
(amortización) 7/</v>
      </c>
      <c r="K11" s="2343"/>
      <c r="L11" s="2345"/>
      <c r="M11" s="697" t="s">
        <v>2494</v>
      </c>
    </row>
    <row r="12" spans="1:16" s="47" customFormat="1" ht="36" customHeight="1" thickBot="1">
      <c r="A12" s="135" t="s">
        <v>2261</v>
      </c>
      <c r="B12" s="135" t="s">
        <v>2262</v>
      </c>
      <c r="C12" s="94" t="s">
        <v>2171</v>
      </c>
      <c r="D12" s="95" t="s">
        <v>2172</v>
      </c>
      <c r="E12" s="101"/>
      <c r="F12" s="2329"/>
      <c r="G12" s="2330"/>
      <c r="H12" s="620" t="s">
        <v>2266</v>
      </c>
      <c r="I12" s="621" t="s">
        <v>2267</v>
      </c>
      <c r="J12" s="621" t="s">
        <v>2268</v>
      </c>
      <c r="K12" s="622" t="s">
        <v>2269</v>
      </c>
      <c r="L12" s="698" t="s">
        <v>2495</v>
      </c>
      <c r="M12" s="699" t="s">
        <v>2496</v>
      </c>
      <c r="N12" s="46"/>
      <c r="O12" s="46"/>
      <c r="P12" s="46"/>
    </row>
    <row r="13" spans="1:16" s="47" customFormat="1" ht="36" customHeight="1" thickTop="1">
      <c r="A13" s="136">
        <f>+'Tabla II.'!A60+1</f>
        <v>3</v>
      </c>
      <c r="B13" s="700" t="s">
        <v>2272</v>
      </c>
      <c r="C13" s="701"/>
      <c r="D13" s="702" t="str">
        <f t="shared" ref="D13:D24" si="0">CONCATENATE("0",A13,B13)</f>
        <v>03.01.</v>
      </c>
      <c r="E13" s="102"/>
      <c r="F13" s="357" t="str">
        <f>+D13</f>
        <v>03.01.</v>
      </c>
      <c r="G13" s="140" t="str">
        <f>"1.  CON INVERSIONISTAS DIRECTOS "&amp;$D$29&amp;"/"</f>
        <v>1.  CON INVERSIONISTAS DIRECTOS 2/</v>
      </c>
      <c r="H13" s="430">
        <f>SUM(H14:H15)</f>
        <v>0</v>
      </c>
      <c r="I13" s="359">
        <f>SUM(I14:I15)</f>
        <v>0</v>
      </c>
      <c r="J13" s="359">
        <f>SUM(J14:J15)</f>
        <v>0</v>
      </c>
      <c r="K13" s="360">
        <f>SUM(K14:K15)</f>
        <v>0</v>
      </c>
      <c r="L13" s="335">
        <f>+H13+I13-J13+K13</f>
        <v>0</v>
      </c>
      <c r="M13" s="336">
        <f>SUM(M14:M15)</f>
        <v>0</v>
      </c>
      <c r="N13" s="411"/>
      <c r="O13" s="46"/>
      <c r="P13" s="46"/>
    </row>
    <row r="14" spans="1:16" s="47" customFormat="1" ht="23.1" customHeight="1">
      <c r="A14" s="136">
        <f t="shared" ref="A14:A25" si="1">+A13</f>
        <v>3</v>
      </c>
      <c r="B14" s="255" t="s">
        <v>2431</v>
      </c>
      <c r="C14" s="1572">
        <v>101</v>
      </c>
      <c r="D14" s="1573" t="str">
        <f t="shared" si="0"/>
        <v>03.01.00.01.</v>
      </c>
      <c r="E14" s="102"/>
      <c r="F14" s="703" t="str">
        <f t="shared" ref="F14:F25" si="2">+D14</f>
        <v>03.01.00.01.</v>
      </c>
      <c r="G14" s="704" t="str">
        <f>"a. Largo plazo "&amp;$D$32&amp;"/"</f>
        <v>a. Largo plazo 3/</v>
      </c>
      <c r="H14" s="436"/>
      <c r="I14" s="321"/>
      <c r="J14" s="321"/>
      <c r="K14" s="322"/>
      <c r="L14" s="438">
        <f t="shared" ref="L14:L25" si="3">+H14+I14-J14+K14</f>
        <v>0</v>
      </c>
      <c r="M14" s="420"/>
      <c r="N14" s="411"/>
      <c r="O14" s="46"/>
      <c r="P14" s="46"/>
    </row>
    <row r="15" spans="1:16" s="47" customFormat="1" ht="23.1" customHeight="1">
      <c r="A15" s="136">
        <f t="shared" si="1"/>
        <v>3</v>
      </c>
      <c r="B15" s="255" t="s">
        <v>2433</v>
      </c>
      <c r="C15" s="1572">
        <v>111</v>
      </c>
      <c r="D15" s="1573" t="str">
        <f t="shared" si="0"/>
        <v>03.01.00.02.</v>
      </c>
      <c r="E15" s="102"/>
      <c r="F15" s="1574" t="str">
        <f t="shared" si="2"/>
        <v>03.01.00.02.</v>
      </c>
      <c r="G15" s="1575" t="str">
        <f>"b. Corto plazo "&amp;$D$33&amp;"/"</f>
        <v>b. Corto plazo 4/</v>
      </c>
      <c r="H15" s="1576"/>
      <c r="I15" s="1577"/>
      <c r="J15" s="1577"/>
      <c r="K15" s="1578"/>
      <c r="L15" s="1579">
        <f t="shared" si="3"/>
        <v>0</v>
      </c>
      <c r="M15" s="1580"/>
      <c r="N15" s="411"/>
      <c r="O15" s="46"/>
      <c r="P15" s="46"/>
    </row>
    <row r="16" spans="1:16" s="47" customFormat="1" ht="36" customHeight="1">
      <c r="A16" s="136">
        <f t="shared" si="1"/>
        <v>3</v>
      </c>
      <c r="B16" s="700" t="s">
        <v>2302</v>
      </c>
      <c r="C16" s="706"/>
      <c r="D16" s="1581" t="str">
        <f t="shared" si="0"/>
        <v>03.02.</v>
      </c>
      <c r="E16" s="102"/>
      <c r="F16" s="261" t="str">
        <f>+D16</f>
        <v>03.02.</v>
      </c>
      <c r="G16" s="141" t="str">
        <f>"2.  CON EMPRESAS DE INVERSIÓN DIRECTA "&amp;$D$29&amp;"/ "&amp;$D$34&amp;"/"</f>
        <v>2.  CON EMPRESAS DE INVERSIÓN DIRECTA 2/ 5/</v>
      </c>
      <c r="H16" s="431">
        <f>SUM(H17:H18)</f>
        <v>0</v>
      </c>
      <c r="I16" s="346">
        <f>SUM(I17:I18)</f>
        <v>0</v>
      </c>
      <c r="J16" s="346">
        <f>SUM(J17:J18)</f>
        <v>0</v>
      </c>
      <c r="K16" s="347">
        <f>SUM(K17:K18)</f>
        <v>0</v>
      </c>
      <c r="L16" s="337">
        <f t="shared" si="3"/>
        <v>0</v>
      </c>
      <c r="M16" s="338">
        <f>SUM(M17:M18)</f>
        <v>0</v>
      </c>
      <c r="N16" s="411"/>
      <c r="O16" s="46"/>
      <c r="P16" s="46"/>
    </row>
    <row r="17" spans="1:16" s="47" customFormat="1" ht="23.1" customHeight="1">
      <c r="A17" s="136">
        <f t="shared" si="1"/>
        <v>3</v>
      </c>
      <c r="B17" s="255" t="s">
        <v>2435</v>
      </c>
      <c r="C17" s="1582">
        <v>102</v>
      </c>
      <c r="D17" s="1573" t="str">
        <f t="shared" si="0"/>
        <v>03.02.00.01.</v>
      </c>
      <c r="E17" s="102"/>
      <c r="F17" s="703" t="str">
        <f t="shared" si="2"/>
        <v>03.02.00.01.</v>
      </c>
      <c r="G17" s="704" t="str">
        <f>"a. Largo plazo "&amp;$D$32&amp;"/"</f>
        <v>a. Largo plazo 3/</v>
      </c>
      <c r="H17" s="436"/>
      <c r="I17" s="321"/>
      <c r="J17" s="321"/>
      <c r="K17" s="322"/>
      <c r="L17" s="438">
        <f t="shared" si="3"/>
        <v>0</v>
      </c>
      <c r="M17" s="420"/>
      <c r="N17" s="411"/>
      <c r="O17" s="46"/>
      <c r="P17" s="46"/>
    </row>
    <row r="18" spans="1:16" s="47" customFormat="1" ht="23.1" customHeight="1">
      <c r="A18" s="136">
        <f t="shared" si="1"/>
        <v>3</v>
      </c>
      <c r="B18" s="255" t="s">
        <v>2437</v>
      </c>
      <c r="C18" s="1572">
        <v>112</v>
      </c>
      <c r="D18" s="1573" t="str">
        <f t="shared" si="0"/>
        <v>03.02.00.02.</v>
      </c>
      <c r="E18" s="102"/>
      <c r="F18" s="1574" t="str">
        <f t="shared" si="2"/>
        <v>03.02.00.02.</v>
      </c>
      <c r="G18" s="1575" t="str">
        <f>"b. Corto plazo "&amp;$D$33&amp;"/"</f>
        <v>b. Corto plazo 4/</v>
      </c>
      <c r="H18" s="1576"/>
      <c r="I18" s="1577"/>
      <c r="J18" s="1577"/>
      <c r="K18" s="1578"/>
      <c r="L18" s="1579">
        <f t="shared" si="3"/>
        <v>0</v>
      </c>
      <c r="M18" s="1580"/>
      <c r="N18" s="411"/>
      <c r="O18" s="46"/>
      <c r="P18" s="46"/>
    </row>
    <row r="19" spans="1:16" s="47" customFormat="1" ht="36" customHeight="1">
      <c r="A19" s="136">
        <f t="shared" si="1"/>
        <v>3</v>
      </c>
      <c r="B19" s="255" t="s">
        <v>2439</v>
      </c>
      <c r="C19" s="706"/>
      <c r="D19" s="1581" t="str">
        <f t="shared" si="0"/>
        <v>03.03.</v>
      </c>
      <c r="E19" s="102"/>
      <c r="F19" s="261" t="str">
        <f t="shared" si="2"/>
        <v>03.03.</v>
      </c>
      <c r="G19" s="141" t="str">
        <f>"3.  CON EMPARENTADAS, SI MATRIZ COMÚN QUE EJERCE EL CONTROL FINAL
     RESIDE EN EL EXTERIOR " &amp;D29&amp;"/ "&amp;D35&amp;"/ "</f>
        <v xml:space="preserve">3.  CON EMPARENTADAS, SI MATRIZ COMÚN QUE EJERCE EL CONTROL FINAL
     RESIDE EN EL EXTERIOR 2/ 6/ </v>
      </c>
      <c r="H19" s="431">
        <f>SUM(H20:H21)</f>
        <v>0</v>
      </c>
      <c r="I19" s="346">
        <f>SUM(I20:I21)</f>
        <v>0</v>
      </c>
      <c r="J19" s="346">
        <f>SUM(J20:J21)</f>
        <v>0</v>
      </c>
      <c r="K19" s="347">
        <f>SUM(K20:K21)</f>
        <v>0</v>
      </c>
      <c r="L19" s="337">
        <f t="shared" si="3"/>
        <v>0</v>
      </c>
      <c r="M19" s="338">
        <f>SUM(M20:M21)</f>
        <v>0</v>
      </c>
      <c r="N19" s="411"/>
      <c r="O19" s="46"/>
      <c r="P19" s="46"/>
    </row>
    <row r="20" spans="1:16" s="47" customFormat="1" ht="23.1" customHeight="1">
      <c r="A20" s="136">
        <f t="shared" si="1"/>
        <v>3</v>
      </c>
      <c r="B20" s="255" t="s">
        <v>2440</v>
      </c>
      <c r="C20" s="1582">
        <v>102</v>
      </c>
      <c r="D20" s="1573" t="str">
        <f t="shared" si="0"/>
        <v>03.03.00.01.</v>
      </c>
      <c r="E20" s="102"/>
      <c r="F20" s="703" t="str">
        <f t="shared" si="2"/>
        <v>03.03.00.01.</v>
      </c>
      <c r="G20" s="704" t="str">
        <f>"a. Largo plazo "&amp;$D$32&amp;"/"</f>
        <v>a. Largo plazo 3/</v>
      </c>
      <c r="H20" s="436"/>
      <c r="I20" s="321"/>
      <c r="J20" s="321"/>
      <c r="K20" s="322"/>
      <c r="L20" s="438">
        <f t="shared" si="3"/>
        <v>0</v>
      </c>
      <c r="M20" s="420"/>
      <c r="N20" s="411"/>
      <c r="O20" s="46"/>
      <c r="P20" s="46"/>
    </row>
    <row r="21" spans="1:16" s="47" customFormat="1" ht="23.1" customHeight="1">
      <c r="A21" s="136">
        <f t="shared" si="1"/>
        <v>3</v>
      </c>
      <c r="B21" s="255" t="s">
        <v>2441</v>
      </c>
      <c r="C21" s="1572">
        <v>112</v>
      </c>
      <c r="D21" s="1573" t="str">
        <f t="shared" si="0"/>
        <v>03.03.00.02.</v>
      </c>
      <c r="E21" s="102"/>
      <c r="F21" s="1574" t="str">
        <f t="shared" si="2"/>
        <v>03.03.00.02.</v>
      </c>
      <c r="G21" s="1575" t="str">
        <f>"b. Corto plazo "&amp;$D$33&amp;"/"</f>
        <v>b. Corto plazo 4/</v>
      </c>
      <c r="H21" s="1576"/>
      <c r="I21" s="1577"/>
      <c r="J21" s="1577"/>
      <c r="K21" s="1578"/>
      <c r="L21" s="1579">
        <f t="shared" si="3"/>
        <v>0</v>
      </c>
      <c r="M21" s="1580"/>
      <c r="N21" s="411"/>
      <c r="O21" s="46"/>
      <c r="P21" s="46"/>
    </row>
    <row r="22" spans="1:16" s="47" customFormat="1" ht="36" customHeight="1">
      <c r="A22" s="136">
        <f t="shared" si="1"/>
        <v>3</v>
      </c>
      <c r="B22" s="255" t="s">
        <v>2442</v>
      </c>
      <c r="C22" s="706"/>
      <c r="D22" s="1581" t="str">
        <f t="shared" si="0"/>
        <v>03.04.</v>
      </c>
      <c r="E22" s="102"/>
      <c r="F22" s="261" t="str">
        <f t="shared" si="2"/>
        <v>03.04.</v>
      </c>
      <c r="G22" s="141" t="str">
        <f>"4.  CON EMPARENTADAS, SI MATRIZ COMÚN QUE EJERCE EL CONTROL FINAL
     RESIDE EN EL PAÍS " &amp;D29&amp;"/ "&amp;D35&amp;"/ "</f>
        <v xml:space="preserve">4.  CON EMPARENTADAS, SI MATRIZ COMÚN QUE EJERCE EL CONTROL FINAL
     RESIDE EN EL PAÍS 2/ 6/ </v>
      </c>
      <c r="H22" s="431">
        <f>SUM(H23:H24)</f>
        <v>0</v>
      </c>
      <c r="I22" s="346">
        <f>SUM(I23:I24)</f>
        <v>0</v>
      </c>
      <c r="J22" s="346">
        <f>SUM(J23:J24)</f>
        <v>0</v>
      </c>
      <c r="K22" s="347">
        <f>SUM(K23:K24)</f>
        <v>0</v>
      </c>
      <c r="L22" s="337">
        <f t="shared" si="3"/>
        <v>0</v>
      </c>
      <c r="M22" s="344">
        <f>SUM(M23:M24)</f>
        <v>0</v>
      </c>
      <c r="N22" s="411"/>
      <c r="O22" s="46"/>
      <c r="P22" s="46"/>
    </row>
    <row r="23" spans="1:16" s="47" customFormat="1" ht="23.1" customHeight="1">
      <c r="A23" s="136">
        <f t="shared" si="1"/>
        <v>3</v>
      </c>
      <c r="B23" s="255" t="s">
        <v>2443</v>
      </c>
      <c r="C23" s="1582">
        <v>102</v>
      </c>
      <c r="D23" s="1573" t="str">
        <f t="shared" si="0"/>
        <v>03.04.00.01.</v>
      </c>
      <c r="E23" s="102"/>
      <c r="F23" s="703" t="str">
        <f t="shared" si="2"/>
        <v>03.04.00.01.</v>
      </c>
      <c r="G23" s="704" t="str">
        <f>"a. Largo plazo "&amp;$D$32&amp;"/"</f>
        <v>a. Largo plazo 3/</v>
      </c>
      <c r="H23" s="436"/>
      <c r="I23" s="321"/>
      <c r="J23" s="321"/>
      <c r="K23" s="322"/>
      <c r="L23" s="438">
        <f t="shared" si="3"/>
        <v>0</v>
      </c>
      <c r="M23" s="420"/>
      <c r="N23" s="411"/>
      <c r="O23" s="46"/>
      <c r="P23" s="46"/>
    </row>
    <row r="24" spans="1:16" s="47" customFormat="1" ht="23.1" customHeight="1" thickBot="1">
      <c r="A24" s="136">
        <f t="shared" si="1"/>
        <v>3</v>
      </c>
      <c r="B24" s="255" t="s">
        <v>2444</v>
      </c>
      <c r="C24" s="1572">
        <v>112</v>
      </c>
      <c r="D24" s="1573" t="str">
        <f t="shared" si="0"/>
        <v>03.04.00.02.</v>
      </c>
      <c r="E24" s="102"/>
      <c r="F24" s="1574" t="str">
        <f t="shared" si="2"/>
        <v>03.04.00.02.</v>
      </c>
      <c r="G24" s="1575" t="str">
        <f>"b. Corto plazo "&amp;$D$33&amp;"/"</f>
        <v>b. Corto plazo 4/</v>
      </c>
      <c r="H24" s="1576"/>
      <c r="I24" s="1577"/>
      <c r="J24" s="1577"/>
      <c r="K24" s="1578"/>
      <c r="L24" s="1579">
        <f t="shared" si="3"/>
        <v>0</v>
      </c>
      <c r="M24" s="1583"/>
      <c r="N24" s="411"/>
      <c r="O24" s="46"/>
      <c r="P24" s="46"/>
    </row>
    <row r="25" spans="1:16" s="47" customFormat="1" ht="28.5" customHeight="1" thickTop="1" thickBot="1">
      <c r="A25" s="640">
        <f t="shared" si="1"/>
        <v>3</v>
      </c>
      <c r="B25" s="641" t="s">
        <v>2307</v>
      </c>
      <c r="C25" s="707"/>
      <c r="D25" s="708" t="str">
        <f>CONCATENATE("0",A25,B25)</f>
        <v>03.99.</v>
      </c>
      <c r="E25" s="101"/>
      <c r="F25" s="334" t="str">
        <f t="shared" si="2"/>
        <v>03.99.</v>
      </c>
      <c r="G25" s="217" t="s">
        <v>2445</v>
      </c>
      <c r="H25" s="432">
        <f>SUM(H13,H16,H19,H22)</f>
        <v>0</v>
      </c>
      <c r="I25" s="339">
        <f>SUM(I13,I16,I19,I22)</f>
        <v>0</v>
      </c>
      <c r="J25" s="339">
        <f>SUM(J13,J16,J19,J22)</f>
        <v>0</v>
      </c>
      <c r="K25" s="340">
        <f>SUM(K13,K16,K19,K22)</f>
        <v>0</v>
      </c>
      <c r="L25" s="324">
        <f t="shared" si="3"/>
        <v>0</v>
      </c>
      <c r="M25" s="341">
        <f>SUM(M13,M16,M19,M22)</f>
        <v>0</v>
      </c>
      <c r="N25" s="411"/>
      <c r="O25" s="46"/>
      <c r="P25" s="46"/>
    </row>
    <row r="26" spans="1:16" s="144" customFormat="1" ht="9" customHeight="1" thickTop="1" thickBot="1">
      <c r="A26" s="709"/>
      <c r="B26" s="709"/>
      <c r="C26" s="134"/>
      <c r="D26" s="679"/>
      <c r="E26" s="134"/>
      <c r="F26" s="142"/>
      <c r="G26" s="710"/>
      <c r="H26" s="647"/>
      <c r="I26" s="647"/>
      <c r="J26" s="647"/>
      <c r="K26" s="647"/>
      <c r="L26" s="139"/>
      <c r="M26" s="139"/>
      <c r="N26" s="411"/>
    </row>
    <row r="27" spans="1:16" s="144" customFormat="1" ht="26.25" thickTop="1">
      <c r="A27" s="709"/>
      <c r="B27" s="709"/>
      <c r="C27" s="134"/>
      <c r="D27" s="518"/>
      <c r="E27" s="132"/>
      <c r="F27" s="711" t="s">
        <v>2446</v>
      </c>
      <c r="G27" s="648"/>
      <c r="H27" s="648"/>
      <c r="I27" s="648"/>
      <c r="J27" s="649"/>
      <c r="K27" s="649"/>
      <c r="L27" s="649"/>
      <c r="M27" s="650"/>
      <c r="N27" s="411"/>
    </row>
    <row r="28" spans="1:16" s="144" customFormat="1" ht="25.5">
      <c r="A28" s="709"/>
      <c r="B28" s="709"/>
      <c r="C28" s="134"/>
      <c r="D28" s="525">
        <v>1</v>
      </c>
      <c r="E28" s="132"/>
      <c r="F28" s="202" t="str">
        <f>D28&amp;"/"&amp;" Empresas con las cuales la empresa declarante tiene un vínculo de propiedad de inversión directa, inmediato o indirecto, o comparte con ellas un inversionista directo común (propietario)."</f>
        <v>1/ Empresas con las cuales la empresa declarante tiene un vínculo de propiedad de inversión directa, inmediato o indirecto, o comparte con ellas un inversionista directo común (propietario).</v>
      </c>
      <c r="G28" s="652"/>
      <c r="H28" s="652"/>
      <c r="I28" s="652"/>
      <c r="J28" s="651"/>
      <c r="K28" s="651"/>
      <c r="L28" s="651"/>
      <c r="M28" s="653"/>
    </row>
    <row r="29" spans="1:16" s="144" customFormat="1" ht="25.5">
      <c r="A29" s="709"/>
      <c r="B29" s="709"/>
      <c r="C29" s="134"/>
      <c r="D29" s="525">
        <f>COUNTA($D$28:D28)+1</f>
        <v>2</v>
      </c>
      <c r="E29" s="518"/>
      <c r="F29" s="202" t="str">
        <f>D29&amp;"/"&amp; " Posiciones pasivas de deuda por créditos y anticipos comerciales, préstamos y títulos de deuda (tenencias de bonos)."</f>
        <v>2/ Posiciones pasivas de deuda por créditos y anticipos comerciales, préstamos y títulos de deuda (tenencias de bonos).</v>
      </c>
      <c r="G29" s="652"/>
      <c r="H29" s="652"/>
      <c r="I29" s="652"/>
      <c r="J29" s="651"/>
      <c r="K29" s="651"/>
      <c r="L29" s="651"/>
      <c r="M29" s="653"/>
    </row>
    <row r="30" spans="1:16" s="144" customFormat="1" ht="25.5">
      <c r="A30" s="709"/>
      <c r="B30" s="709"/>
      <c r="C30" s="134"/>
      <c r="D30" s="525"/>
      <c r="E30" s="518"/>
      <c r="F30" s="654" t="s">
        <v>2497</v>
      </c>
      <c r="G30" s="652"/>
      <c r="H30" s="652"/>
      <c r="I30" s="652"/>
      <c r="J30" s="651"/>
      <c r="K30" s="651"/>
      <c r="L30" s="651"/>
      <c r="M30" s="653"/>
    </row>
    <row r="31" spans="1:16" s="144" customFormat="1" ht="25.5">
      <c r="A31" s="709"/>
      <c r="B31" s="709"/>
      <c r="C31" s="134"/>
      <c r="D31" s="525"/>
      <c r="E31" s="518"/>
      <c r="F31" s="202" t="s">
        <v>2498</v>
      </c>
      <c r="G31" s="652"/>
      <c r="H31" s="652"/>
      <c r="I31" s="652"/>
      <c r="J31" s="651"/>
      <c r="K31" s="651"/>
      <c r="L31" s="651"/>
      <c r="M31" s="653"/>
    </row>
    <row r="32" spans="1:16" s="144" customFormat="1" ht="25.5">
      <c r="A32" s="709"/>
      <c r="B32" s="709"/>
      <c r="C32" s="134"/>
      <c r="D32" s="525">
        <f>COUNTA($D$28:D29)+1</f>
        <v>3</v>
      </c>
      <c r="E32" s="518"/>
      <c r="F32" s="202" t="str">
        <f>D32&amp;"/"&amp; " Cuyo plazo de vencimiento original es mayor de un año o no está determinado."</f>
        <v>3/ Cuyo plazo de vencimiento original es mayor de un año o no está determinado.</v>
      </c>
      <c r="G32" s="652"/>
      <c r="H32" s="652"/>
      <c r="I32" s="652"/>
      <c r="J32" s="651"/>
      <c r="K32" s="651"/>
      <c r="L32" s="651"/>
      <c r="M32" s="653"/>
    </row>
    <row r="33" spans="1:16" s="144" customFormat="1" ht="25.5">
      <c r="A33" s="709"/>
      <c r="B33" s="709"/>
      <c r="C33" s="134"/>
      <c r="D33" s="525">
        <f>COUNTA($D$28:D32)+1</f>
        <v>4</v>
      </c>
      <c r="E33" s="518"/>
      <c r="F33" s="202" t="str">
        <f>D33&amp;"/"&amp; " Cuyo plazo de vencimiento original es igual o menor a un año."</f>
        <v>4/ Cuyo plazo de vencimiento original es igual o menor a un año.</v>
      </c>
      <c r="G33" s="652"/>
      <c r="H33" s="652"/>
      <c r="I33" s="652"/>
      <c r="J33" s="651"/>
      <c r="K33" s="651"/>
      <c r="L33" s="651"/>
      <c r="M33" s="653"/>
    </row>
    <row r="34" spans="1:16" s="144" customFormat="1" ht="25.5">
      <c r="A34" s="709"/>
      <c r="B34" s="709"/>
      <c r="C34" s="134"/>
      <c r="D34" s="525">
        <f>COUNTA($D$28:D33)+1</f>
        <v>5</v>
      </c>
      <c r="E34" s="518"/>
      <c r="F34" s="202" t="str">
        <f>D34&amp;"/"&amp; " Pasivos de deuda con empresas de inversión directa no residentes, por créditos y anticipos comerciales, préstamos y títulos de deuda (tenencias de bonos)."</f>
        <v>5/ Pasivos de deuda con empresas de inversión directa no residentes, por créditos y anticipos comerciales, préstamos y títulos de deuda (tenencias de bonos).</v>
      </c>
      <c r="G34" s="652"/>
      <c r="H34" s="652"/>
      <c r="I34" s="652"/>
      <c r="J34" s="651"/>
      <c r="K34" s="651"/>
      <c r="L34" s="651"/>
      <c r="M34" s="653"/>
    </row>
    <row r="35" spans="1:16" s="144" customFormat="1" ht="25.5">
      <c r="A35" s="709"/>
      <c r="B35" s="709"/>
      <c r="C35" s="134"/>
      <c r="D35" s="525">
        <f>COUNTA($D$28:D34)+1</f>
        <v>6</v>
      </c>
      <c r="E35" s="518"/>
      <c r="F35" s="712" t="str">
        <f>D35&amp;"/"&amp; " Pasivos de deuda con empresas con las que se comparte, en algún punto de la cadena de propiedad, un propietario común con una relación de inversión directa (inmediata o indirecta)."</f>
        <v>6/ Pasivos de deuda con empresas con las que se comparte, en algún punto de la cadena de propiedad, un propietario común con una relación de inversión directa (inmediata o indirecta).</v>
      </c>
      <c r="G35" s="652"/>
      <c r="H35" s="652"/>
      <c r="I35" s="652"/>
      <c r="J35" s="651"/>
      <c r="K35" s="651"/>
      <c r="L35" s="651"/>
      <c r="M35" s="653"/>
    </row>
    <row r="36" spans="1:16" s="144" customFormat="1" ht="25.5">
      <c r="A36" s="709"/>
      <c r="B36" s="709"/>
      <c r="C36" s="134"/>
      <c r="D36" s="525">
        <f>COUNTA($D$28:D35)+1</f>
        <v>7</v>
      </c>
      <c r="E36" s="518"/>
      <c r="F36" s="202" t="str">
        <f>D36&amp;"/"&amp;" Incluye el pago de atrasos del principal (regularización de atrasos)."</f>
        <v>7/ Incluye el pago de atrasos del principal (regularización de atrasos).</v>
      </c>
      <c r="G36" s="652"/>
      <c r="H36" s="652"/>
      <c r="I36" s="652"/>
      <c r="J36" s="651"/>
      <c r="K36" s="651"/>
      <c r="L36" s="651"/>
      <c r="M36" s="653"/>
    </row>
    <row r="37" spans="1:16" s="144" customFormat="1" ht="26.25" thickBot="1">
      <c r="A37" s="709"/>
      <c r="B37" s="709"/>
      <c r="C37" s="134"/>
      <c r="D37" s="525">
        <f>COUNTA($D$28:D36)+1</f>
        <v>8</v>
      </c>
      <c r="E37" s="518"/>
      <c r="F37" s="203" t="str">
        <f>D37&amp;"/"&amp;" Por variaciones de precios, del tipo de cambio ú otras que no representan un acuerdo de partes (por ejemplo, cancelación de deudas por incobrables)."</f>
        <v>8/ Por variaciones de precios, del tipo de cambio ú otras que no representan un acuerdo de partes (por ejemplo, cancelación de deudas por incobrables).</v>
      </c>
      <c r="G37" s="655"/>
      <c r="H37" s="655"/>
      <c r="I37" s="655"/>
      <c r="J37" s="656"/>
      <c r="K37" s="656"/>
      <c r="L37" s="656"/>
      <c r="M37" s="657"/>
    </row>
    <row r="38" spans="1:16" s="144" customFormat="1" ht="24" thickTop="1">
      <c r="A38" s="709"/>
      <c r="B38" s="709"/>
      <c r="C38" s="134"/>
      <c r="D38" s="679"/>
      <c r="E38" s="134"/>
      <c r="F38" s="142"/>
      <c r="G38" s="710"/>
      <c r="H38" s="647"/>
      <c r="I38" s="647"/>
      <c r="J38" s="647"/>
      <c r="K38" s="647"/>
      <c r="L38" s="139"/>
      <c r="M38" s="139"/>
    </row>
    <row r="39" spans="1:16" s="144" customFormat="1" ht="23.25">
      <c r="A39" s="709"/>
      <c r="B39" s="709"/>
      <c r="C39" s="134"/>
      <c r="D39" s="679"/>
      <c r="E39" s="134"/>
      <c r="F39" s="713"/>
      <c r="G39" s="714"/>
      <c r="H39" s="715"/>
      <c r="I39" s="715"/>
      <c r="J39" s="715"/>
      <c r="K39" s="715"/>
      <c r="L39" s="716"/>
      <c r="M39" s="716"/>
    </row>
    <row r="40" spans="1:16" s="144" customFormat="1" ht="23.25">
      <c r="A40" s="709"/>
      <c r="B40" s="709"/>
      <c r="C40" s="134"/>
      <c r="D40" s="679"/>
      <c r="E40" s="134"/>
      <c r="F40" s="142"/>
      <c r="G40" s="710"/>
      <c r="H40" s="647"/>
      <c r="I40" s="647"/>
      <c r="J40" s="647"/>
      <c r="K40" s="647"/>
      <c r="L40" s="139"/>
      <c r="M40" s="139"/>
    </row>
    <row r="41" spans="1:16" s="97" customFormat="1" ht="33" customHeight="1" thickBot="1">
      <c r="A41" s="694"/>
      <c r="B41" s="694"/>
      <c r="E41" s="100"/>
      <c r="F41" s="158" t="s">
        <v>2499</v>
      </c>
      <c r="G41" s="160"/>
      <c r="H41" s="160"/>
      <c r="I41" s="160"/>
      <c r="J41" s="160"/>
      <c r="K41" s="160"/>
      <c r="L41" s="160"/>
      <c r="M41" s="160"/>
    </row>
    <row r="42" spans="1:16" s="97" customFormat="1" ht="48" thickTop="1" thickBot="1">
      <c r="A42" s="694"/>
      <c r="B42" s="694"/>
      <c r="E42" s="100"/>
      <c r="F42" s="2325" t="s">
        <v>2500</v>
      </c>
      <c r="G42" s="2326"/>
      <c r="H42" s="2331" t="s">
        <v>2423</v>
      </c>
      <c r="I42" s="2332"/>
      <c r="J42" s="2332"/>
      <c r="K42" s="2332"/>
      <c r="L42" s="2333"/>
      <c r="M42" s="717" t="s">
        <v>2492</v>
      </c>
    </row>
    <row r="43" spans="1:16" ht="57" customHeight="1" thickTop="1">
      <c r="C43" s="2334" t="str">
        <f ca="1">RIGHT(CELL("nombrearchivo",$A$14),LEN(CELL("nombrearchivo",$A$14))-SEARCH("]",CELL("nombrearchivo",$A$14)))</f>
        <v>Tabla III.1.</v>
      </c>
      <c r="D43" s="2335"/>
      <c r="F43" s="2327"/>
      <c r="G43" s="2328"/>
      <c r="H43" s="2338" t="str">
        <f>+H10</f>
        <v>SALDO A FINES DE JUNIO 2025</v>
      </c>
      <c r="I43" s="2340" t="str">
        <f>+I10</f>
        <v>TRANSACCIONES DEL
 3T2025 (JUL - SET)</v>
      </c>
      <c r="J43" s="2341"/>
      <c r="K43" s="2342" t="str">
        <f>"Variaciones por tipo de cambio ú otros (+ , -)  
"&amp;$D$90&amp;"/"</f>
        <v>Variaciones por tipo de cambio ú otros (+ , -)  
10/</v>
      </c>
      <c r="L43" s="2344" t="str">
        <f>+L10</f>
        <v>SALDO A FINES DE SETIEMBRE 2025</v>
      </c>
      <c r="M43" s="718" t="str">
        <f>+M10</f>
        <v xml:space="preserve">SALDO DE ATRASOS A FINES DEL 3T2025 </v>
      </c>
    </row>
    <row r="44" spans="1:16" ht="105" customHeight="1" thickBot="1">
      <c r="C44" s="2336"/>
      <c r="D44" s="2337"/>
      <c r="F44" s="2327"/>
      <c r="G44" s="2328"/>
      <c r="H44" s="2339"/>
      <c r="I44" s="619" t="s">
        <v>2493</v>
      </c>
      <c r="J44" s="619" t="str">
        <f>"Disminución del saldo
(amortización) "&amp;$D$89&amp;"/"</f>
        <v>Disminución del saldo
(amortización) 9/</v>
      </c>
      <c r="K44" s="2343"/>
      <c r="L44" s="2345"/>
      <c r="M44" s="697" t="s">
        <v>2494</v>
      </c>
    </row>
    <row r="45" spans="1:16" s="47" customFormat="1" ht="36" customHeight="1" thickBot="1">
      <c r="A45" s="135" t="s">
        <v>2261</v>
      </c>
      <c r="B45" s="135" t="s">
        <v>2262</v>
      </c>
      <c r="C45" s="94" t="s">
        <v>2171</v>
      </c>
      <c r="D45" s="95" t="s">
        <v>2172</v>
      </c>
      <c r="E45" s="101"/>
      <c r="F45" s="2329"/>
      <c r="G45" s="2330"/>
      <c r="H45" s="620" t="s">
        <v>2266</v>
      </c>
      <c r="I45" s="621" t="s">
        <v>2267</v>
      </c>
      <c r="J45" s="621" t="s">
        <v>2268</v>
      </c>
      <c r="K45" s="622" t="s">
        <v>2269</v>
      </c>
      <c r="L45" s="698" t="s">
        <v>2495</v>
      </c>
      <c r="M45" s="699" t="s">
        <v>2496</v>
      </c>
      <c r="N45" s="46"/>
      <c r="O45" s="46"/>
      <c r="P45" s="46"/>
    </row>
    <row r="46" spans="1:16" s="47" customFormat="1" ht="77.25" customHeight="1">
      <c r="A46" s="136">
        <f>+A25+1</f>
        <v>4</v>
      </c>
      <c r="B46" s="719" t="s">
        <v>2272</v>
      </c>
      <c r="C46" s="115"/>
      <c r="D46" s="720" t="str">
        <f>CONCATENATE("0",A46,B46)</f>
        <v>04.01.</v>
      </c>
      <c r="E46" s="102"/>
      <c r="F46" s="721" t="str">
        <f>+D46</f>
        <v>04.01.</v>
      </c>
      <c r="G46" s="1223" t="s">
        <v>2501</v>
      </c>
      <c r="H46" s="433">
        <f>SUM(H47,H50,H53)</f>
        <v>0</v>
      </c>
      <c r="I46" s="342">
        <f>SUM(I47,I50,I53)</f>
        <v>0</v>
      </c>
      <c r="J46" s="342">
        <f>SUM(J47,J50,J53)</f>
        <v>0</v>
      </c>
      <c r="K46" s="343">
        <f>SUM(K47,K50,K53)</f>
        <v>0</v>
      </c>
      <c r="L46" s="426">
        <f>+H46+I46-J46+K46</f>
        <v>0</v>
      </c>
      <c r="M46" s="344">
        <f>SUM(M47,M50,M53)</f>
        <v>0</v>
      </c>
      <c r="N46" s="411"/>
      <c r="O46" s="46"/>
      <c r="P46" s="46"/>
    </row>
    <row r="47" spans="1:16" s="47" customFormat="1" ht="23.1" customHeight="1">
      <c r="A47" s="136">
        <f t="shared" ref="A47:A63" si="4">+A46</f>
        <v>4</v>
      </c>
      <c r="B47" s="700" t="s">
        <v>2320</v>
      </c>
      <c r="C47" s="701"/>
      <c r="D47" s="723" t="str">
        <f t="shared" ref="D47:D63" si="5">CONCATENATE("0",A47,B47)</f>
        <v>04.01.01.</v>
      </c>
      <c r="E47" s="102"/>
      <c r="F47" s="724" t="str">
        <f t="shared" ref="F47:F63" si="6">+D47</f>
        <v>04.01.01.</v>
      </c>
      <c r="G47" s="252" t="str">
        <f>"1.  CRÉDITOS Y ANTICIPOS COMERCIALES "&amp;$D$80&amp;"/"</f>
        <v>1.  CRÉDITOS Y ANTICIPOS COMERCIALES 1/</v>
      </c>
      <c r="H47" s="422">
        <f>SUM(H48:H49)</f>
        <v>0</v>
      </c>
      <c r="I47" s="423">
        <f>SUM(I48:I49)</f>
        <v>0</v>
      </c>
      <c r="J47" s="423">
        <f>SUM(J48:J49)</f>
        <v>0</v>
      </c>
      <c r="K47" s="1526">
        <f>SUM(K48:K49)</f>
        <v>0</v>
      </c>
      <c r="L47" s="424">
        <f>+H47+I47-J47+K47</f>
        <v>0</v>
      </c>
      <c r="M47" s="425">
        <f>SUM(M48:M49)</f>
        <v>0</v>
      </c>
      <c r="N47" s="411"/>
      <c r="O47" s="46"/>
      <c r="P47" s="46"/>
    </row>
    <row r="48" spans="1:16" s="47" customFormat="1" ht="23.1" customHeight="1">
      <c r="A48" s="136">
        <f t="shared" si="4"/>
        <v>4</v>
      </c>
      <c r="B48" s="725" t="s">
        <v>2321</v>
      </c>
      <c r="C48" s="1572" t="s">
        <v>2502</v>
      </c>
      <c r="D48" s="1573" t="str">
        <f t="shared" si="5"/>
        <v>04.01.01.01.</v>
      </c>
      <c r="E48" s="102"/>
      <c r="F48" s="1574" t="str">
        <f t="shared" si="6"/>
        <v>04.01.01.01.</v>
      </c>
      <c r="G48" s="1584" t="str">
        <f>"a. Largo plazo "&amp;$D$82&amp;"/"</f>
        <v>a. Largo plazo 2/</v>
      </c>
      <c r="H48" s="1576"/>
      <c r="I48" s="1577"/>
      <c r="J48" s="1577"/>
      <c r="K48" s="1578"/>
      <c r="L48" s="1579">
        <f t="shared" ref="L48:L63" si="7">+H48+I48-J48+K48</f>
        <v>0</v>
      </c>
      <c r="M48" s="1585"/>
      <c r="N48" s="411"/>
      <c r="O48" s="46"/>
      <c r="P48" s="46"/>
    </row>
    <row r="49" spans="1:16" s="47" customFormat="1" ht="23.1" customHeight="1">
      <c r="A49" s="136">
        <f t="shared" si="4"/>
        <v>4</v>
      </c>
      <c r="B49" s="725" t="s">
        <v>2323</v>
      </c>
      <c r="C49" s="1572">
        <v>113</v>
      </c>
      <c r="D49" s="1573" t="str">
        <f t="shared" si="5"/>
        <v>04.01.01.02.</v>
      </c>
      <c r="E49" s="102"/>
      <c r="F49" s="1574" t="str">
        <f t="shared" si="6"/>
        <v>04.01.01.02.</v>
      </c>
      <c r="G49" s="1584" t="str">
        <f>"b. Corto plazo "&amp;$D$83&amp;"/"</f>
        <v>b. Corto plazo 3/</v>
      </c>
      <c r="H49" s="1586"/>
      <c r="I49" s="1587"/>
      <c r="J49" s="1587"/>
      <c r="K49" s="1588"/>
      <c r="L49" s="1589">
        <f t="shared" si="7"/>
        <v>0</v>
      </c>
      <c r="M49" s="1590"/>
      <c r="N49" s="411"/>
      <c r="O49" s="46"/>
      <c r="P49" s="46"/>
    </row>
    <row r="50" spans="1:16" s="47" customFormat="1" ht="23.1" customHeight="1">
      <c r="A50" s="136">
        <f t="shared" si="4"/>
        <v>4</v>
      </c>
      <c r="B50" s="700" t="s">
        <v>2325</v>
      </c>
      <c r="C50" s="706"/>
      <c r="D50" s="726" t="str">
        <f t="shared" si="5"/>
        <v>04.01.02.</v>
      </c>
      <c r="E50" s="102"/>
      <c r="F50" s="1591" t="str">
        <f t="shared" si="6"/>
        <v>04.01.02.</v>
      </c>
      <c r="G50" s="1592" t="str">
        <f>"2.  PRÉSTAMOS (incluye banca comercial y organismos, entre otros -ver nota) "&amp;$D$84&amp;"/"</f>
        <v>2.  PRÉSTAMOS (incluye banca comercial y organismos, entre otros -ver nota) 4/</v>
      </c>
      <c r="H50" s="422">
        <f>SUM(H51:H52)</f>
        <v>0</v>
      </c>
      <c r="I50" s="423">
        <f>SUM(I51:I52)</f>
        <v>0</v>
      </c>
      <c r="J50" s="423">
        <f>SUM(J51:J52)</f>
        <v>0</v>
      </c>
      <c r="K50" s="1526">
        <f>SUM(K51:K52)</f>
        <v>0</v>
      </c>
      <c r="L50" s="424">
        <f t="shared" si="7"/>
        <v>0</v>
      </c>
      <c r="M50" s="429">
        <f>SUM(M51:M52)</f>
        <v>0</v>
      </c>
      <c r="N50" s="411"/>
      <c r="O50" s="46"/>
      <c r="P50" s="46"/>
    </row>
    <row r="51" spans="1:16" s="47" customFormat="1" ht="23.1" customHeight="1">
      <c r="A51" s="136">
        <f t="shared" si="4"/>
        <v>4</v>
      </c>
      <c r="B51" s="725" t="s">
        <v>2455</v>
      </c>
      <c r="C51" s="1582">
        <v>104</v>
      </c>
      <c r="D51" s="1593" t="str">
        <f t="shared" si="5"/>
        <v>04.01.02.01.</v>
      </c>
      <c r="E51" s="102"/>
      <c r="F51" s="1594" t="str">
        <f t="shared" si="6"/>
        <v>04.01.02.01.</v>
      </c>
      <c r="G51" s="1584" t="str">
        <f>"a. Largo plazo "&amp;$D$82&amp;"/"</f>
        <v>a. Largo plazo 2/</v>
      </c>
      <c r="H51" s="1586"/>
      <c r="I51" s="1587"/>
      <c r="J51" s="1587"/>
      <c r="K51" s="1588"/>
      <c r="L51" s="1589">
        <f t="shared" si="7"/>
        <v>0</v>
      </c>
      <c r="M51" s="1585"/>
      <c r="N51" s="411"/>
      <c r="O51" s="46"/>
      <c r="P51" s="46"/>
    </row>
    <row r="52" spans="1:16" s="47" customFormat="1" ht="23.1" customHeight="1">
      <c r="A52" s="136">
        <f t="shared" si="4"/>
        <v>4</v>
      </c>
      <c r="B52" s="725" t="s">
        <v>2457</v>
      </c>
      <c r="C52" s="1572">
        <v>114</v>
      </c>
      <c r="D52" s="1595" t="str">
        <f t="shared" si="5"/>
        <v>04.01.02.02.</v>
      </c>
      <c r="E52" s="102"/>
      <c r="F52" s="1574" t="str">
        <f t="shared" si="6"/>
        <v>04.01.02.02.</v>
      </c>
      <c r="G52" s="1584" t="str">
        <f>"b. Corto plazo "&amp;$D$83&amp;"/"</f>
        <v>b. Corto plazo 3/</v>
      </c>
      <c r="H52" s="1586"/>
      <c r="I52" s="1587"/>
      <c r="J52" s="1587"/>
      <c r="K52" s="1588"/>
      <c r="L52" s="1589">
        <f t="shared" si="7"/>
        <v>0</v>
      </c>
      <c r="M52" s="1590"/>
      <c r="N52" s="411"/>
      <c r="O52" s="46"/>
      <c r="P52" s="46"/>
    </row>
    <row r="53" spans="1:16" s="47" customFormat="1" ht="23.1" customHeight="1">
      <c r="A53" s="136">
        <f t="shared" si="4"/>
        <v>4</v>
      </c>
      <c r="B53" s="700" t="s">
        <v>2459</v>
      </c>
      <c r="C53" s="706"/>
      <c r="D53" s="726" t="str">
        <f t="shared" si="5"/>
        <v>04.01.03.</v>
      </c>
      <c r="E53" s="102"/>
      <c r="F53" s="1591" t="str">
        <f t="shared" si="6"/>
        <v>04.01.03.</v>
      </c>
      <c r="G53" s="1592" t="str">
        <f>"3.  OTRAS CUENTAS POR PAGAR "&amp;D85&amp;"/"</f>
        <v>3.  OTRAS CUENTAS POR PAGAR 5/</v>
      </c>
      <c r="H53" s="422">
        <f>SUM(H54:H55)</f>
        <v>0</v>
      </c>
      <c r="I53" s="423">
        <f>SUM(I54:I55)</f>
        <v>0</v>
      </c>
      <c r="J53" s="423">
        <f>SUM(J54:J55)</f>
        <v>0</v>
      </c>
      <c r="K53" s="1526">
        <f>SUM(K54:K55)</f>
        <v>0</v>
      </c>
      <c r="L53" s="424">
        <f t="shared" si="7"/>
        <v>0</v>
      </c>
      <c r="M53" s="429">
        <f>SUM(M54:M55)</f>
        <v>0</v>
      </c>
      <c r="N53" s="411"/>
      <c r="O53" s="46"/>
      <c r="P53" s="46"/>
    </row>
    <row r="54" spans="1:16" s="47" customFormat="1" ht="23.1" customHeight="1">
      <c r="A54" s="136">
        <f t="shared" si="4"/>
        <v>4</v>
      </c>
      <c r="B54" s="725" t="s">
        <v>2460</v>
      </c>
      <c r="C54" s="1582">
        <v>106</v>
      </c>
      <c r="D54" s="1593" t="str">
        <f t="shared" si="5"/>
        <v>04.01.03.01.</v>
      </c>
      <c r="E54" s="102"/>
      <c r="F54" s="1594" t="str">
        <f t="shared" si="6"/>
        <v>04.01.03.01.</v>
      </c>
      <c r="G54" s="1584" t="str">
        <f>"a. Largo plazo "&amp;$D$82&amp;"/"</f>
        <v>a. Largo plazo 2/</v>
      </c>
      <c r="H54" s="1586"/>
      <c r="I54" s="1587"/>
      <c r="J54" s="1587"/>
      <c r="K54" s="1588"/>
      <c r="L54" s="1589">
        <f>+H54+I54-J54+K54</f>
        <v>0</v>
      </c>
      <c r="M54" s="1585"/>
      <c r="N54" s="411"/>
      <c r="O54" s="46"/>
      <c r="P54" s="46"/>
    </row>
    <row r="55" spans="1:16" s="47" customFormat="1" ht="23.1" customHeight="1">
      <c r="A55" s="136">
        <f t="shared" si="4"/>
        <v>4</v>
      </c>
      <c r="B55" s="725" t="s">
        <v>2461</v>
      </c>
      <c r="C55" s="1572">
        <v>116</v>
      </c>
      <c r="D55" s="1593" t="str">
        <f t="shared" si="5"/>
        <v>04.01.03.02.</v>
      </c>
      <c r="E55" s="102"/>
      <c r="F55" s="1594" t="str">
        <f t="shared" si="6"/>
        <v>04.01.03.02.</v>
      </c>
      <c r="G55" s="1584" t="str">
        <f>"b. Corto plazo "&amp;$D$83&amp;"/"</f>
        <v>b. Corto plazo 3/</v>
      </c>
      <c r="H55" s="1576"/>
      <c r="I55" s="1577"/>
      <c r="J55" s="1577"/>
      <c r="K55" s="1578"/>
      <c r="L55" s="1579">
        <f>+H55+I55-J55+K55</f>
        <v>0</v>
      </c>
      <c r="M55" s="1585"/>
      <c r="N55" s="411"/>
      <c r="O55" s="46"/>
      <c r="P55" s="46"/>
    </row>
    <row r="56" spans="1:16" s="47" customFormat="1" ht="40.5" customHeight="1">
      <c r="A56" s="136">
        <f t="shared" si="4"/>
        <v>4</v>
      </c>
      <c r="B56" s="727" t="s">
        <v>2326</v>
      </c>
      <c r="C56" s="116">
        <v>120</v>
      </c>
      <c r="D56" s="728" t="str">
        <f t="shared" si="5"/>
        <v>04.02.01.</v>
      </c>
      <c r="E56" s="102"/>
      <c r="F56" s="261" t="str">
        <f t="shared" si="6"/>
        <v>04.02.01.</v>
      </c>
      <c r="G56" s="153" t="str">
        <f>"B.TITULOS DE DEUDA DEL MERCADO EXTERNO:  
    EN PODER DE NO RESIDENTES  "&amp;$D$86&amp;"/  "</f>
        <v xml:space="preserve">B.TITULOS DE DEUDA DEL MERCADO EXTERNO:  
    EN PODER DE NO RESIDENTES  6/  </v>
      </c>
      <c r="H56" s="431">
        <f>SUM(H57:H58)</f>
        <v>0</v>
      </c>
      <c r="I56" s="346">
        <f>SUM(I57:I58)</f>
        <v>0</v>
      </c>
      <c r="J56" s="346">
        <f>SUM(J57:J58)</f>
        <v>0</v>
      </c>
      <c r="K56" s="347">
        <f>SUM(K57:K58)</f>
        <v>0</v>
      </c>
      <c r="L56" s="427">
        <f t="shared" si="7"/>
        <v>0</v>
      </c>
      <c r="M56" s="338">
        <f>SUM(M57:M58)</f>
        <v>0</v>
      </c>
      <c r="N56" s="411"/>
      <c r="O56" s="46"/>
      <c r="P56" s="46"/>
    </row>
    <row r="57" spans="1:16" s="47" customFormat="1" ht="23.1" customHeight="1">
      <c r="A57" s="136">
        <f t="shared" si="4"/>
        <v>4</v>
      </c>
      <c r="B57" s="725" t="s">
        <v>2463</v>
      </c>
      <c r="C57" s="1582">
        <v>121</v>
      </c>
      <c r="D57" s="1593" t="str">
        <f t="shared" si="5"/>
        <v>04.02.01.01.</v>
      </c>
      <c r="E57" s="102"/>
      <c r="F57" s="356" t="str">
        <f t="shared" si="6"/>
        <v>04.02.01.01.</v>
      </c>
      <c r="G57" s="1584" t="str">
        <f>"a. Largo plazo "&amp;$D$82&amp;"/"</f>
        <v>a. Largo plazo 2/</v>
      </c>
      <c r="H57" s="435"/>
      <c r="I57" s="320"/>
      <c r="J57" s="320"/>
      <c r="K57" s="1527"/>
      <c r="L57" s="437">
        <f t="shared" si="7"/>
        <v>0</v>
      </c>
      <c r="M57" s="1585"/>
      <c r="N57" s="411"/>
      <c r="O57" s="46"/>
      <c r="P57" s="46"/>
    </row>
    <row r="58" spans="1:16" s="47" customFormat="1" ht="23.1" customHeight="1">
      <c r="A58" s="136">
        <f t="shared" si="4"/>
        <v>4</v>
      </c>
      <c r="B58" s="725" t="s">
        <v>2465</v>
      </c>
      <c r="C58" s="1572">
        <v>122</v>
      </c>
      <c r="D58" s="1593" t="str">
        <f t="shared" si="5"/>
        <v>04.02.01.02.</v>
      </c>
      <c r="E58" s="102"/>
      <c r="F58" s="703" t="str">
        <f t="shared" si="6"/>
        <v>04.02.01.02.</v>
      </c>
      <c r="G58" s="1584" t="str">
        <f>"b. Corto plazo "&amp;$D$83&amp;"/"</f>
        <v>b. Corto plazo 3/</v>
      </c>
      <c r="H58" s="436"/>
      <c r="I58" s="321"/>
      <c r="J58" s="321"/>
      <c r="K58" s="322"/>
      <c r="L58" s="438">
        <f t="shared" si="7"/>
        <v>0</v>
      </c>
      <c r="M58" s="1585"/>
      <c r="N58" s="411"/>
      <c r="O58" s="46"/>
      <c r="P58" s="46"/>
    </row>
    <row r="59" spans="1:16" s="47" customFormat="1" ht="37.5">
      <c r="A59" s="136">
        <f t="shared" si="4"/>
        <v>4</v>
      </c>
      <c r="B59" s="727" t="s">
        <v>2439</v>
      </c>
      <c r="C59" s="116">
        <v>120</v>
      </c>
      <c r="D59" s="728" t="str">
        <f t="shared" si="5"/>
        <v>04.03.</v>
      </c>
      <c r="E59" s="102"/>
      <c r="F59" s="261" t="str">
        <f t="shared" si="6"/>
        <v>04.03.</v>
      </c>
      <c r="G59" s="153" t="str">
        <f>"C.TITULOS DE DEUDA DEL MERCADO LOCAL
    EN PODER DE NO RESIDENTES "&amp;$D$87&amp;"/"</f>
        <v>C.TITULOS DE DEUDA DEL MERCADO LOCAL
    EN PODER DE NO RESIDENTES 7/</v>
      </c>
      <c r="H59" s="431">
        <f>SUM(H60:H61)</f>
        <v>0</v>
      </c>
      <c r="I59" s="346">
        <f>SUM(I60:I61)</f>
        <v>0</v>
      </c>
      <c r="J59" s="346">
        <f>SUM(J60:J61)</f>
        <v>0</v>
      </c>
      <c r="K59" s="347">
        <f>SUM(K60:K61)</f>
        <v>0</v>
      </c>
      <c r="L59" s="427">
        <f t="shared" si="7"/>
        <v>0</v>
      </c>
      <c r="M59" s="338">
        <f>SUM(M60:M61)</f>
        <v>0</v>
      </c>
      <c r="N59" s="411"/>
      <c r="O59" s="46"/>
      <c r="P59" s="46"/>
    </row>
    <row r="60" spans="1:16" s="47" customFormat="1" ht="23.1" customHeight="1">
      <c r="A60" s="136">
        <f t="shared" si="4"/>
        <v>4</v>
      </c>
      <c r="B60" s="725" t="s">
        <v>2467</v>
      </c>
      <c r="C60" s="1582">
        <v>121</v>
      </c>
      <c r="D60" s="1593" t="str">
        <f t="shared" si="5"/>
        <v>04.03.01.</v>
      </c>
      <c r="E60" s="102"/>
      <c r="F60" s="729" t="str">
        <f t="shared" si="6"/>
        <v>04.03.01.</v>
      </c>
      <c r="G60" s="1584" t="str">
        <f>"a. Largo plazo "&amp;$D$82&amp;"/"</f>
        <v>a. Largo plazo 2/</v>
      </c>
      <c r="H60" s="435"/>
      <c r="I60" s="320"/>
      <c r="J60" s="320"/>
      <c r="K60" s="1527"/>
      <c r="L60" s="437">
        <f t="shared" si="7"/>
        <v>0</v>
      </c>
      <c r="M60" s="1585"/>
      <c r="N60" s="411"/>
      <c r="O60" s="46"/>
      <c r="P60" s="46"/>
    </row>
    <row r="61" spans="1:16" s="47" customFormat="1" ht="23.1" customHeight="1">
      <c r="A61" s="136">
        <f t="shared" si="4"/>
        <v>4</v>
      </c>
      <c r="B61" s="725" t="s">
        <v>2503</v>
      </c>
      <c r="C61" s="1572">
        <v>122</v>
      </c>
      <c r="D61" s="1593" t="str">
        <f t="shared" si="5"/>
        <v>04.03.02.</v>
      </c>
      <c r="E61" s="102"/>
      <c r="F61" s="730" t="str">
        <f t="shared" si="6"/>
        <v>04.03.02.</v>
      </c>
      <c r="G61" s="1584" t="str">
        <f>"b. Corto plazo "&amp;$D$83&amp;"/"</f>
        <v>b. Corto plazo 3/</v>
      </c>
      <c r="H61" s="436"/>
      <c r="I61" s="321"/>
      <c r="J61" s="321"/>
      <c r="K61" s="322"/>
      <c r="L61" s="438">
        <f t="shared" si="7"/>
        <v>0</v>
      </c>
      <c r="M61" s="1585"/>
      <c r="N61" s="411"/>
      <c r="O61" s="46"/>
      <c r="P61" s="46"/>
    </row>
    <row r="62" spans="1:16" s="47" customFormat="1" ht="35.25" customHeight="1" thickBot="1">
      <c r="A62" s="136">
        <f t="shared" si="4"/>
        <v>4</v>
      </c>
      <c r="B62" s="727" t="s">
        <v>2504</v>
      </c>
      <c r="C62" s="114">
        <v>130</v>
      </c>
      <c r="D62" s="728" t="str">
        <f t="shared" si="5"/>
        <v>04.04.00.</v>
      </c>
      <c r="E62" s="102"/>
      <c r="F62" s="262" t="str">
        <f t="shared" si="6"/>
        <v>04.04.00.</v>
      </c>
      <c r="G62" s="731" t="str">
        <f>"D. DEPÓSITOS EN EL PAÍS DE NO RESIDENTES "&amp;$D$88&amp;"/"</f>
        <v>D. DEPÓSITOS EN EL PAÍS DE NO RESIDENTES 8/</v>
      </c>
      <c r="H62" s="1101"/>
      <c r="I62" s="1102"/>
      <c r="J62" s="1102"/>
      <c r="K62" s="1103"/>
      <c r="L62" s="732">
        <f>+H62+I62-J62+K62</f>
        <v>0</v>
      </c>
      <c r="M62" s="1104"/>
      <c r="N62" s="411"/>
    </row>
    <row r="63" spans="1:16" s="47" customFormat="1" ht="28.5" customHeight="1" thickTop="1" thickBot="1">
      <c r="A63" s="136">
        <f t="shared" si="4"/>
        <v>4</v>
      </c>
      <c r="B63" s="727" t="s">
        <v>2307</v>
      </c>
      <c r="C63" s="133">
        <v>150</v>
      </c>
      <c r="D63" s="733" t="str">
        <f t="shared" si="5"/>
        <v>04.99.</v>
      </c>
      <c r="E63" s="102"/>
      <c r="F63" s="263" t="str">
        <f t="shared" si="6"/>
        <v>04.99.</v>
      </c>
      <c r="G63" s="216" t="s">
        <v>2445</v>
      </c>
      <c r="H63" s="434">
        <f>SUM(H46,H56,H59,H62)</f>
        <v>0</v>
      </c>
      <c r="I63" s="348">
        <f>SUM(I46,I56,I59,I62)</f>
        <v>0</v>
      </c>
      <c r="J63" s="348">
        <f>SUM(J46,J56,J59,J62)</f>
        <v>0</v>
      </c>
      <c r="K63" s="349">
        <f>SUM(K46,K56,K59,K62)</f>
        <v>0</v>
      </c>
      <c r="L63" s="428">
        <f t="shared" si="7"/>
        <v>0</v>
      </c>
      <c r="M63" s="350">
        <f>SUM(M46,M56,M59,M62)</f>
        <v>0</v>
      </c>
      <c r="N63" s="411"/>
    </row>
    <row r="64" spans="1:16" s="97" customFormat="1" ht="15.75" customHeight="1">
      <c r="A64" s="694"/>
      <c r="B64" s="694"/>
      <c r="E64" s="100"/>
    </row>
    <row r="65" spans="1:18" s="1" customFormat="1" ht="28.5" customHeight="1" thickBot="1">
      <c r="A65" s="519"/>
      <c r="B65" s="519"/>
      <c r="C65" s="679"/>
      <c r="D65" s="645"/>
      <c r="E65" s="102"/>
      <c r="F65" s="2324" t="s">
        <v>2505</v>
      </c>
      <c r="G65" s="2324"/>
      <c r="H65" s="2324"/>
      <c r="I65" s="2324"/>
      <c r="J65" s="2324"/>
      <c r="K65" s="2324"/>
      <c r="L65" s="2324"/>
      <c r="M65" s="2324"/>
      <c r="N65" s="518"/>
      <c r="O65" s="518"/>
      <c r="P65" s="518"/>
      <c r="Q65" s="518"/>
      <c r="R65" s="518"/>
    </row>
    <row r="66" spans="1:18" s="1" customFormat="1" ht="32.25" customHeight="1" thickTop="1" thickBot="1">
      <c r="A66" s="734"/>
      <c r="B66" s="669"/>
      <c r="C66" s="735"/>
      <c r="D66" s="736"/>
      <c r="E66" s="134"/>
      <c r="F66" s="737" t="str">
        <f>"B.1.1. Préstamos externos recibidos de entidades financieras "&amp;$D$91&amp;"/"</f>
        <v>B.1.1. Préstamos externos recibidos de entidades financieras 11/</v>
      </c>
      <c r="G66" s="738"/>
      <c r="H66" s="516"/>
      <c r="I66" s="739"/>
      <c r="J66" s="739"/>
      <c r="K66" s="739"/>
      <c r="L66" s="516"/>
      <c r="M66" s="740"/>
      <c r="N66" s="518"/>
      <c r="O66" s="518"/>
      <c r="P66" s="518"/>
      <c r="Q66" s="518"/>
      <c r="R66" s="518"/>
    </row>
    <row r="67" spans="1:18" s="1" customFormat="1" ht="36" customHeight="1" thickTop="1">
      <c r="A67" s="734">
        <f>+A75</f>
        <v>4</v>
      </c>
      <c r="B67" s="669" t="s">
        <v>2506</v>
      </c>
      <c r="C67" s="670"/>
      <c r="D67" s="671" t="str">
        <f t="shared" ref="D67:D72" si="8">CONCATENATE("0",A67,B67)</f>
        <v>04..01.</v>
      </c>
      <c r="E67" s="102"/>
      <c r="F67" s="741" t="str">
        <f t="shared" ref="F67:F72" si="9">+D67</f>
        <v>04..01.</v>
      </c>
      <c r="G67" s="742" t="s">
        <v>2507</v>
      </c>
      <c r="H67" s="352">
        <f>SUM(H68:H69)</f>
        <v>0</v>
      </c>
      <c r="I67" s="353">
        <f>SUM(I68:I69)</f>
        <v>0</v>
      </c>
      <c r="J67" s="353">
        <f>SUM(J68:J69)</f>
        <v>0</v>
      </c>
      <c r="K67" s="354">
        <f>SUM(K68:K69)</f>
        <v>0</v>
      </c>
      <c r="L67" s="351">
        <f t="shared" ref="L67:L72" si="10">+H67+I67-J67+K67</f>
        <v>0</v>
      </c>
      <c r="M67" s="355">
        <f>SUM(M68:M69)</f>
        <v>0</v>
      </c>
      <c r="N67" s="518"/>
      <c r="O67" s="518"/>
      <c r="P67" s="518"/>
      <c r="Q67" s="518"/>
      <c r="R67" s="518"/>
    </row>
    <row r="68" spans="1:18" s="1" customFormat="1" ht="25.5" customHeight="1">
      <c r="A68" s="734">
        <f>+A67</f>
        <v>4</v>
      </c>
      <c r="B68" s="669" t="s">
        <v>2508</v>
      </c>
      <c r="C68" s="1568"/>
      <c r="D68" s="1569" t="str">
        <f t="shared" si="8"/>
        <v>04..01.01.</v>
      </c>
      <c r="E68" s="102"/>
      <c r="F68" s="666" t="str">
        <f t="shared" si="9"/>
        <v>04..01.01.</v>
      </c>
      <c r="G68" s="1523" t="str">
        <f>"a. Largo plazo "&amp;$D$82&amp;"/"</f>
        <v>a. Largo plazo 2/</v>
      </c>
      <c r="H68" s="435"/>
      <c r="I68" s="320"/>
      <c r="J68" s="320"/>
      <c r="K68" s="1527"/>
      <c r="L68" s="437">
        <f t="shared" si="10"/>
        <v>0</v>
      </c>
      <c r="M68" s="1585"/>
      <c r="N68" s="518"/>
      <c r="O68" s="518"/>
      <c r="P68" s="518"/>
      <c r="Q68" s="518"/>
      <c r="R68" s="518"/>
    </row>
    <row r="69" spans="1:18" s="1" customFormat="1" ht="25.5" customHeight="1">
      <c r="A69" s="734">
        <f>+A68</f>
        <v>4</v>
      </c>
      <c r="B69" s="669" t="s">
        <v>2509</v>
      </c>
      <c r="C69" s="675"/>
      <c r="D69" s="1571" t="str">
        <f t="shared" si="8"/>
        <v>04..01.02.</v>
      </c>
      <c r="E69" s="102"/>
      <c r="F69" s="1570" t="str">
        <f t="shared" si="9"/>
        <v>04..01.02.</v>
      </c>
      <c r="G69" s="1596" t="str">
        <f>"b. Corto plazo "&amp;$D$83&amp;"/"</f>
        <v>b. Corto plazo 3/</v>
      </c>
      <c r="H69" s="1597"/>
      <c r="I69" s="1598"/>
      <c r="J69" s="1598"/>
      <c r="K69" s="1599"/>
      <c r="L69" s="1600">
        <f t="shared" si="10"/>
        <v>0</v>
      </c>
      <c r="M69" s="1580"/>
      <c r="N69" s="518"/>
      <c r="O69" s="518"/>
      <c r="P69" s="518"/>
      <c r="Q69" s="518"/>
      <c r="R69" s="518"/>
    </row>
    <row r="70" spans="1:18" s="1" customFormat="1" ht="36" customHeight="1">
      <c r="A70" s="734">
        <f>+A67</f>
        <v>4</v>
      </c>
      <c r="B70" s="669" t="s">
        <v>2510</v>
      </c>
      <c r="C70" s="670"/>
      <c r="D70" s="671" t="str">
        <f t="shared" si="8"/>
        <v>04..02.</v>
      </c>
      <c r="E70" s="102"/>
      <c r="F70" s="665" t="str">
        <f t="shared" si="9"/>
        <v>04..02.</v>
      </c>
      <c r="G70" s="743" t="s">
        <v>2511</v>
      </c>
      <c r="H70" s="325">
        <f>SUM(H71:H72)</f>
        <v>0</v>
      </c>
      <c r="I70" s="326">
        <f>SUM(I71:I72)</f>
        <v>0</v>
      </c>
      <c r="J70" s="326">
        <f>SUM(J71:J72)</f>
        <v>0</v>
      </c>
      <c r="K70" s="327">
        <f>SUM(K71:K72)</f>
        <v>0</v>
      </c>
      <c r="L70" s="328">
        <f t="shared" si="10"/>
        <v>0</v>
      </c>
      <c r="M70" s="389">
        <f>SUM(M71:M72)</f>
        <v>0</v>
      </c>
      <c r="N70" s="518"/>
      <c r="O70" s="518"/>
      <c r="P70" s="518"/>
      <c r="Q70" s="518"/>
      <c r="R70" s="518"/>
    </row>
    <row r="71" spans="1:18" s="1" customFormat="1" ht="25.5" customHeight="1">
      <c r="A71" s="734">
        <f>+A70</f>
        <v>4</v>
      </c>
      <c r="B71" s="669" t="s">
        <v>2512</v>
      </c>
      <c r="C71" s="1568"/>
      <c r="D71" s="1569" t="str">
        <f t="shared" si="8"/>
        <v>04..02.01.</v>
      </c>
      <c r="E71" s="102"/>
      <c r="F71" s="666" t="str">
        <f t="shared" si="9"/>
        <v>04..02.01.</v>
      </c>
      <c r="G71" s="1523" t="str">
        <f>"a. Largo plazo "&amp;$D$82&amp;"/"</f>
        <v>a. Largo plazo 2/</v>
      </c>
      <c r="H71" s="435"/>
      <c r="I71" s="320"/>
      <c r="J71" s="320"/>
      <c r="K71" s="1527"/>
      <c r="L71" s="437">
        <f t="shared" si="10"/>
        <v>0</v>
      </c>
      <c r="M71" s="1585"/>
      <c r="N71" s="518"/>
      <c r="O71" s="518"/>
      <c r="P71" s="518"/>
      <c r="Q71" s="518"/>
      <c r="R71" s="518"/>
    </row>
    <row r="72" spans="1:18" s="1" customFormat="1" ht="25.5" customHeight="1" thickBot="1">
      <c r="A72" s="734">
        <f>+A71</f>
        <v>4</v>
      </c>
      <c r="B72" s="669" t="s">
        <v>2513</v>
      </c>
      <c r="C72" s="675"/>
      <c r="D72" s="1571" t="str">
        <f t="shared" si="8"/>
        <v>04..02.02.</v>
      </c>
      <c r="E72" s="102"/>
      <c r="F72" s="1601" t="str">
        <f t="shared" si="9"/>
        <v>04..02.02.</v>
      </c>
      <c r="G72" s="1602" t="str">
        <f>"b. Corto plazo "&amp;$D$83&amp;"/"</f>
        <v>b. Corto plazo 3/</v>
      </c>
      <c r="H72" s="1603"/>
      <c r="I72" s="1604"/>
      <c r="J72" s="1604"/>
      <c r="K72" s="1605"/>
      <c r="L72" s="1606">
        <f t="shared" si="10"/>
        <v>0</v>
      </c>
      <c r="M72" s="1583"/>
      <c r="N72" s="518"/>
      <c r="O72" s="518"/>
      <c r="P72" s="518"/>
      <c r="Q72" s="518"/>
      <c r="R72" s="518"/>
    </row>
    <row r="73" spans="1:18" s="1" customFormat="1" ht="8.25" customHeight="1" thickTop="1" thickBot="1">
      <c r="A73" s="734"/>
      <c r="B73" s="669"/>
      <c r="C73" s="744"/>
      <c r="D73" s="745"/>
      <c r="E73" s="134"/>
      <c r="F73" s="746"/>
      <c r="G73" s="138"/>
      <c r="H73" s="515"/>
      <c r="I73" s="705"/>
      <c r="J73" s="705"/>
      <c r="K73" s="705"/>
      <c r="L73" s="515"/>
      <c r="M73" s="705"/>
      <c r="N73" s="518"/>
      <c r="O73" s="518"/>
      <c r="P73" s="518"/>
      <c r="Q73" s="518"/>
      <c r="R73" s="518"/>
    </row>
    <row r="74" spans="1:18" s="1" customFormat="1" ht="32.25" customHeight="1" thickTop="1" thickBot="1">
      <c r="A74" s="734"/>
      <c r="B74" s="669"/>
      <c r="C74" s="735"/>
      <c r="D74" s="736"/>
      <c r="E74" s="134"/>
      <c r="F74" s="737" t="s">
        <v>2514</v>
      </c>
      <c r="G74" s="738"/>
      <c r="H74" s="516"/>
      <c r="I74" s="739"/>
      <c r="J74" s="739"/>
      <c r="K74" s="739"/>
      <c r="L74" s="516"/>
      <c r="M74" s="740"/>
      <c r="N74" s="518"/>
      <c r="O74" s="518"/>
      <c r="P74" s="518"/>
      <c r="Q74" s="518"/>
      <c r="R74" s="518"/>
    </row>
    <row r="75" spans="1:18" s="1" customFormat="1" ht="25.5" customHeight="1" thickTop="1">
      <c r="A75" s="734">
        <f>+A63</f>
        <v>4</v>
      </c>
      <c r="B75" s="669" t="s">
        <v>2515</v>
      </c>
      <c r="C75" s="670"/>
      <c r="D75" s="671" t="str">
        <f>CONCATENATE("0",A75,B75)</f>
        <v>04..03.</v>
      </c>
      <c r="E75" s="102"/>
      <c r="F75" s="741" t="str">
        <f>+D75</f>
        <v>04..03.</v>
      </c>
      <c r="G75" s="747" t="s">
        <v>2516</v>
      </c>
      <c r="H75" s="352">
        <f>SUM(H76:H77)</f>
        <v>0</v>
      </c>
      <c r="I75" s="353">
        <f>SUM(I76:I77)</f>
        <v>0</v>
      </c>
      <c r="J75" s="353">
        <f>SUM(J76:J77)</f>
        <v>0</v>
      </c>
      <c r="K75" s="354">
        <f>SUM(K76:K77)</f>
        <v>0</v>
      </c>
      <c r="L75" s="351">
        <f>+H75+I75-J75+K75</f>
        <v>0</v>
      </c>
      <c r="M75" s="355">
        <f>SUM(M76:M77)</f>
        <v>0</v>
      </c>
      <c r="N75" s="411"/>
      <c r="O75" s="518"/>
      <c r="P75" s="518"/>
      <c r="Q75" s="518"/>
      <c r="R75" s="518"/>
    </row>
    <row r="76" spans="1:18" s="1" customFormat="1" ht="25.5" customHeight="1">
      <c r="A76" s="734">
        <f>+A75</f>
        <v>4</v>
      </c>
      <c r="B76" s="669" t="s">
        <v>2517</v>
      </c>
      <c r="C76" s="1568"/>
      <c r="D76" s="1569" t="str">
        <f>CONCATENATE("0",A76,B76)</f>
        <v>04..03.01.</v>
      </c>
      <c r="E76" s="102"/>
      <c r="F76" s="666" t="str">
        <f>+D76</f>
        <v>04..03.01.</v>
      </c>
      <c r="G76" s="1523" t="str">
        <f>"a. Largo plazo "&amp;$D$82&amp;"/"</f>
        <v>a. Largo plazo 2/</v>
      </c>
      <c r="H76" s="435"/>
      <c r="I76" s="320"/>
      <c r="J76" s="320"/>
      <c r="K76" s="1527"/>
      <c r="L76" s="437">
        <f>+H76+I76-J76+K76</f>
        <v>0</v>
      </c>
      <c r="M76" s="1585"/>
      <c r="N76" s="411"/>
      <c r="O76" s="518"/>
      <c r="P76" s="518"/>
      <c r="Q76" s="518"/>
      <c r="R76" s="518"/>
    </row>
    <row r="77" spans="1:18" s="1" customFormat="1" ht="25.5" customHeight="1" thickBot="1">
      <c r="A77" s="734">
        <f>+A76</f>
        <v>4</v>
      </c>
      <c r="B77" s="669" t="s">
        <v>2518</v>
      </c>
      <c r="C77" s="675"/>
      <c r="D77" s="1571" t="str">
        <f>CONCATENATE("0",A77,B77)</f>
        <v>04..03.02.</v>
      </c>
      <c r="E77" s="102"/>
      <c r="F77" s="1601" t="str">
        <f>+D77</f>
        <v>04..03.02.</v>
      </c>
      <c r="G77" s="1602" t="str">
        <f>"b. Corto plazo "&amp;$D$83&amp;"/"</f>
        <v>b. Corto plazo 3/</v>
      </c>
      <c r="H77" s="1603"/>
      <c r="I77" s="1604"/>
      <c r="J77" s="1604"/>
      <c r="K77" s="1605"/>
      <c r="L77" s="1606">
        <f>+H77+I77-J77+K77</f>
        <v>0</v>
      </c>
      <c r="M77" s="1583"/>
      <c r="N77" s="411"/>
      <c r="O77" s="518"/>
      <c r="P77" s="518"/>
      <c r="Q77" s="518"/>
      <c r="R77" s="518"/>
    </row>
    <row r="78" spans="1:18" ht="20.25" thickTop="1" thickBot="1"/>
    <row r="79" spans="1:18" s="97" customFormat="1" ht="27.75" customHeight="1" thickTop="1">
      <c r="A79" s="694"/>
      <c r="B79" s="694"/>
      <c r="E79" s="100"/>
      <c r="F79" s="711" t="s">
        <v>2446</v>
      </c>
      <c r="G79" s="204"/>
      <c r="H79" s="204"/>
      <c r="I79" s="204"/>
      <c r="J79" s="204"/>
      <c r="K79" s="204"/>
      <c r="L79" s="204"/>
      <c r="M79" s="205"/>
    </row>
    <row r="80" spans="1:18" s="97" customFormat="1" ht="20.25">
      <c r="A80" s="694"/>
      <c r="B80" s="694"/>
      <c r="D80" s="132">
        <v>1</v>
      </c>
      <c r="E80" s="132"/>
      <c r="F80" s="202" t="str">
        <f>D80&amp;"/ "&amp;" Créditos comerciales, como la compra al crédito de bienes y servicios (importaciones)."</f>
        <v>1/  Créditos comerciales, como la compra al crédito de bienes y servicios (importaciones).</v>
      </c>
      <c r="M80" s="206"/>
    </row>
    <row r="81" spans="1:13" s="97" customFormat="1" ht="20.25">
      <c r="A81" s="694"/>
      <c r="B81" s="694"/>
      <c r="D81" s="132"/>
      <c r="E81" s="132"/>
      <c r="F81" s="202" t="s">
        <v>2519</v>
      </c>
      <c r="M81" s="206"/>
    </row>
    <row r="82" spans="1:13" s="97" customFormat="1" ht="27.75" customHeight="1">
      <c r="A82" s="694"/>
      <c r="B82" s="694"/>
      <c r="D82" s="132">
        <f>COUNTA($D$80:D80)+1</f>
        <v>2</v>
      </c>
      <c r="E82" s="132"/>
      <c r="F82" s="202" t="str">
        <f>D82&amp;"/"&amp; " Cuyo plazo de vencimiento original es mayor de un año o no está determinado."</f>
        <v>2/ Cuyo plazo de vencimiento original es mayor de un año o no está determinado.</v>
      </c>
      <c r="M82" s="206"/>
    </row>
    <row r="83" spans="1:13" s="97" customFormat="1" ht="27.75" customHeight="1">
      <c r="A83" s="694"/>
      <c r="B83" s="694"/>
      <c r="D83" s="132">
        <f>COUNTA($D$80:D82)+1</f>
        <v>3</v>
      </c>
      <c r="E83" s="132"/>
      <c r="F83" s="202" t="str">
        <f>D83&amp;"/"&amp; " Cuyo plazo de vencimiento original es igual o menor a un año."</f>
        <v>3/ Cuyo plazo de vencimiento original es igual o menor a un año.</v>
      </c>
      <c r="M83" s="206"/>
    </row>
    <row r="84" spans="1:13" s="97" customFormat="1" ht="27.75" customHeight="1">
      <c r="A84" s="694"/>
      <c r="B84" s="694"/>
      <c r="D84" s="132">
        <f>COUNTA($D$80:D83)+1</f>
        <v>4</v>
      </c>
      <c r="E84" s="132"/>
      <c r="F84" s="202" t="str">
        <f>D84&amp;"/"&amp; " Préstamos de no residentes financieros, como la banca comercial extranjera y los organismos financieros internacionales; y no financieros, como agencias de gobierno y otras empresas no financieras, etc."</f>
        <v>4/ Préstamos de no residentes financieros, como la banca comercial extranjera y los organismos financieros internacionales; y no financieros, como agencias de gobierno y otras empresas no financieras, etc.</v>
      </c>
      <c r="M84" s="206"/>
    </row>
    <row r="85" spans="1:13" s="97" customFormat="1" ht="27.75" customHeight="1">
      <c r="A85" s="694"/>
      <c r="B85" s="694"/>
      <c r="D85" s="132">
        <f>COUNTA($D$80:D84)+1</f>
        <v>5</v>
      </c>
      <c r="E85" s="132"/>
      <c r="F85" s="202" t="str">
        <f>D85&amp;"/"&amp;" Cuentas diversas por pagar, no derivadas de operaciones comerciales o de préstamos. Excluye bonos."</f>
        <v>5/ Cuentas diversas por pagar, no derivadas de operaciones comerciales o de préstamos. Excluye bonos.</v>
      </c>
      <c r="M85" s="206"/>
    </row>
    <row r="86" spans="1:13" s="97" customFormat="1" ht="27.75" customHeight="1">
      <c r="A86" s="694"/>
      <c r="B86" s="694"/>
      <c r="D86" s="132">
        <f>COUNTA($D$80:D85)+1</f>
        <v>6</v>
      </c>
      <c r="E86" s="132"/>
      <c r="F86" s="202" t="str">
        <f>D86&amp;"/ "&amp;"Colocaciones de títulos de deuda en el mercado internacional, adquiridos por no residentes, denominados en M/N o M/E."</f>
        <v>6/ Colocaciones de títulos de deuda en el mercado internacional, adquiridos por no residentes, denominados en M/N o M/E.</v>
      </c>
      <c r="M86" s="206"/>
    </row>
    <row r="87" spans="1:13" s="97" customFormat="1" ht="27.75" customHeight="1">
      <c r="A87" s="694"/>
      <c r="B87" s="694"/>
      <c r="D87" s="132">
        <f>COUNTA($D$80:D86)+1</f>
        <v>7</v>
      </c>
      <c r="E87" s="132"/>
      <c r="F87" s="202" t="str">
        <f>D87&amp;"/ "&amp;"Colocaciones de títulos de deuda en el mercado local, adquiridos por no residentes, denominados en M/N o M/E."</f>
        <v>7/ Colocaciones de títulos de deuda en el mercado local, adquiridos por no residentes, denominados en M/N o M/E.</v>
      </c>
      <c r="M87" s="206"/>
    </row>
    <row r="88" spans="1:13" ht="27.75" customHeight="1">
      <c r="D88" s="132">
        <f>COUNTA($D$80:D87)+1</f>
        <v>8</v>
      </c>
      <c r="E88" s="132"/>
      <c r="F88" s="202" t="str">
        <f>D88&amp;"/"&amp;" Aplicable solo a las empresas bancarias y otras captadoras de depósitos. Comprende depósitos en M/E o M/N cuyos titulares son no residentes."</f>
        <v>8/ Aplicable solo a las empresas bancarias y otras captadoras de depósitos. Comprende depósitos en M/E o M/N cuyos titulares son no residentes.</v>
      </c>
      <c r="G88" s="97"/>
      <c r="H88" s="97"/>
      <c r="I88" s="97"/>
      <c r="J88" s="97"/>
      <c r="K88" s="97"/>
      <c r="L88" s="97"/>
      <c r="M88" s="206"/>
    </row>
    <row r="89" spans="1:13" ht="27.75" customHeight="1">
      <c r="D89" s="132">
        <f>COUNTA($D$80:D88)+1</f>
        <v>9</v>
      </c>
      <c r="E89" s="132"/>
      <c r="F89" s="202" t="str">
        <f>D89&amp;"/"&amp;" Incluya el pago de atrasos del principal (regularización de atrasos)."</f>
        <v>9/ Incluya el pago de atrasos del principal (regularización de atrasos).</v>
      </c>
      <c r="G89" s="97"/>
      <c r="H89" s="97"/>
      <c r="I89" s="97"/>
      <c r="J89" s="97"/>
      <c r="K89" s="97"/>
      <c r="L89" s="97"/>
      <c r="M89" s="206"/>
    </row>
    <row r="90" spans="1:13" ht="27.75" customHeight="1">
      <c r="D90" s="132">
        <f>COUNTA($D$80:D89)+1</f>
        <v>10</v>
      </c>
      <c r="E90" s="132"/>
      <c r="F90" s="202" t="str">
        <f>D90&amp;"/"&amp;" Por variaciones de precios, del tipo de cambio ú otras que no representan un acuerdo entre partes."</f>
        <v>10/ Por variaciones de precios, del tipo de cambio ú otras que no representan un acuerdo entre partes.</v>
      </c>
      <c r="G90" s="97"/>
      <c r="H90" s="97"/>
      <c r="I90" s="97"/>
      <c r="J90" s="97"/>
      <c r="K90" s="97"/>
      <c r="L90" s="97"/>
      <c r="M90" s="206"/>
    </row>
    <row r="91" spans="1:13" ht="26.25" customHeight="1" thickBot="1">
      <c r="D91" s="132">
        <f>COUNTA($D$80:D90)+1</f>
        <v>11</v>
      </c>
      <c r="F91" s="1237" t="str">
        <f>D91&amp;"/"&amp;" Estos préstamos forman parte del item 2 del rubro A (partida de código 04.01.02.), filas 50, 51 y 52 del Excel."</f>
        <v>11/ Estos préstamos forman parte del item 2 del rubro A (partida de código 04.01.02.), filas 50, 51 y 52 del Excel.</v>
      </c>
      <c r="G91" s="215"/>
      <c r="H91" s="215"/>
      <c r="I91" s="215"/>
      <c r="J91" s="215"/>
      <c r="K91" s="215"/>
      <c r="L91" s="215"/>
      <c r="M91" s="207"/>
    </row>
    <row r="92" spans="1:13" ht="19.5" thickTop="1"/>
  </sheetData>
  <sheetProtection algorithmName="SHA-512" hashValue="amC9ezpxJbEcNddibw2BASVE4pWq6o+p2eRCsaie4uFGmcA4Fvk652/AGQNhV5nEdFP1Cl5+CH9N4gKzZG6LIg==" saltValue="VQoFqYJhY3NeDxRm0brngw==" spinCount="100000" sheet="1" objects="1" scenarios="1"/>
  <mergeCells count="16">
    <mergeCell ref="F6:N6"/>
    <mergeCell ref="F65:M65"/>
    <mergeCell ref="F42:G45"/>
    <mergeCell ref="H42:L42"/>
    <mergeCell ref="C43:D44"/>
    <mergeCell ref="H43:H44"/>
    <mergeCell ref="I43:J43"/>
    <mergeCell ref="K43:K44"/>
    <mergeCell ref="L43:L44"/>
    <mergeCell ref="C10:D11"/>
    <mergeCell ref="H9:L9"/>
    <mergeCell ref="I10:J10"/>
    <mergeCell ref="H10:H11"/>
    <mergeCell ref="K10:K11"/>
    <mergeCell ref="L10:L11"/>
    <mergeCell ref="F9:G12"/>
  </mergeCells>
  <phoneticPr fontId="0" type="noConversion"/>
  <dataValidations count="4">
    <dataValidation type="whole" allowBlank="1" showErrorMessage="1" errorTitle="SOLO VALORES ENTEROS" error="NO INGRESE DECIMALES. REDONDEE SI ES NECESARIO." sqref="K26 H26 H38:H40 K38:K40" xr:uid="{00000000-0002-0000-0C00-000000000000}">
      <formula1>-999999999999999000000</formula1>
      <formula2>999999999999999000000</formula2>
    </dataValidation>
    <dataValidation type="whole" operator="greaterThanOrEqual" allowBlank="1" showErrorMessage="1" errorTitle="INFRACCION DE ENTEROS O DE SIGNO" error="SOLO VALORES ENTEROS: POSITIVOS O CERO._x000a_NO INGRESE VALORES NEGATIVOS." promptTitle="SIGNO POSITIVO" prompt="Ingrese valores enteros posiivos o cero." sqref="I26:J26 I38:J40" xr:uid="{00000000-0002-0000-0C00-000001000000}">
      <formula1>0</formula1>
    </dataValidation>
    <dataValidation type="whole" operator="greaterThanOrEqual" allowBlank="1" showErrorMessage="1" errorTitle="INFRACCION DE ENTEROS O DE SIGNO" error="SOLO VALORES ENTEROS: POSITIVOS O CERO." promptTitle="SIGNO POSITIVO" prompt="Ingrese valores enteros posiivos o cero." sqref="M26 M38:M40" xr:uid="{00000000-0002-0000-0C00-000002000000}">
      <formula1>0</formula1>
    </dataValidation>
    <dataValidation operator="greaterThan" allowBlank="1" showErrorMessage="1" errorTitle="INFRACCION DE ENTEROS O DE SIGNO" error="SOLO VALORES ENTEROS: POSITIVOS O CERO." promptTitle="SIGNO POSITIVO" prompt="Ingrese valores enteros posiivos o cero." sqref="H27:M28 H66:M66" xr:uid="{00000000-0002-0000-0C00-000003000000}"/>
  </dataValidations>
  <printOptions horizontalCentered="1" headings="1"/>
  <pageMargins left="0.43307086614173229" right="0.47244094488188981" top="0.31496062992125984" bottom="0.43307086614173229" header="0" footer="0.19685039370078741"/>
  <pageSetup paperSize="9" scale="53" fitToHeight="3" orientation="landscape" r:id="rId1"/>
  <headerFooter alignWithMargins="0">
    <oddFooter>&amp;L&amp;"Arial,Negrita"&amp;14&amp;D   &amp;T&amp;C&amp;"Arial,Negrita"&amp;14&amp;F&amp;R&amp;"Arial,Negrita"&amp;14&amp;A</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6">
    <tabColor rgb="FF002060"/>
    <pageSetUpPr fitToPage="1"/>
  </sheetPr>
  <dimension ref="A1:Y60"/>
  <sheetViews>
    <sheetView showGridLines="0" topLeftCell="E3" zoomScale="55" zoomScaleNormal="55" workbookViewId="0">
      <pane xSplit="1" ySplit="5" topLeftCell="F8" activePane="bottomRight" state="frozen"/>
      <selection activeCell="H11" sqref="H11:XFD11"/>
      <selection pane="topRight" activeCell="H11" sqref="H11:XFD11"/>
      <selection pane="bottomLeft" activeCell="H11" sqref="H11:XFD11"/>
      <selection pane="bottomRight" activeCell="K40" sqref="K40"/>
    </sheetView>
  </sheetViews>
  <sheetFormatPr baseColWidth="10" defaultColWidth="11.42578125" defaultRowHeight="18.75"/>
  <cols>
    <col min="1" max="1" width="18.7109375" style="693" hidden="1" customWidth="1"/>
    <col min="2" max="2" width="24.28515625" style="693" hidden="1" customWidth="1"/>
    <col min="3" max="3" width="22.28515625" style="97" hidden="1" customWidth="1"/>
    <col min="4" max="4" width="24.28515625" style="97" hidden="1" customWidth="1"/>
    <col min="5" max="5" width="3.140625" style="100" customWidth="1"/>
    <col min="6" max="6" width="24.28515625" style="45" customWidth="1"/>
    <col min="7" max="7" width="83.7109375" style="45" customWidth="1"/>
    <col min="8" max="12" width="24.7109375" style="45" customWidth="1"/>
    <col min="13" max="13" width="24.7109375" style="97" customWidth="1"/>
    <col min="14" max="25" width="11.42578125" style="97"/>
    <col min="26" max="16384" width="11.42578125" style="45"/>
  </cols>
  <sheetData>
    <row r="1" spans="1:25" ht="20.25" hidden="1">
      <c r="F1" s="748" t="s">
        <v>2253</v>
      </c>
      <c r="G1" s="749"/>
      <c r="H1" s="750" t="s">
        <v>2254</v>
      </c>
      <c r="I1" s="750" t="s">
        <v>2255</v>
      </c>
      <c r="J1" s="750" t="s">
        <v>2256</v>
      </c>
      <c r="K1" s="750" t="s">
        <v>2257</v>
      </c>
      <c r="L1" s="750" t="s">
        <v>2258</v>
      </c>
      <c r="M1" s="750" t="s">
        <v>2259</v>
      </c>
    </row>
    <row r="3" spans="1:25" s="97" customFormat="1" ht="9.75" customHeight="1">
      <c r="B3" s="98"/>
      <c r="C3" s="98"/>
      <c r="D3" s="98"/>
      <c r="F3" s="178"/>
      <c r="G3" s="178"/>
      <c r="H3" s="179"/>
      <c r="I3" s="180"/>
      <c r="J3" s="180"/>
      <c r="K3" s="178"/>
      <c r="L3" s="180"/>
      <c r="M3" s="180"/>
    </row>
    <row r="4" spans="1:25" s="97" customFormat="1" ht="35.25">
      <c r="B4" s="98"/>
      <c r="C4" s="98"/>
      <c r="D4" s="98"/>
      <c r="F4" s="162" t="str">
        <f ca="1">$C$9&amp;"  Intereses por las obligaciones en instrumentos de deuda con no residentes"</f>
        <v>Tabla III.2.  Intereses por las obligaciones en instrumentos de deuda con no residentes</v>
      </c>
      <c r="G4" s="160"/>
      <c r="H4" s="160"/>
      <c r="I4" s="161"/>
      <c r="J4" s="160"/>
      <c r="K4" s="160"/>
      <c r="L4" s="160"/>
      <c r="M4" s="160"/>
    </row>
    <row r="5" spans="1:25" s="97" customFormat="1" ht="36.75" customHeight="1">
      <c r="B5" s="98"/>
      <c r="C5" s="98"/>
      <c r="D5" s="98"/>
      <c r="F5" s="1236" t="s">
        <v>2420</v>
      </c>
      <c r="G5" s="160"/>
      <c r="H5" s="160"/>
      <c r="I5" s="168"/>
      <c r="J5" s="168"/>
      <c r="K5" s="168"/>
      <c r="L5" s="160"/>
      <c r="M5" s="160"/>
    </row>
    <row r="6" spans="1:25" s="97" customFormat="1" ht="41.25" customHeight="1">
      <c r="B6" s="98"/>
      <c r="C6" s="98"/>
      <c r="D6" s="98"/>
      <c r="F6" s="2300" t="s">
        <v>2520</v>
      </c>
      <c r="G6" s="2300"/>
      <c r="H6" s="2300"/>
      <c r="I6" s="2300"/>
      <c r="J6" s="2300"/>
      <c r="K6" s="2300"/>
      <c r="L6" s="2300"/>
      <c r="M6" s="2300"/>
    </row>
    <row r="7" spans="1:25" ht="7.5" customHeight="1">
      <c r="F7" s="97"/>
      <c r="G7" s="97"/>
      <c r="H7" s="97"/>
      <c r="I7" s="97"/>
      <c r="J7" s="97"/>
      <c r="K7" s="97"/>
      <c r="L7" s="97"/>
    </row>
    <row r="8" spans="1:25" s="97" customFormat="1" ht="33" customHeight="1" thickBot="1">
      <c r="A8" s="694"/>
      <c r="B8" s="694"/>
      <c r="E8" s="100"/>
      <c r="F8" s="158" t="str">
        <f>"Parte A. Intereses frente a empresas no residentes relacionadas: intereses  "&amp;$D$28&amp;"/"</f>
        <v>Parte A. Intereses frente a empresas no residentes relacionadas: intereses  1/</v>
      </c>
      <c r="G8" s="160"/>
      <c r="H8" s="160"/>
      <c r="I8" s="160"/>
      <c r="J8" s="160"/>
      <c r="K8" s="160"/>
      <c r="L8" s="160"/>
      <c r="M8" s="160"/>
    </row>
    <row r="9" spans="1:25" s="97" customFormat="1" ht="48" thickTop="1" thickBot="1">
      <c r="A9" s="694"/>
      <c r="B9" s="694"/>
      <c r="C9" s="120" t="str">
        <f ca="1">RIGHT(CELL("nombrearchivo",$A$1),LEN(CELL("nombrearchivo",$A$1))-SEARCH("]",CELL("nombrearchivo",$A$1)))</f>
        <v>Tabla III.2.</v>
      </c>
      <c r="E9" s="100"/>
      <c r="F9" s="2346" t="s">
        <v>2521</v>
      </c>
      <c r="G9" s="2347"/>
      <c r="H9" s="2331" t="s">
        <v>2522</v>
      </c>
      <c r="I9" s="2332"/>
      <c r="J9" s="2332"/>
      <c r="K9" s="2332"/>
      <c r="L9" s="2333"/>
      <c r="M9" s="751" t="s">
        <v>2523</v>
      </c>
    </row>
    <row r="10" spans="1:25" ht="51.75" customHeight="1" thickTop="1">
      <c r="C10" s="2334" t="str">
        <f ca="1">RIGHT(CELL("nombrearchivo",$A$1),LEN(CELL("nombrearchivo",$A$1))-SEARCH("]",CELL("nombrearchivo",$A$1)))</f>
        <v>Tabla III.2.</v>
      </c>
      <c r="D10" s="2335"/>
      <c r="F10" s="2348"/>
      <c r="G10" s="2349"/>
      <c r="H10" s="2352" t="str">
        <f>+'Tabla III.1.'!H10</f>
        <v>SALDO A FINES DE JUNIO 2025</v>
      </c>
      <c r="I10" s="2340" t="str">
        <f>+'Tabla III.1.'!I10</f>
        <v>TRANSACCIONES DEL
 3T2025 (JUL - SET)</v>
      </c>
      <c r="J10" s="2341"/>
      <c r="K10" s="2354" t="s">
        <v>2524</v>
      </c>
      <c r="L10" s="2356" t="str">
        <f>+'Tabla III.1.'!L10</f>
        <v>SALDO A FINES DE SETIEMBRE 2025</v>
      </c>
      <c r="M10" s="696" t="str">
        <f>+'Tabla III.1.'!M10</f>
        <v xml:space="preserve">SALDO DE ATRASOS A FINES DEL 3T2025 </v>
      </c>
    </row>
    <row r="11" spans="1:25" ht="84" customHeight="1" thickBot="1">
      <c r="C11" s="2336"/>
      <c r="D11" s="2337"/>
      <c r="F11" s="2348"/>
      <c r="G11" s="2349"/>
      <c r="H11" s="2353"/>
      <c r="I11" s="752" t="s">
        <v>2525</v>
      </c>
      <c r="J11" s="752" t="s">
        <v>2526</v>
      </c>
      <c r="K11" s="2355"/>
      <c r="L11" s="2357"/>
      <c r="M11" s="697" t="s">
        <v>2527</v>
      </c>
    </row>
    <row r="12" spans="1:25" s="47" customFormat="1" ht="36" customHeight="1" thickBot="1">
      <c r="A12" s="135" t="s">
        <v>2261</v>
      </c>
      <c r="B12" s="135" t="s">
        <v>2262</v>
      </c>
      <c r="C12" s="94" t="s">
        <v>2171</v>
      </c>
      <c r="D12" s="95" t="s">
        <v>2172</v>
      </c>
      <c r="E12" s="101"/>
      <c r="F12" s="2350"/>
      <c r="G12" s="2351"/>
      <c r="H12" s="620" t="s">
        <v>2266</v>
      </c>
      <c r="I12" s="621" t="s">
        <v>2267</v>
      </c>
      <c r="J12" s="621" t="s">
        <v>2268</v>
      </c>
      <c r="K12" s="622" t="s">
        <v>2269</v>
      </c>
      <c r="L12" s="698" t="s">
        <v>2495</v>
      </c>
      <c r="M12" s="753" t="s">
        <v>2496</v>
      </c>
      <c r="N12" s="46"/>
      <c r="O12" s="46"/>
      <c r="P12" s="46"/>
      <c r="Q12" s="46"/>
      <c r="R12" s="46"/>
      <c r="S12" s="46"/>
      <c r="T12" s="46"/>
      <c r="U12" s="46"/>
      <c r="V12" s="46"/>
      <c r="W12" s="46"/>
      <c r="X12" s="46"/>
      <c r="Y12" s="46"/>
    </row>
    <row r="13" spans="1:25" s="47" customFormat="1" ht="36" customHeight="1" thickTop="1">
      <c r="A13" s="136">
        <f>+'Tabla III.1.'!A63+1</f>
        <v>5</v>
      </c>
      <c r="B13" s="700" t="s">
        <v>2272</v>
      </c>
      <c r="C13" s="701"/>
      <c r="D13" s="702" t="str">
        <f t="shared" ref="D13:D24" si="0">CONCATENATE("0",A13,B13)</f>
        <v>05.01.</v>
      </c>
      <c r="E13" s="102"/>
      <c r="F13" s="754" t="str">
        <f>+D13</f>
        <v>05.01.</v>
      </c>
      <c r="G13" s="140" t="s">
        <v>2528</v>
      </c>
      <c r="H13" s="363">
        <f>SUM(H14:H15)</f>
        <v>0</v>
      </c>
      <c r="I13" s="364">
        <f>SUM(I14:I15)</f>
        <v>0</v>
      </c>
      <c r="J13" s="364">
        <f>SUM(J14:J15)</f>
        <v>0</v>
      </c>
      <c r="K13" s="364">
        <f>SUM(K14:K15)</f>
        <v>0</v>
      </c>
      <c r="L13" s="353">
        <f>+H13+I13-J13+K13</f>
        <v>0</v>
      </c>
      <c r="M13" s="355">
        <f>SUM(M14:M15)</f>
        <v>0</v>
      </c>
      <c r="N13" s="411"/>
      <c r="O13" s="46"/>
      <c r="P13" s="46"/>
      <c r="Q13" s="46"/>
      <c r="R13" s="46"/>
      <c r="S13" s="46"/>
      <c r="T13" s="46"/>
      <c r="U13" s="46"/>
      <c r="V13" s="46"/>
      <c r="W13" s="46"/>
      <c r="X13" s="46"/>
      <c r="Y13" s="46"/>
    </row>
    <row r="14" spans="1:25" s="47" customFormat="1" ht="23.1" customHeight="1">
      <c r="A14" s="136">
        <f t="shared" ref="A14:A25" si="1">+A13</f>
        <v>5</v>
      </c>
      <c r="B14" s="255" t="s">
        <v>2431</v>
      </c>
      <c r="C14" s="1572">
        <v>101</v>
      </c>
      <c r="D14" s="1573" t="str">
        <f t="shared" si="0"/>
        <v>05.01.00.01.</v>
      </c>
      <c r="E14" s="102"/>
      <c r="F14" s="755" t="str">
        <f t="shared" ref="F14:F25" si="2">+D14</f>
        <v>05.01.00.01.</v>
      </c>
      <c r="G14" s="704" t="s">
        <v>2529</v>
      </c>
      <c r="H14" s="436"/>
      <c r="I14" s="319"/>
      <c r="J14" s="319"/>
      <c r="K14" s="319"/>
      <c r="L14" s="438">
        <f>+H14+I14-J14+K14</f>
        <v>0</v>
      </c>
      <c r="M14" s="441"/>
      <c r="N14" s="411"/>
      <c r="O14" s="46"/>
      <c r="P14" s="46"/>
      <c r="Q14" s="46"/>
      <c r="R14" s="46"/>
      <c r="S14" s="46"/>
      <c r="T14" s="46"/>
      <c r="U14" s="46"/>
      <c r="V14" s="46"/>
      <c r="W14" s="46"/>
      <c r="X14" s="46"/>
      <c r="Y14" s="46"/>
    </row>
    <row r="15" spans="1:25" s="47" customFormat="1" ht="23.1" customHeight="1">
      <c r="A15" s="136">
        <f t="shared" si="1"/>
        <v>5</v>
      </c>
      <c r="B15" s="255" t="s">
        <v>2433</v>
      </c>
      <c r="C15" s="1572">
        <v>111</v>
      </c>
      <c r="D15" s="1573" t="str">
        <f t="shared" si="0"/>
        <v>05.01.00.02.</v>
      </c>
      <c r="E15" s="102"/>
      <c r="F15" s="1607" t="str">
        <f t="shared" si="2"/>
        <v>05.01.00.02.</v>
      </c>
      <c r="G15" s="1575" t="s">
        <v>2530</v>
      </c>
      <c r="H15" s="1576"/>
      <c r="I15" s="1608"/>
      <c r="J15" s="1608"/>
      <c r="K15" s="1608"/>
      <c r="L15" s="1579">
        <f>+H15+I15-J15+K15</f>
        <v>0</v>
      </c>
      <c r="M15" s="1609"/>
      <c r="N15" s="411"/>
      <c r="O15" s="46"/>
      <c r="P15" s="46"/>
      <c r="Q15" s="46"/>
      <c r="R15" s="46"/>
      <c r="S15" s="46"/>
      <c r="T15" s="46"/>
      <c r="U15" s="46"/>
      <c r="V15" s="46"/>
      <c r="W15" s="46"/>
      <c r="X15" s="46"/>
      <c r="Y15" s="46"/>
    </row>
    <row r="16" spans="1:25" s="47" customFormat="1" ht="36" customHeight="1">
      <c r="A16" s="136">
        <f t="shared" si="1"/>
        <v>5</v>
      </c>
      <c r="B16" s="700" t="s">
        <v>2302</v>
      </c>
      <c r="C16" s="706"/>
      <c r="D16" s="1581" t="str">
        <f t="shared" si="0"/>
        <v>05.02.</v>
      </c>
      <c r="E16" s="102"/>
      <c r="F16" s="756" t="str">
        <f t="shared" si="2"/>
        <v>05.02.</v>
      </c>
      <c r="G16" s="141" t="s">
        <v>2531</v>
      </c>
      <c r="H16" s="365">
        <f>SUM(H17:H18)</f>
        <v>0</v>
      </c>
      <c r="I16" s="366">
        <f>SUM(I17:I18)</f>
        <v>0</v>
      </c>
      <c r="J16" s="366">
        <f>SUM(J17:J18)</f>
        <v>0</v>
      </c>
      <c r="K16" s="366">
        <f>SUM(K17:K18)</f>
        <v>0</v>
      </c>
      <c r="L16" s="330">
        <f t="shared" ref="L16:L25" si="3">+H16+I16-J16+K16</f>
        <v>0</v>
      </c>
      <c r="M16" s="372">
        <f>SUM(M17:M18)</f>
        <v>0</v>
      </c>
      <c r="N16" s="411"/>
      <c r="O16" s="46"/>
      <c r="P16" s="46"/>
      <c r="Q16" s="46"/>
      <c r="R16" s="46"/>
      <c r="S16" s="46"/>
      <c r="T16" s="46"/>
      <c r="U16" s="46"/>
      <c r="V16" s="46"/>
      <c r="W16" s="46"/>
      <c r="X16" s="46"/>
      <c r="Y16" s="46"/>
    </row>
    <row r="17" spans="1:25" s="47" customFormat="1" ht="23.1" customHeight="1">
      <c r="A17" s="136">
        <f t="shared" si="1"/>
        <v>5</v>
      </c>
      <c r="B17" s="255" t="s">
        <v>2435</v>
      </c>
      <c r="C17" s="1582">
        <v>102</v>
      </c>
      <c r="D17" s="1573" t="str">
        <f t="shared" si="0"/>
        <v>05.02.00.01.</v>
      </c>
      <c r="E17" s="102"/>
      <c r="F17" s="755" t="str">
        <f t="shared" si="2"/>
        <v>05.02.00.01.</v>
      </c>
      <c r="G17" s="704" t="s">
        <v>2529</v>
      </c>
      <c r="H17" s="436"/>
      <c r="I17" s="321"/>
      <c r="J17" s="321"/>
      <c r="K17" s="322"/>
      <c r="L17" s="438">
        <f t="shared" si="3"/>
        <v>0</v>
      </c>
      <c r="M17" s="420"/>
      <c r="N17" s="411"/>
      <c r="O17" s="46"/>
      <c r="P17" s="46"/>
      <c r="Q17" s="46"/>
      <c r="R17" s="46"/>
      <c r="S17" s="46"/>
      <c r="T17" s="46"/>
      <c r="U17" s="46"/>
      <c r="V17" s="46"/>
      <c r="W17" s="46"/>
      <c r="X17" s="46"/>
      <c r="Y17" s="46"/>
    </row>
    <row r="18" spans="1:25" s="47" customFormat="1" ht="23.1" customHeight="1">
      <c r="A18" s="136">
        <f t="shared" si="1"/>
        <v>5</v>
      </c>
      <c r="B18" s="255" t="s">
        <v>2437</v>
      </c>
      <c r="C18" s="1582">
        <v>112</v>
      </c>
      <c r="D18" s="1573" t="str">
        <f t="shared" si="0"/>
        <v>05.02.00.02.</v>
      </c>
      <c r="E18" s="102"/>
      <c r="F18" s="1607" t="str">
        <f t="shared" si="2"/>
        <v>05.02.00.02.</v>
      </c>
      <c r="G18" s="1575" t="s">
        <v>2530</v>
      </c>
      <c r="H18" s="1576"/>
      <c r="I18" s="1577"/>
      <c r="J18" s="1577"/>
      <c r="K18" s="1578"/>
      <c r="L18" s="1579">
        <f t="shared" si="3"/>
        <v>0</v>
      </c>
      <c r="M18" s="1580"/>
      <c r="N18" s="411"/>
      <c r="O18" s="46"/>
      <c r="P18" s="46"/>
      <c r="Q18" s="46"/>
      <c r="R18" s="46"/>
      <c r="S18" s="46"/>
      <c r="T18" s="46"/>
      <c r="U18" s="46"/>
      <c r="V18" s="46"/>
      <c r="W18" s="46"/>
      <c r="X18" s="46"/>
      <c r="Y18" s="46"/>
    </row>
    <row r="19" spans="1:25" s="47" customFormat="1" ht="36" customHeight="1">
      <c r="A19" s="136">
        <f t="shared" si="1"/>
        <v>5</v>
      </c>
      <c r="B19" s="255" t="s">
        <v>2439</v>
      </c>
      <c r="C19" s="706"/>
      <c r="D19" s="1581" t="str">
        <f t="shared" si="0"/>
        <v>05.03.</v>
      </c>
      <c r="E19" s="102"/>
      <c r="F19" s="756" t="str">
        <f t="shared" si="2"/>
        <v>05.03.</v>
      </c>
      <c r="G19" s="141" t="s">
        <v>2532</v>
      </c>
      <c r="H19" s="365">
        <f>SUM(H20:H21)</f>
        <v>0</v>
      </c>
      <c r="I19" s="366">
        <f>SUM(I20:I21)</f>
        <v>0</v>
      </c>
      <c r="J19" s="366">
        <f>SUM(J20:J21)</f>
        <v>0</v>
      </c>
      <c r="K19" s="366">
        <f>SUM(K20:K21)</f>
        <v>0</v>
      </c>
      <c r="L19" s="330">
        <f t="shared" si="3"/>
        <v>0</v>
      </c>
      <c r="M19" s="372">
        <f>SUM(M20:M21)</f>
        <v>0</v>
      </c>
      <c r="N19" s="411"/>
      <c r="O19" s="46"/>
      <c r="P19" s="46"/>
      <c r="Q19" s="46"/>
      <c r="R19" s="46"/>
      <c r="S19" s="46"/>
      <c r="T19" s="46"/>
      <c r="U19" s="46"/>
      <c r="V19" s="46"/>
      <c r="W19" s="46"/>
      <c r="X19" s="46"/>
      <c r="Y19" s="46"/>
    </row>
    <row r="20" spans="1:25" s="47" customFormat="1" ht="23.1" customHeight="1">
      <c r="A20" s="136">
        <f t="shared" si="1"/>
        <v>5</v>
      </c>
      <c r="B20" s="255" t="s">
        <v>2440</v>
      </c>
      <c r="C20" s="1582">
        <v>102</v>
      </c>
      <c r="D20" s="1573" t="str">
        <f t="shared" si="0"/>
        <v>05.03.00.01.</v>
      </c>
      <c r="E20" s="102"/>
      <c r="F20" s="755" t="str">
        <f t="shared" si="2"/>
        <v>05.03.00.01.</v>
      </c>
      <c r="G20" s="704" t="s">
        <v>2529</v>
      </c>
      <c r="H20" s="436"/>
      <c r="I20" s="321"/>
      <c r="J20" s="321"/>
      <c r="K20" s="322"/>
      <c r="L20" s="438">
        <f t="shared" si="3"/>
        <v>0</v>
      </c>
      <c r="M20" s="420"/>
      <c r="N20" s="411"/>
      <c r="O20" s="46"/>
      <c r="P20" s="46"/>
      <c r="Q20" s="46"/>
      <c r="R20" s="46"/>
      <c r="S20" s="46"/>
      <c r="T20" s="46"/>
      <c r="U20" s="46"/>
      <c r="V20" s="46"/>
      <c r="W20" s="46"/>
      <c r="X20" s="46"/>
      <c r="Y20" s="46"/>
    </row>
    <row r="21" spans="1:25" s="47" customFormat="1" ht="23.1" customHeight="1">
      <c r="A21" s="136">
        <f t="shared" si="1"/>
        <v>5</v>
      </c>
      <c r="B21" s="255" t="s">
        <v>2441</v>
      </c>
      <c r="C21" s="1572">
        <v>112</v>
      </c>
      <c r="D21" s="1573" t="str">
        <f t="shared" si="0"/>
        <v>05.03.00.02.</v>
      </c>
      <c r="E21" s="102"/>
      <c r="F21" s="1607" t="str">
        <f t="shared" si="2"/>
        <v>05.03.00.02.</v>
      </c>
      <c r="G21" s="1575" t="s">
        <v>2530</v>
      </c>
      <c r="H21" s="1576"/>
      <c r="I21" s="1577"/>
      <c r="J21" s="1577"/>
      <c r="K21" s="1578"/>
      <c r="L21" s="1579">
        <f t="shared" si="3"/>
        <v>0</v>
      </c>
      <c r="M21" s="1580"/>
      <c r="N21" s="411"/>
      <c r="O21" s="46"/>
      <c r="P21" s="46"/>
      <c r="Q21" s="46"/>
      <c r="R21" s="46"/>
      <c r="S21" s="46"/>
      <c r="T21" s="46"/>
      <c r="U21" s="46"/>
      <c r="V21" s="46"/>
      <c r="W21" s="46"/>
      <c r="X21" s="46"/>
      <c r="Y21" s="46"/>
    </row>
    <row r="22" spans="1:25" s="47" customFormat="1" ht="36" customHeight="1">
      <c r="A22" s="136">
        <f t="shared" si="1"/>
        <v>5</v>
      </c>
      <c r="B22" s="255" t="s">
        <v>2442</v>
      </c>
      <c r="C22" s="706"/>
      <c r="D22" s="1581" t="str">
        <f t="shared" si="0"/>
        <v>05.04.</v>
      </c>
      <c r="E22" s="102"/>
      <c r="F22" s="756" t="str">
        <f t="shared" si="2"/>
        <v>05.04.</v>
      </c>
      <c r="G22" s="141" t="s">
        <v>2533</v>
      </c>
      <c r="H22" s="365">
        <f>SUM(H23:H24)</f>
        <v>0</v>
      </c>
      <c r="I22" s="366">
        <f>SUM(I23:I24)</f>
        <v>0</v>
      </c>
      <c r="J22" s="366">
        <f>SUM(J23:J24)</f>
        <v>0</v>
      </c>
      <c r="K22" s="366">
        <f>SUM(K23:K24)</f>
        <v>0</v>
      </c>
      <c r="L22" s="330">
        <f t="shared" si="3"/>
        <v>0</v>
      </c>
      <c r="M22" s="372">
        <f>SUM(M23:M24)</f>
        <v>0</v>
      </c>
      <c r="N22" s="411"/>
      <c r="O22" s="46"/>
      <c r="P22" s="46"/>
      <c r="Q22" s="46"/>
      <c r="R22" s="46"/>
      <c r="S22" s="46"/>
      <c r="T22" s="46"/>
      <c r="U22" s="46"/>
      <c r="V22" s="46"/>
      <c r="W22" s="46"/>
      <c r="X22" s="46"/>
      <c r="Y22" s="46"/>
    </row>
    <row r="23" spans="1:25" s="47" customFormat="1" ht="23.1" customHeight="1">
      <c r="A23" s="136">
        <f t="shared" si="1"/>
        <v>5</v>
      </c>
      <c r="B23" s="255" t="s">
        <v>2443</v>
      </c>
      <c r="C23" s="1582">
        <v>102</v>
      </c>
      <c r="D23" s="1573" t="str">
        <f t="shared" si="0"/>
        <v>05.04.00.01.</v>
      </c>
      <c r="E23" s="102"/>
      <c r="F23" s="755" t="str">
        <f t="shared" si="2"/>
        <v>05.04.00.01.</v>
      </c>
      <c r="G23" s="704" t="s">
        <v>2529</v>
      </c>
      <c r="H23" s="323"/>
      <c r="I23" s="319"/>
      <c r="J23" s="319"/>
      <c r="K23" s="319"/>
      <c r="L23" s="438">
        <f t="shared" si="3"/>
        <v>0</v>
      </c>
      <c r="M23" s="441"/>
      <c r="N23" s="411"/>
      <c r="O23" s="46"/>
      <c r="P23" s="46"/>
      <c r="Q23" s="46"/>
      <c r="R23" s="46"/>
      <c r="S23" s="46"/>
      <c r="T23" s="46"/>
      <c r="U23" s="46"/>
      <c r="V23" s="46"/>
      <c r="W23" s="46"/>
      <c r="X23" s="46"/>
      <c r="Y23" s="46"/>
    </row>
    <row r="24" spans="1:25" s="47" customFormat="1" ht="23.1" customHeight="1" thickBot="1">
      <c r="A24" s="136">
        <f t="shared" si="1"/>
        <v>5</v>
      </c>
      <c r="B24" s="255" t="s">
        <v>2444</v>
      </c>
      <c r="C24" s="1572">
        <v>112</v>
      </c>
      <c r="D24" s="1573" t="str">
        <f t="shared" si="0"/>
        <v>05.04.00.02.</v>
      </c>
      <c r="E24" s="102"/>
      <c r="F24" s="1607" t="str">
        <f t="shared" si="2"/>
        <v>05.04.00.02.</v>
      </c>
      <c r="G24" s="1575" t="s">
        <v>2530</v>
      </c>
      <c r="H24" s="1610"/>
      <c r="I24" s="1608"/>
      <c r="J24" s="1608"/>
      <c r="K24" s="1608"/>
      <c r="L24" s="1579">
        <f t="shared" si="3"/>
        <v>0</v>
      </c>
      <c r="M24" s="1609"/>
      <c r="N24" s="411"/>
      <c r="O24" s="46"/>
      <c r="P24" s="46"/>
      <c r="Q24" s="46"/>
      <c r="R24" s="46"/>
      <c r="S24" s="46"/>
      <c r="T24" s="46"/>
      <c r="U24" s="46"/>
      <c r="V24" s="46"/>
      <c r="W24" s="46"/>
      <c r="X24" s="46"/>
      <c r="Y24" s="46"/>
    </row>
    <row r="25" spans="1:25" s="47" customFormat="1" ht="35.1" customHeight="1" thickTop="1" thickBot="1">
      <c r="A25" s="757">
        <f t="shared" si="1"/>
        <v>5</v>
      </c>
      <c r="B25" s="641" t="s">
        <v>2307</v>
      </c>
      <c r="C25" s="707"/>
      <c r="D25" s="708" t="str">
        <f>CONCATENATE("0",A25,B25)</f>
        <v>05.99.</v>
      </c>
      <c r="E25" s="101"/>
      <c r="F25" s="642" t="str">
        <f t="shared" si="2"/>
        <v>05.99.</v>
      </c>
      <c r="G25" s="758" t="s">
        <v>2445</v>
      </c>
      <c r="H25" s="339">
        <f>SUM(H13,H16,H19,H22)</f>
        <v>0</v>
      </c>
      <c r="I25" s="367">
        <f>SUM(I13,I16,I19,I22)</f>
        <v>0</v>
      </c>
      <c r="J25" s="367">
        <f>SUM(J13,J16,J19,J22)</f>
        <v>0</v>
      </c>
      <c r="K25" s="367">
        <f>SUM(K13,K16,K19,K22)</f>
        <v>0</v>
      </c>
      <c r="L25" s="339">
        <f t="shared" si="3"/>
        <v>0</v>
      </c>
      <c r="M25" s="442">
        <f>SUM(M13,M16,M19,M22)</f>
        <v>0</v>
      </c>
      <c r="N25" s="411"/>
      <c r="O25" s="46"/>
      <c r="P25" s="46"/>
      <c r="Q25" s="46"/>
      <c r="R25" s="46"/>
      <c r="S25" s="46"/>
      <c r="T25" s="46"/>
      <c r="U25" s="46"/>
      <c r="V25" s="46"/>
      <c r="W25" s="46"/>
      <c r="X25" s="46"/>
      <c r="Y25" s="46"/>
    </row>
    <row r="26" spans="1:25" s="144" customFormat="1" ht="18.75" customHeight="1" thickTop="1" thickBot="1">
      <c r="A26" s="709"/>
      <c r="B26" s="709"/>
      <c r="C26" s="134"/>
      <c r="D26" s="679"/>
      <c r="E26" s="134"/>
      <c r="F26" s="142"/>
      <c r="G26" s="710"/>
      <c r="H26" s="647"/>
      <c r="I26" s="647"/>
      <c r="J26" s="647"/>
      <c r="K26" s="647"/>
      <c r="L26" s="139"/>
      <c r="M26" s="139"/>
    </row>
    <row r="27" spans="1:25" s="765" customFormat="1" ht="18.75" customHeight="1" thickTop="1">
      <c r="A27" s="759"/>
      <c r="B27" s="759"/>
      <c r="C27" s="760"/>
      <c r="D27" s="761"/>
      <c r="E27" s="762"/>
      <c r="F27" s="201" t="s">
        <v>2446</v>
      </c>
      <c r="G27" s="763"/>
      <c r="H27" s="763"/>
      <c r="I27" s="763"/>
      <c r="J27" s="763"/>
      <c r="K27" s="763"/>
      <c r="L27" s="763"/>
      <c r="M27" s="764"/>
    </row>
    <row r="28" spans="1:25" s="765" customFormat="1" ht="18.75" customHeight="1">
      <c r="A28" s="759"/>
      <c r="B28" s="759"/>
      <c r="C28" s="760"/>
      <c r="D28" s="766">
        <v>1</v>
      </c>
      <c r="E28" s="767"/>
      <c r="F28" s="202" t="str">
        <f>D28&amp;"/"&amp; " Intereses derivados de los créditos y anticipos comerciales, préstamos y títulos de deuda (bonos emitidos por la empresa declarante) que representan pasivos de deuda de la empresa declarante."</f>
        <v>1/ Intereses derivados de los créditos y anticipos comerciales, préstamos y títulos de deuda (bonos emitidos por la empresa declarante) que representan pasivos de deuda de la empresa declarante.</v>
      </c>
      <c r="G28" s="768"/>
      <c r="H28" s="768"/>
      <c r="I28" s="768"/>
      <c r="J28" s="768"/>
      <c r="K28" s="768"/>
      <c r="L28" s="768"/>
      <c r="M28" s="769"/>
    </row>
    <row r="29" spans="1:25" s="765" customFormat="1" ht="26.25" customHeight="1" thickBot="1">
      <c r="A29" s="759"/>
      <c r="B29" s="759"/>
      <c r="C29" s="760"/>
      <c r="D29" s="766"/>
      <c r="E29" s="767"/>
      <c r="F29" s="203" t="s">
        <v>2534</v>
      </c>
      <c r="G29" s="770"/>
      <c r="H29" s="770"/>
      <c r="I29" s="770"/>
      <c r="J29" s="770"/>
      <c r="K29" s="770"/>
      <c r="L29" s="770"/>
      <c r="M29" s="771"/>
    </row>
    <row r="30" spans="1:25" s="765" customFormat="1" ht="18.75" customHeight="1" thickTop="1">
      <c r="A30" s="759"/>
      <c r="B30" s="759"/>
      <c r="C30" s="760"/>
      <c r="D30" s="772"/>
      <c r="E30" s="760"/>
      <c r="F30" s="773"/>
      <c r="G30" s="774"/>
      <c r="H30" s="775"/>
      <c r="I30" s="775"/>
      <c r="J30" s="775"/>
      <c r="K30" s="775"/>
      <c r="L30" s="775"/>
      <c r="M30" s="775"/>
    </row>
    <row r="31" spans="1:25" s="765" customFormat="1" ht="23.25">
      <c r="A31" s="759"/>
      <c r="B31" s="759"/>
      <c r="C31" s="760"/>
      <c r="D31" s="772"/>
      <c r="E31" s="760"/>
      <c r="F31" s="776"/>
      <c r="G31" s="777"/>
      <c r="H31" s="778"/>
      <c r="I31" s="778"/>
      <c r="J31" s="778"/>
      <c r="K31" s="778"/>
      <c r="L31" s="778"/>
      <c r="M31" s="778"/>
    </row>
    <row r="32" spans="1:25" s="144" customFormat="1" ht="23.25">
      <c r="A32" s="709"/>
      <c r="B32" s="709"/>
      <c r="C32" s="134"/>
      <c r="D32" s="679"/>
      <c r="E32" s="134"/>
      <c r="F32" s="142"/>
      <c r="G32" s="710"/>
      <c r="H32" s="647"/>
      <c r="I32" s="647"/>
      <c r="J32" s="647"/>
      <c r="K32" s="647"/>
      <c r="L32" s="139"/>
      <c r="M32" s="139"/>
    </row>
    <row r="33" spans="1:25" s="97" customFormat="1" ht="33" customHeight="1" thickBot="1">
      <c r="A33" s="694"/>
      <c r="B33" s="694"/>
      <c r="E33" s="100"/>
      <c r="F33" s="158" t="str">
        <f>"Parte B. Intereses frente a empresas no residentes no relacionadas "&amp;D58&amp;"/"</f>
        <v>Parte B. Intereses frente a empresas no residentes no relacionadas 1/</v>
      </c>
      <c r="G33" s="160"/>
      <c r="H33" s="160"/>
      <c r="I33" s="160"/>
      <c r="J33" s="160"/>
      <c r="K33" s="160"/>
      <c r="L33" s="160"/>
      <c r="M33" s="160"/>
    </row>
    <row r="34" spans="1:25" s="97" customFormat="1" ht="48" thickTop="1" thickBot="1">
      <c r="A34" s="694"/>
      <c r="B34" s="694"/>
      <c r="E34" s="100"/>
      <c r="F34" s="2346" t="s">
        <v>2535</v>
      </c>
      <c r="G34" s="2347"/>
      <c r="H34" s="2331" t="str">
        <f>+H9</f>
        <v>I. SALDOS Y FLUJOS DE INTERESES DEVENGADOS Y PAGADOS</v>
      </c>
      <c r="I34" s="2332"/>
      <c r="J34" s="2332"/>
      <c r="K34" s="2332"/>
      <c r="L34" s="2333"/>
      <c r="M34" s="751" t="str">
        <f>+M9</f>
        <v>II. ATRASOS DE INTERESES</v>
      </c>
    </row>
    <row r="35" spans="1:25" ht="57" customHeight="1" thickTop="1">
      <c r="C35" s="2334" t="str">
        <f ca="1">RIGHT(CELL("nombrearchivo",$A$24),LEN(CELL("nombrearchivo",$A$24))-SEARCH("]",CELL("nombrearchivo",$A$24)))</f>
        <v>Tabla III.2.</v>
      </c>
      <c r="D35" s="2335"/>
      <c r="F35" s="2348"/>
      <c r="G35" s="2349"/>
      <c r="H35" s="2352" t="str">
        <f>+H10</f>
        <v>SALDO A FINES DE JUNIO 2025</v>
      </c>
      <c r="I35" s="2340" t="str">
        <f>+I10</f>
        <v>TRANSACCIONES DEL
 3T2025 (JUL - SET)</v>
      </c>
      <c r="J35" s="2341"/>
      <c r="K35" s="2354" t="s">
        <v>2524</v>
      </c>
      <c r="L35" s="2356" t="str">
        <f>+L10</f>
        <v>SALDO A FINES DE SETIEMBRE 2025</v>
      </c>
      <c r="M35" s="696" t="str">
        <f>+M10</f>
        <v xml:space="preserve">SALDO DE ATRASOS A FINES DEL 3T2025 </v>
      </c>
    </row>
    <row r="36" spans="1:25" ht="80.25" customHeight="1" thickBot="1">
      <c r="C36" s="2336"/>
      <c r="D36" s="2337"/>
      <c r="F36" s="2348"/>
      <c r="G36" s="2349"/>
      <c r="H36" s="2353"/>
      <c r="I36" s="752" t="s">
        <v>2525</v>
      </c>
      <c r="J36" s="752" t="s">
        <v>2526</v>
      </c>
      <c r="K36" s="2355"/>
      <c r="L36" s="2357"/>
      <c r="M36" s="697" t="s">
        <v>2527</v>
      </c>
    </row>
    <row r="37" spans="1:25" s="47" customFormat="1" ht="36" customHeight="1" thickBot="1">
      <c r="A37" s="135" t="s">
        <v>2261</v>
      </c>
      <c r="B37" s="135" t="s">
        <v>2262</v>
      </c>
      <c r="C37" s="94" t="s">
        <v>2171</v>
      </c>
      <c r="D37" s="95" t="s">
        <v>2172</v>
      </c>
      <c r="E37" s="101"/>
      <c r="F37" s="2350"/>
      <c r="G37" s="2351"/>
      <c r="H37" s="620" t="s">
        <v>2266</v>
      </c>
      <c r="I37" s="621" t="s">
        <v>2267</v>
      </c>
      <c r="J37" s="621" t="s">
        <v>2268</v>
      </c>
      <c r="K37" s="622" t="s">
        <v>2269</v>
      </c>
      <c r="L37" s="698" t="s">
        <v>2495</v>
      </c>
      <c r="M37" s="699" t="s">
        <v>2496</v>
      </c>
      <c r="N37" s="46"/>
      <c r="O37" s="46"/>
      <c r="P37" s="46"/>
      <c r="Q37" s="46"/>
      <c r="R37" s="46"/>
      <c r="S37" s="46"/>
      <c r="T37" s="46"/>
      <c r="U37" s="46"/>
      <c r="V37" s="46"/>
      <c r="W37" s="46"/>
      <c r="X37" s="46"/>
      <c r="Y37" s="46"/>
    </row>
    <row r="38" spans="1:25" s="47" customFormat="1" ht="33.75" customHeight="1">
      <c r="A38" s="136">
        <f>+A25+1</f>
        <v>6</v>
      </c>
      <c r="B38" s="719" t="s">
        <v>2272</v>
      </c>
      <c r="C38" s="115"/>
      <c r="D38" s="720" t="str">
        <f>CONCATENATE("0",A38,B38)</f>
        <v>06.01.</v>
      </c>
      <c r="E38" s="102"/>
      <c r="F38" s="721" t="str">
        <f>+D38</f>
        <v>06.01.</v>
      </c>
      <c r="G38" s="722" t="s">
        <v>2536</v>
      </c>
      <c r="H38" s="433">
        <f>SUM(H39,H42,H45)</f>
        <v>0</v>
      </c>
      <c r="I38" s="342">
        <f>SUM(I39,I42,I45)</f>
        <v>0</v>
      </c>
      <c r="J38" s="342">
        <f>SUM(J39,J42,J45)</f>
        <v>0</v>
      </c>
      <c r="K38" s="343">
        <f>SUM(K39,K42,K45)</f>
        <v>0</v>
      </c>
      <c r="L38" s="426">
        <f>+H38+I38-J38+K38</f>
        <v>0</v>
      </c>
      <c r="M38" s="344">
        <f>SUM(M39,M42,M45)</f>
        <v>0</v>
      </c>
      <c r="N38" s="411"/>
      <c r="O38" s="46"/>
      <c r="P38" s="46"/>
      <c r="Q38" s="46"/>
      <c r="R38" s="46"/>
      <c r="S38" s="46"/>
      <c r="T38" s="46"/>
      <c r="U38" s="46"/>
      <c r="V38" s="46"/>
      <c r="W38" s="46"/>
      <c r="X38" s="46"/>
      <c r="Y38" s="46"/>
    </row>
    <row r="39" spans="1:25" s="47" customFormat="1" ht="23.1" customHeight="1">
      <c r="A39" s="136">
        <f t="shared" ref="A39:A55" si="4">+A38</f>
        <v>6</v>
      </c>
      <c r="B39" s="700" t="s">
        <v>2320</v>
      </c>
      <c r="C39" s="701"/>
      <c r="D39" s="723" t="str">
        <f t="shared" ref="D39:D55" si="5">CONCATENATE("0",A39,B39)</f>
        <v>06.01.01.</v>
      </c>
      <c r="E39" s="102"/>
      <c r="F39" s="256" t="str">
        <f t="shared" ref="F39:F55" si="6">+D39</f>
        <v>06.01.01.</v>
      </c>
      <c r="G39" s="252" t="s">
        <v>2537</v>
      </c>
      <c r="H39" s="422">
        <f>SUM(H40:H41)</f>
        <v>0</v>
      </c>
      <c r="I39" s="423">
        <f>SUM(I40:I41)</f>
        <v>0</v>
      </c>
      <c r="J39" s="423">
        <f>SUM(J40:J41)</f>
        <v>0</v>
      </c>
      <c r="K39" s="1526">
        <f>SUM(K40:K41)</f>
        <v>0</v>
      </c>
      <c r="L39" s="424">
        <f>+H39+I39-J39+K39</f>
        <v>0</v>
      </c>
      <c r="M39" s="425">
        <f>SUM(M40:M41)</f>
        <v>0</v>
      </c>
      <c r="N39" s="411"/>
      <c r="O39" s="46"/>
      <c r="P39" s="46"/>
      <c r="Q39" s="46"/>
      <c r="R39" s="46"/>
      <c r="S39" s="46"/>
      <c r="T39" s="46"/>
      <c r="U39" s="46"/>
      <c r="V39" s="46"/>
      <c r="W39" s="46"/>
      <c r="X39" s="46"/>
      <c r="Y39" s="46"/>
    </row>
    <row r="40" spans="1:25" s="47" customFormat="1" ht="23.1" customHeight="1">
      <c r="A40" s="136">
        <f t="shared" si="4"/>
        <v>6</v>
      </c>
      <c r="B40" s="725" t="s">
        <v>2321</v>
      </c>
      <c r="C40" s="1572" t="s">
        <v>2502</v>
      </c>
      <c r="D40" s="1573" t="str">
        <f t="shared" si="5"/>
        <v>06.01.01.01.</v>
      </c>
      <c r="E40" s="102"/>
      <c r="F40" s="1611" t="str">
        <f t="shared" si="6"/>
        <v>06.01.01.01.</v>
      </c>
      <c r="G40" s="1584" t="s">
        <v>2529</v>
      </c>
      <c r="H40" s="1576"/>
      <c r="I40" s="1577"/>
      <c r="J40" s="1577"/>
      <c r="K40" s="1578"/>
      <c r="L40" s="1579">
        <f t="shared" ref="L40:L55" si="7">+H40+I40-J40+K40</f>
        <v>0</v>
      </c>
      <c r="M40" s="1585"/>
      <c r="N40" s="411"/>
      <c r="O40" s="46"/>
      <c r="P40" s="46"/>
      <c r="Q40" s="46"/>
      <c r="R40" s="46"/>
      <c r="S40" s="46"/>
      <c r="T40" s="46"/>
      <c r="U40" s="46"/>
      <c r="V40" s="46"/>
      <c r="W40" s="46"/>
      <c r="X40" s="46"/>
      <c r="Y40" s="46"/>
    </row>
    <row r="41" spans="1:25" s="47" customFormat="1" ht="23.1" customHeight="1">
      <c r="A41" s="136">
        <f t="shared" si="4"/>
        <v>6</v>
      </c>
      <c r="B41" s="725" t="s">
        <v>2323</v>
      </c>
      <c r="C41" s="1572">
        <v>113</v>
      </c>
      <c r="D41" s="1573" t="str">
        <f t="shared" si="5"/>
        <v>06.01.01.02.</v>
      </c>
      <c r="E41" s="102"/>
      <c r="F41" s="1611" t="str">
        <f t="shared" si="6"/>
        <v>06.01.01.02.</v>
      </c>
      <c r="G41" s="1584" t="s">
        <v>2530</v>
      </c>
      <c r="H41" s="1586"/>
      <c r="I41" s="1587"/>
      <c r="J41" s="1587"/>
      <c r="K41" s="1588"/>
      <c r="L41" s="1589">
        <f t="shared" si="7"/>
        <v>0</v>
      </c>
      <c r="M41" s="1590"/>
      <c r="N41" s="411"/>
      <c r="O41" s="46"/>
      <c r="P41" s="46"/>
      <c r="Q41" s="46"/>
      <c r="R41" s="46"/>
      <c r="S41" s="46"/>
      <c r="T41" s="46"/>
      <c r="U41" s="46"/>
      <c r="V41" s="46"/>
      <c r="W41" s="46"/>
      <c r="X41" s="46"/>
      <c r="Y41" s="46"/>
    </row>
    <row r="42" spans="1:25" s="47" customFormat="1" ht="23.1" customHeight="1">
      <c r="A42" s="136">
        <f t="shared" si="4"/>
        <v>6</v>
      </c>
      <c r="B42" s="700" t="s">
        <v>2325</v>
      </c>
      <c r="C42" s="706"/>
      <c r="D42" s="726" t="str">
        <f t="shared" si="5"/>
        <v>06.01.02.</v>
      </c>
      <c r="E42" s="102"/>
      <c r="F42" s="1612" t="str">
        <f t="shared" si="6"/>
        <v>06.01.02.</v>
      </c>
      <c r="G42" s="1613" t="s">
        <v>2538</v>
      </c>
      <c r="H42" s="422">
        <f>SUM(H43:H44)</f>
        <v>0</v>
      </c>
      <c r="I42" s="423">
        <f>SUM(I43:I44)</f>
        <v>0</v>
      </c>
      <c r="J42" s="423">
        <f>SUM(J43:J44)</f>
        <v>0</v>
      </c>
      <c r="K42" s="1526">
        <f>SUM(K43:K44)</f>
        <v>0</v>
      </c>
      <c r="L42" s="424">
        <f t="shared" si="7"/>
        <v>0</v>
      </c>
      <c r="M42" s="429">
        <f>SUM(M43:M44)</f>
        <v>0</v>
      </c>
      <c r="N42" s="411"/>
      <c r="O42" s="46"/>
      <c r="P42" s="46"/>
      <c r="Q42" s="46"/>
      <c r="R42" s="46"/>
      <c r="S42" s="46"/>
      <c r="T42" s="46"/>
      <c r="U42" s="46"/>
      <c r="V42" s="46"/>
      <c r="W42" s="46"/>
      <c r="X42" s="46"/>
      <c r="Y42" s="46"/>
    </row>
    <row r="43" spans="1:25" s="47" customFormat="1" ht="23.1" customHeight="1">
      <c r="A43" s="136">
        <f t="shared" si="4"/>
        <v>6</v>
      </c>
      <c r="B43" s="725" t="s">
        <v>2455</v>
      </c>
      <c r="C43" s="1582">
        <v>104</v>
      </c>
      <c r="D43" s="1593" t="str">
        <f t="shared" si="5"/>
        <v>06.01.02.01.</v>
      </c>
      <c r="E43" s="102"/>
      <c r="F43" s="1614" t="str">
        <f t="shared" si="6"/>
        <v>06.01.02.01.</v>
      </c>
      <c r="G43" s="1584" t="s">
        <v>2529</v>
      </c>
      <c r="H43" s="1586"/>
      <c r="I43" s="1587"/>
      <c r="J43" s="1587"/>
      <c r="K43" s="1588"/>
      <c r="L43" s="1589">
        <f t="shared" si="7"/>
        <v>0</v>
      </c>
      <c r="M43" s="1585"/>
      <c r="N43" s="411"/>
      <c r="O43" s="46"/>
      <c r="P43" s="46"/>
      <c r="Q43" s="46"/>
      <c r="R43" s="46"/>
      <c r="S43" s="46"/>
      <c r="T43" s="46"/>
      <c r="U43" s="46"/>
      <c r="V43" s="46"/>
      <c r="W43" s="46"/>
      <c r="X43" s="46"/>
      <c r="Y43" s="46"/>
    </row>
    <row r="44" spans="1:25" s="47" customFormat="1" ht="23.1" customHeight="1">
      <c r="A44" s="136">
        <f t="shared" si="4"/>
        <v>6</v>
      </c>
      <c r="B44" s="725" t="s">
        <v>2457</v>
      </c>
      <c r="C44" s="1572">
        <v>114</v>
      </c>
      <c r="D44" s="1595" t="str">
        <f t="shared" si="5"/>
        <v>06.01.02.02.</v>
      </c>
      <c r="E44" s="102"/>
      <c r="F44" s="1614" t="str">
        <f t="shared" si="6"/>
        <v>06.01.02.02.</v>
      </c>
      <c r="G44" s="1584" t="s">
        <v>2530</v>
      </c>
      <c r="H44" s="1586"/>
      <c r="I44" s="1587"/>
      <c r="J44" s="1587"/>
      <c r="K44" s="1588"/>
      <c r="L44" s="1589">
        <f t="shared" si="7"/>
        <v>0</v>
      </c>
      <c r="M44" s="1590"/>
      <c r="N44" s="411"/>
      <c r="O44" s="46"/>
      <c r="P44" s="46"/>
      <c r="Q44" s="46"/>
      <c r="R44" s="46"/>
      <c r="S44" s="46"/>
      <c r="T44" s="46"/>
      <c r="U44" s="46"/>
      <c r="V44" s="46"/>
      <c r="W44" s="46"/>
      <c r="X44" s="46"/>
      <c r="Y44" s="46"/>
    </row>
    <row r="45" spans="1:25" s="47" customFormat="1" ht="23.1" customHeight="1">
      <c r="A45" s="136">
        <f t="shared" si="4"/>
        <v>6</v>
      </c>
      <c r="B45" s="700" t="s">
        <v>2459</v>
      </c>
      <c r="C45" s="706"/>
      <c r="D45" s="726" t="str">
        <f t="shared" si="5"/>
        <v>06.01.03.</v>
      </c>
      <c r="E45" s="102"/>
      <c r="F45" s="1612" t="str">
        <f t="shared" si="6"/>
        <v>06.01.03.</v>
      </c>
      <c r="G45" s="1613" t="s">
        <v>2539</v>
      </c>
      <c r="H45" s="422">
        <f>SUM(H46:H47)</f>
        <v>0</v>
      </c>
      <c r="I45" s="423">
        <f>SUM(I46:I47)</f>
        <v>0</v>
      </c>
      <c r="J45" s="423">
        <f>SUM(J46:J47)</f>
        <v>0</v>
      </c>
      <c r="K45" s="1526">
        <f>SUM(K46:K47)</f>
        <v>0</v>
      </c>
      <c r="L45" s="424">
        <f t="shared" si="7"/>
        <v>0</v>
      </c>
      <c r="M45" s="429">
        <f>SUM(M46:M47)</f>
        <v>0</v>
      </c>
      <c r="N45" s="411"/>
      <c r="O45" s="46"/>
      <c r="P45" s="46"/>
      <c r="Q45" s="46"/>
      <c r="R45" s="46"/>
      <c r="S45" s="46"/>
      <c r="T45" s="46"/>
      <c r="U45" s="46"/>
      <c r="V45" s="46"/>
      <c r="W45" s="46"/>
      <c r="X45" s="46"/>
      <c r="Y45" s="46"/>
    </row>
    <row r="46" spans="1:25" s="47" customFormat="1" ht="23.1" customHeight="1">
      <c r="A46" s="136">
        <f t="shared" si="4"/>
        <v>6</v>
      </c>
      <c r="B46" s="725" t="s">
        <v>2460</v>
      </c>
      <c r="C46" s="1582">
        <v>106</v>
      </c>
      <c r="D46" s="1593" t="str">
        <f t="shared" si="5"/>
        <v>06.01.03.01.</v>
      </c>
      <c r="E46" s="102"/>
      <c r="F46" s="1614" t="str">
        <f t="shared" si="6"/>
        <v>06.01.03.01.</v>
      </c>
      <c r="G46" s="1584" t="s">
        <v>2529</v>
      </c>
      <c r="H46" s="1586"/>
      <c r="I46" s="1587"/>
      <c r="J46" s="1587"/>
      <c r="K46" s="1588"/>
      <c r="L46" s="1589">
        <f t="shared" si="7"/>
        <v>0</v>
      </c>
      <c r="M46" s="1585"/>
      <c r="N46" s="411"/>
      <c r="O46" s="46"/>
      <c r="P46" s="46"/>
      <c r="Q46" s="46"/>
      <c r="R46" s="46"/>
      <c r="S46" s="46"/>
      <c r="T46" s="46"/>
      <c r="U46" s="46"/>
      <c r="V46" s="46"/>
      <c r="W46" s="46"/>
      <c r="X46" s="46"/>
      <c r="Y46" s="46"/>
    </row>
    <row r="47" spans="1:25" s="47" customFormat="1" ht="23.1" customHeight="1">
      <c r="A47" s="136">
        <f t="shared" si="4"/>
        <v>6</v>
      </c>
      <c r="B47" s="725" t="s">
        <v>2461</v>
      </c>
      <c r="C47" s="1572">
        <v>116</v>
      </c>
      <c r="D47" s="1593" t="str">
        <f t="shared" si="5"/>
        <v>06.01.03.02.</v>
      </c>
      <c r="E47" s="102"/>
      <c r="F47" s="1614" t="str">
        <f t="shared" si="6"/>
        <v>06.01.03.02.</v>
      </c>
      <c r="G47" s="1584" t="s">
        <v>2530</v>
      </c>
      <c r="H47" s="1576"/>
      <c r="I47" s="1577"/>
      <c r="J47" s="1577"/>
      <c r="K47" s="1578"/>
      <c r="L47" s="1579">
        <f t="shared" si="7"/>
        <v>0</v>
      </c>
      <c r="M47" s="1585"/>
      <c r="N47" s="411"/>
      <c r="O47" s="46"/>
      <c r="P47" s="46"/>
      <c r="Q47" s="46"/>
      <c r="R47" s="46"/>
      <c r="S47" s="46"/>
      <c r="T47" s="46"/>
      <c r="U47" s="46"/>
      <c r="V47" s="46"/>
      <c r="W47" s="46"/>
      <c r="X47" s="46"/>
      <c r="Y47" s="46"/>
    </row>
    <row r="48" spans="1:25" s="47" customFormat="1" ht="40.5" customHeight="1">
      <c r="A48" s="136">
        <f t="shared" si="4"/>
        <v>6</v>
      </c>
      <c r="B48" s="727" t="s">
        <v>2302</v>
      </c>
      <c r="C48" s="116">
        <v>120</v>
      </c>
      <c r="D48" s="728" t="str">
        <f t="shared" si="5"/>
        <v>06.02.</v>
      </c>
      <c r="E48" s="102"/>
      <c r="F48" s="261" t="str">
        <f t="shared" si="6"/>
        <v>06.02.</v>
      </c>
      <c r="G48" s="153" t="s">
        <v>2540</v>
      </c>
      <c r="H48" s="431">
        <f>SUM(H49:H50)</f>
        <v>0</v>
      </c>
      <c r="I48" s="346">
        <f>SUM(I49:I50)</f>
        <v>0</v>
      </c>
      <c r="J48" s="346">
        <f>SUM(J49:J50)</f>
        <v>0</v>
      </c>
      <c r="K48" s="347">
        <f>SUM(K49:K50)</f>
        <v>0</v>
      </c>
      <c r="L48" s="427">
        <f t="shared" si="7"/>
        <v>0</v>
      </c>
      <c r="M48" s="338">
        <f>SUM(M49:M50)</f>
        <v>0</v>
      </c>
      <c r="N48" s="411"/>
      <c r="O48" s="46"/>
      <c r="P48" s="46"/>
      <c r="Q48" s="46"/>
      <c r="R48" s="46"/>
      <c r="S48" s="46"/>
      <c r="T48" s="46"/>
      <c r="U48" s="46"/>
      <c r="V48" s="46"/>
      <c r="W48" s="46"/>
      <c r="X48" s="46"/>
      <c r="Y48" s="46"/>
    </row>
    <row r="49" spans="1:25" s="47" customFormat="1" ht="23.1" customHeight="1">
      <c r="A49" s="136">
        <f t="shared" si="4"/>
        <v>6</v>
      </c>
      <c r="B49" s="725" t="s">
        <v>2435</v>
      </c>
      <c r="C49" s="1582">
        <v>121</v>
      </c>
      <c r="D49" s="1593" t="str">
        <f t="shared" si="5"/>
        <v>06.02.00.01.</v>
      </c>
      <c r="E49" s="102"/>
      <c r="F49" s="257" t="str">
        <f t="shared" si="6"/>
        <v>06.02.00.01.</v>
      </c>
      <c r="G49" s="1584" t="s">
        <v>2529</v>
      </c>
      <c r="H49" s="435"/>
      <c r="I49" s="320"/>
      <c r="J49" s="320"/>
      <c r="K49" s="1527"/>
      <c r="L49" s="437">
        <f t="shared" si="7"/>
        <v>0</v>
      </c>
      <c r="M49" s="1585"/>
      <c r="N49" s="411"/>
      <c r="O49" s="46"/>
      <c r="P49" s="46"/>
      <c r="Q49" s="46"/>
      <c r="R49" s="46"/>
      <c r="S49" s="46"/>
      <c r="T49" s="46"/>
      <c r="U49" s="46"/>
      <c r="V49" s="46"/>
      <c r="W49" s="46"/>
      <c r="X49" s="46"/>
      <c r="Y49" s="46"/>
    </row>
    <row r="50" spans="1:25" s="47" customFormat="1" ht="23.1" customHeight="1">
      <c r="A50" s="136">
        <f t="shared" si="4"/>
        <v>6</v>
      </c>
      <c r="B50" s="725" t="s">
        <v>2437</v>
      </c>
      <c r="C50" s="1572">
        <v>122</v>
      </c>
      <c r="D50" s="1593" t="str">
        <f t="shared" si="5"/>
        <v>06.02.00.02.</v>
      </c>
      <c r="E50" s="102"/>
      <c r="F50" s="253" t="str">
        <f t="shared" si="6"/>
        <v>06.02.00.02.</v>
      </c>
      <c r="G50" s="1584" t="s">
        <v>2530</v>
      </c>
      <c r="H50" s="436"/>
      <c r="I50" s="321"/>
      <c r="J50" s="321"/>
      <c r="K50" s="322"/>
      <c r="L50" s="438">
        <f t="shared" si="7"/>
        <v>0</v>
      </c>
      <c r="M50" s="1585"/>
      <c r="N50" s="411"/>
      <c r="O50" s="46"/>
      <c r="P50" s="46"/>
      <c r="Q50" s="46"/>
      <c r="R50" s="46"/>
      <c r="S50" s="46"/>
      <c r="T50" s="46"/>
      <c r="U50" s="46"/>
      <c r="V50" s="46"/>
      <c r="W50" s="46"/>
      <c r="X50" s="46"/>
      <c r="Y50" s="46"/>
    </row>
    <row r="51" spans="1:25" s="47" customFormat="1" ht="37.5">
      <c r="A51" s="136">
        <f t="shared" si="4"/>
        <v>6</v>
      </c>
      <c r="B51" s="727" t="s">
        <v>2439</v>
      </c>
      <c r="C51" s="116">
        <v>120</v>
      </c>
      <c r="D51" s="728" t="str">
        <f t="shared" si="5"/>
        <v>06.03.</v>
      </c>
      <c r="E51" s="102"/>
      <c r="F51" s="254" t="str">
        <f t="shared" si="6"/>
        <v>06.03.</v>
      </c>
      <c r="G51" s="153" t="s">
        <v>2541</v>
      </c>
      <c r="H51" s="431">
        <f>SUM(H52:H53)</f>
        <v>0</v>
      </c>
      <c r="I51" s="346">
        <f>SUM(I52:I53)</f>
        <v>0</v>
      </c>
      <c r="J51" s="346">
        <f>SUM(J52:J53)</f>
        <v>0</v>
      </c>
      <c r="K51" s="347">
        <f>SUM(K52:K53)</f>
        <v>0</v>
      </c>
      <c r="L51" s="427">
        <f t="shared" si="7"/>
        <v>0</v>
      </c>
      <c r="M51" s="338">
        <f>SUM(M52:M53)</f>
        <v>0</v>
      </c>
      <c r="N51" s="411"/>
      <c r="O51" s="46"/>
      <c r="P51" s="46"/>
      <c r="Q51" s="46"/>
      <c r="R51" s="46"/>
      <c r="S51" s="46"/>
      <c r="T51" s="46"/>
      <c r="U51" s="46"/>
      <c r="V51" s="46"/>
      <c r="W51" s="46"/>
      <c r="X51" s="46"/>
      <c r="Y51" s="46"/>
    </row>
    <row r="52" spans="1:25" s="47" customFormat="1" ht="23.1" customHeight="1">
      <c r="A52" s="136">
        <f t="shared" si="4"/>
        <v>6</v>
      </c>
      <c r="B52" s="725" t="s">
        <v>2440</v>
      </c>
      <c r="C52" s="1582">
        <v>121</v>
      </c>
      <c r="D52" s="1593" t="str">
        <f t="shared" si="5"/>
        <v>06.03.00.01.</v>
      </c>
      <c r="E52" s="102"/>
      <c r="F52" s="258" t="str">
        <f t="shared" si="6"/>
        <v>06.03.00.01.</v>
      </c>
      <c r="G52" s="1584" t="s">
        <v>2529</v>
      </c>
      <c r="H52" s="435"/>
      <c r="I52" s="320"/>
      <c r="J52" s="320"/>
      <c r="K52" s="1527"/>
      <c r="L52" s="437">
        <f t="shared" si="7"/>
        <v>0</v>
      </c>
      <c r="M52" s="1585"/>
      <c r="N52" s="411"/>
      <c r="O52" s="46"/>
      <c r="P52" s="46"/>
      <c r="Q52" s="46"/>
      <c r="R52" s="46"/>
      <c r="S52" s="46"/>
      <c r="T52" s="46"/>
      <c r="U52" s="46"/>
      <c r="V52" s="46"/>
      <c r="W52" s="46"/>
      <c r="X52" s="46"/>
      <c r="Y52" s="46"/>
    </row>
    <row r="53" spans="1:25" s="47" customFormat="1" ht="23.1" customHeight="1">
      <c r="A53" s="136">
        <f t="shared" si="4"/>
        <v>6</v>
      </c>
      <c r="B53" s="725" t="s">
        <v>2441</v>
      </c>
      <c r="C53" s="1572">
        <v>122</v>
      </c>
      <c r="D53" s="1593" t="str">
        <f t="shared" si="5"/>
        <v>06.03.00.02.</v>
      </c>
      <c r="E53" s="102"/>
      <c r="F53" s="259" t="str">
        <f t="shared" si="6"/>
        <v>06.03.00.02.</v>
      </c>
      <c r="G53" s="1584" t="s">
        <v>2530</v>
      </c>
      <c r="H53" s="436"/>
      <c r="I53" s="321"/>
      <c r="J53" s="321"/>
      <c r="K53" s="322"/>
      <c r="L53" s="438">
        <f t="shared" si="7"/>
        <v>0</v>
      </c>
      <c r="M53" s="1585"/>
      <c r="N53" s="411"/>
      <c r="O53" s="46"/>
      <c r="P53" s="46"/>
      <c r="Q53" s="46"/>
      <c r="R53" s="46"/>
      <c r="S53" s="46"/>
      <c r="T53" s="46"/>
      <c r="U53" s="46"/>
      <c r="V53" s="46"/>
      <c r="W53" s="46"/>
      <c r="X53" s="46"/>
      <c r="Y53" s="46"/>
    </row>
    <row r="54" spans="1:25" s="47" customFormat="1" ht="35.25" customHeight="1" thickBot="1">
      <c r="A54" s="136">
        <f t="shared" si="4"/>
        <v>6</v>
      </c>
      <c r="B54" s="727" t="s">
        <v>2442</v>
      </c>
      <c r="C54" s="114">
        <v>130</v>
      </c>
      <c r="D54" s="728" t="str">
        <f t="shared" si="5"/>
        <v>06.04.</v>
      </c>
      <c r="E54" s="102"/>
      <c r="F54" s="262" t="str">
        <f t="shared" si="6"/>
        <v>06.04.</v>
      </c>
      <c r="G54" s="731" t="s">
        <v>2542</v>
      </c>
      <c r="H54" s="1101"/>
      <c r="I54" s="1102"/>
      <c r="J54" s="1102"/>
      <c r="K54" s="1103"/>
      <c r="L54" s="732">
        <f t="shared" si="7"/>
        <v>0</v>
      </c>
      <c r="M54" s="1104"/>
      <c r="N54" s="411"/>
    </row>
    <row r="55" spans="1:25" s="47" customFormat="1" ht="27" customHeight="1" thickTop="1" thickBot="1">
      <c r="A55" s="136">
        <f t="shared" si="4"/>
        <v>6</v>
      </c>
      <c r="B55" s="727" t="s">
        <v>2307</v>
      </c>
      <c r="C55" s="133">
        <v>150</v>
      </c>
      <c r="D55" s="733" t="str">
        <f t="shared" si="5"/>
        <v>06.99.</v>
      </c>
      <c r="E55" s="102"/>
      <c r="F55" s="263" t="str">
        <f t="shared" si="6"/>
        <v>06.99.</v>
      </c>
      <c r="G55" s="216" t="s">
        <v>2445</v>
      </c>
      <c r="H55" s="434">
        <f>SUM(H38,H48,H51,H54)</f>
        <v>0</v>
      </c>
      <c r="I55" s="348">
        <f>SUM(I38,I48,I51,I54)</f>
        <v>0</v>
      </c>
      <c r="J55" s="348">
        <f>SUM(J38,J48,J51,J54)</f>
        <v>0</v>
      </c>
      <c r="K55" s="349">
        <f>SUM(K38,K48,K51,K54)</f>
        <v>0</v>
      </c>
      <c r="L55" s="428">
        <f t="shared" si="7"/>
        <v>0</v>
      </c>
      <c r="M55" s="350">
        <f>SUM(M38,M48,M51,M54)</f>
        <v>0</v>
      </c>
      <c r="N55" s="411"/>
    </row>
    <row r="56" spans="1:25" s="97" customFormat="1" ht="15.75" customHeight="1" thickBot="1">
      <c r="A56" s="694"/>
      <c r="B56" s="694"/>
      <c r="E56" s="100"/>
      <c r="H56" s="779"/>
      <c r="I56" s="779"/>
      <c r="J56" s="779"/>
      <c r="K56" s="779"/>
      <c r="L56" s="779"/>
      <c r="M56" s="779"/>
    </row>
    <row r="57" spans="1:25" s="97" customFormat="1" ht="27.75" customHeight="1" thickTop="1">
      <c r="A57" s="694"/>
      <c r="B57" s="694"/>
      <c r="E57" s="100"/>
      <c r="F57" s="201" t="s">
        <v>2446</v>
      </c>
      <c r="G57" s="204"/>
      <c r="H57" s="204"/>
      <c r="I57" s="204"/>
      <c r="J57" s="204"/>
      <c r="K57" s="204"/>
      <c r="L57" s="204"/>
      <c r="M57" s="205"/>
    </row>
    <row r="58" spans="1:25" s="97" customFormat="1" ht="27.75" customHeight="1">
      <c r="A58" s="694"/>
      <c r="B58" s="694"/>
      <c r="D58" s="132">
        <v>1</v>
      </c>
      <c r="E58" s="518"/>
      <c r="F58" s="202" t="str">
        <f>D58&amp;"/"&amp; " Intereses derivados de los créditos y anticipos comerciales, préstamos y títulos de deuda (bonos emitidos por la empresa declarante) que representan pasivos de deuda de la empresa declarante."</f>
        <v>1/ Intereses derivados de los créditos y anticipos comerciales, préstamos y títulos de deuda (bonos emitidos por la empresa declarante) que representan pasivos de deuda de la empresa declarante.</v>
      </c>
      <c r="M58" s="206"/>
    </row>
    <row r="59" spans="1:25" s="97" customFormat="1" ht="27.75" customHeight="1" thickBot="1">
      <c r="A59" s="694"/>
      <c r="B59" s="694"/>
      <c r="D59" s="132"/>
      <c r="E59" s="132"/>
      <c r="F59" s="203" t="s">
        <v>2543</v>
      </c>
      <c r="G59" s="215"/>
      <c r="H59" s="215"/>
      <c r="I59" s="215"/>
      <c r="J59" s="215"/>
      <c r="K59" s="215"/>
      <c r="L59" s="215"/>
      <c r="M59" s="207"/>
    </row>
    <row r="60" spans="1:25" ht="19.5" thickTop="1"/>
  </sheetData>
  <sheetProtection algorithmName="SHA-512" hashValue="/2dIZ6gYy/REsGBIdsuM30Gv1btLQkUg/6iMh0vLaZBt88gElpwsbeDoPjxXnSK0LwexN+x16/tFzOgr+kL7WQ==" saltValue="QclCyi51GZIHr7pMNeU77g==" spinCount="100000" sheet="1" objects="1" scenarios="1"/>
  <mergeCells count="15">
    <mergeCell ref="F6:M6"/>
    <mergeCell ref="F34:G37"/>
    <mergeCell ref="H34:L34"/>
    <mergeCell ref="C35:D36"/>
    <mergeCell ref="H35:H36"/>
    <mergeCell ref="I35:J35"/>
    <mergeCell ref="K35:K36"/>
    <mergeCell ref="L35:L36"/>
    <mergeCell ref="F9:G12"/>
    <mergeCell ref="H9:L9"/>
    <mergeCell ref="C10:D11"/>
    <mergeCell ref="H10:H11"/>
    <mergeCell ref="I10:J10"/>
    <mergeCell ref="K10:K11"/>
    <mergeCell ref="L10:L11"/>
  </mergeCells>
  <dataValidations count="3">
    <dataValidation type="whole" operator="greaterThanOrEqual" allowBlank="1" showErrorMessage="1" errorTitle="INFRACCION DE ENTEROS O DE SIGNO" error="SOLO VALORES ENTEROS: POSITIVOS O CERO._x000a_NO INGRESE VALORES NEGATIVOS." promptTitle="SIGNO POSITIVO" prompt="Ingrese valores enteros posiivos o cero." sqref="I26:J26 I30:J32" xr:uid="{00000000-0002-0000-0D00-000000000000}">
      <formula1>0</formula1>
    </dataValidation>
    <dataValidation type="whole" allowBlank="1" showErrorMessage="1" errorTitle="SOLO VALORES ENTEROS" error="NO INGRESE DECIMALES. REDONDEE SI ES NECESARIO." sqref="H26 K26 K30:K32 H30:H32" xr:uid="{00000000-0002-0000-0D00-000001000000}">
      <formula1>-999999999999999000000</formula1>
      <formula2>999999999999999000000</formula2>
    </dataValidation>
    <dataValidation type="whole" operator="greaterThanOrEqual" allowBlank="1" showErrorMessage="1" errorTitle="INFRACCION DE ENTEROS O DE SIGNO" error="SOLO VALORES ENTEROS: POSITIVOS O CERO." promptTitle="SIGNO POSITIVO" prompt="Ingrese valores enteros posiivos o cero." sqref="M26 M30:M32" xr:uid="{00000000-0002-0000-0D00-000002000000}">
      <formula1>0</formula1>
    </dataValidation>
  </dataValidations>
  <printOptions horizontalCentered="1" headings="1"/>
  <pageMargins left="0.43307086614173229" right="0.47244094488188981" top="0.47244094488188981" bottom="0.43307086614173229" header="0" footer="0.19685039370078741"/>
  <pageSetup paperSize="9" scale="53" orientation="landscape" r:id="rId1"/>
  <headerFooter alignWithMargins="0">
    <oddFooter>&amp;L&amp;"Arial,Negrita"&amp;14&amp;D   &amp;T&amp;C&amp;"Arial,Negrita"&amp;14&amp;F&amp;R&amp;"Arial,Negrita"&amp;16&amp;A</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39">
    <tabColor rgb="FF002060"/>
    <pageSetUpPr fitToPage="1"/>
  </sheetPr>
  <dimension ref="A1:AL60"/>
  <sheetViews>
    <sheetView showGridLines="0" topLeftCell="E3" zoomScale="40" zoomScaleNormal="40" workbookViewId="0">
      <pane xSplit="1" ySplit="5" topLeftCell="F8" activePane="bottomRight" state="frozen"/>
      <selection activeCell="H11" sqref="H11:XFD11"/>
      <selection pane="topRight" activeCell="H11" sqref="H11:XFD11"/>
      <selection pane="bottomLeft" activeCell="H11" sqref="H11:XFD11"/>
      <selection pane="bottomRight" activeCell="I34" sqref="I34:I35"/>
    </sheetView>
  </sheetViews>
  <sheetFormatPr baseColWidth="10" defaultColWidth="11.42578125" defaultRowHeight="15.75"/>
  <cols>
    <col min="1" max="1" width="14.42578125" style="45" hidden="1" customWidth="1"/>
    <col min="2" max="2" width="27" style="97" hidden="1" customWidth="1"/>
    <col min="3" max="4" width="22.28515625" style="97" hidden="1" customWidth="1"/>
    <col min="5" max="5" width="2.7109375" style="98" customWidth="1"/>
    <col min="6" max="6" width="21.5703125" style="45" customWidth="1"/>
    <col min="7" max="7" width="77.85546875" style="45" customWidth="1"/>
    <col min="8" max="8" width="20.7109375" style="45" customWidth="1"/>
    <col min="9" max="19" width="20.7109375" style="97" customWidth="1"/>
    <col min="20" max="20" width="13.7109375" style="97" customWidth="1"/>
    <col min="21" max="38" width="11.42578125" style="97"/>
    <col min="39" max="16384" width="11.42578125" style="45"/>
  </cols>
  <sheetData>
    <row r="1" spans="1:38" ht="29.25" hidden="1" customHeight="1">
      <c r="F1" s="309" t="s">
        <v>2253</v>
      </c>
      <c r="G1" s="310"/>
      <c r="H1" s="311" t="s">
        <v>2254</v>
      </c>
      <c r="I1" s="311" t="s">
        <v>2255</v>
      </c>
      <c r="J1" s="311" t="s">
        <v>2256</v>
      </c>
      <c r="K1" s="311" t="s">
        <v>2257</v>
      </c>
      <c r="L1" s="311" t="s">
        <v>2258</v>
      </c>
      <c r="M1" s="311" t="s">
        <v>2259</v>
      </c>
      <c r="N1" s="311" t="s">
        <v>2419</v>
      </c>
      <c r="O1" s="311" t="s">
        <v>2544</v>
      </c>
      <c r="P1" s="311" t="s">
        <v>2545</v>
      </c>
      <c r="Q1" s="311" t="s">
        <v>2392</v>
      </c>
      <c r="R1" s="311" t="s">
        <v>2401</v>
      </c>
      <c r="S1" s="311" t="s">
        <v>2410</v>
      </c>
    </row>
    <row r="2" spans="1:38" s="97" customFormat="1">
      <c r="E2" s="98"/>
    </row>
    <row r="3" spans="1:38" s="97" customFormat="1" ht="17.25" customHeight="1">
      <c r="B3" s="98"/>
      <c r="C3" s="98"/>
      <c r="D3" s="98"/>
      <c r="F3" s="178"/>
      <c r="G3" s="178"/>
      <c r="H3" s="179"/>
      <c r="I3" s="180"/>
      <c r="J3" s="180"/>
      <c r="K3" s="178"/>
      <c r="L3" s="180"/>
      <c r="M3" s="180"/>
      <c r="N3" s="180"/>
      <c r="O3" s="180"/>
      <c r="P3" s="180"/>
      <c r="Q3" s="180"/>
      <c r="R3" s="180"/>
      <c r="S3" s="180"/>
    </row>
    <row r="4" spans="1:38" s="97" customFormat="1" ht="35.25">
      <c r="B4" s="98"/>
      <c r="C4" s="98"/>
      <c r="D4" s="98"/>
      <c r="F4" s="162" t="str">
        <f ca="1">$C$8&amp;"  Calendario de pagos del principal de las obligaciones en instrumentos de deuda"</f>
        <v>Tabla III.3.  Calendario de pagos del principal de las obligaciones en instrumentos de deuda</v>
      </c>
      <c r="G4" s="160"/>
      <c r="H4" s="160"/>
      <c r="I4" s="161"/>
      <c r="J4" s="160"/>
      <c r="K4" s="160"/>
      <c r="L4" s="160"/>
      <c r="M4" s="160"/>
      <c r="N4" s="160"/>
      <c r="O4" s="160"/>
      <c r="P4" s="160"/>
      <c r="Q4" s="160"/>
      <c r="R4" s="160"/>
      <c r="S4" s="160"/>
    </row>
    <row r="5" spans="1:38" s="97" customFormat="1" ht="36.75" customHeight="1">
      <c r="B5" s="98"/>
      <c r="C5" s="98"/>
      <c r="D5" s="98"/>
      <c r="F5" s="169" t="s">
        <v>2420</v>
      </c>
      <c r="G5" s="160"/>
      <c r="H5" s="160"/>
      <c r="I5" s="168"/>
      <c r="J5" s="168"/>
      <c r="K5" s="168"/>
      <c r="L5" s="160"/>
      <c r="M5" s="160"/>
      <c r="N5" s="160"/>
      <c r="O5" s="160"/>
      <c r="P5" s="160"/>
      <c r="Q5" s="160"/>
      <c r="R5" s="160"/>
      <c r="S5" s="160"/>
    </row>
    <row r="6" spans="1:38" s="97" customFormat="1" ht="43.5" customHeight="1">
      <c r="B6" s="98"/>
      <c r="C6" s="98"/>
      <c r="D6" s="98"/>
      <c r="F6" s="2300" t="s">
        <v>2520</v>
      </c>
      <c r="G6" s="2300"/>
      <c r="H6" s="2300"/>
      <c r="I6" s="2300"/>
      <c r="J6" s="2300"/>
      <c r="K6" s="2300"/>
      <c r="L6" s="2300"/>
      <c r="M6" s="2300"/>
      <c r="N6" s="2300"/>
      <c r="O6" s="2300"/>
      <c r="P6" s="2300"/>
      <c r="Q6" s="2300"/>
      <c r="R6" s="2300"/>
      <c r="S6" s="2300"/>
    </row>
    <row r="7" spans="1:38" s="97" customFormat="1" ht="9.75" customHeight="1">
      <c r="B7" s="181"/>
      <c r="C7" s="181"/>
      <c r="D7" s="181"/>
      <c r="E7" s="182"/>
      <c r="F7" s="156"/>
    </row>
    <row r="8" spans="1:38" s="97" customFormat="1" ht="39" thickBot="1">
      <c r="C8" s="130" t="str">
        <f ca="1">RIGHT(CELL("nombrearchivo",$A$2),LEN(CELL("nombrearchivo",$A$2))-SEARCH("]",CELL("nombrearchivo",$A$2)))</f>
        <v>Tabla III.3.</v>
      </c>
      <c r="E8" s="98"/>
      <c r="F8" s="158" t="str">
        <f>"Parte A. Calendario del principal frente a empresas no residentes relacionadas  "&amp;D27&amp;"/"</f>
        <v>Parte A. Calendario del principal frente a empresas no residentes relacionadas  1/</v>
      </c>
      <c r="G8" s="160"/>
      <c r="H8" s="160"/>
      <c r="I8" s="160"/>
      <c r="J8" s="160"/>
      <c r="K8" s="160"/>
      <c r="L8" s="160"/>
      <c r="M8" s="160"/>
      <c r="N8" s="160"/>
      <c r="O8" s="160"/>
      <c r="P8" s="160"/>
      <c r="Q8" s="160"/>
      <c r="R8" s="160"/>
      <c r="S8" s="160"/>
    </row>
    <row r="9" spans="1:38" ht="40.5" customHeight="1" thickTop="1">
      <c r="C9" s="2334" t="str">
        <f ca="1">RIGHT(CELL("nombrearchivo",$A$2),LEN(CELL("nombrearchivo",$A$2))-SEARCH("]",CELL("nombrearchivo",$A$2)))</f>
        <v>Tabla III.3.</v>
      </c>
      <c r="D9" s="2335"/>
      <c r="F9" s="2360" t="s">
        <v>2546</v>
      </c>
      <c r="G9" s="2361"/>
      <c r="H9" s="2366" t="str">
        <f>+'Tabla III.2.'!L10</f>
        <v>SALDO A FINES DE SETIEMBRE 2025</v>
      </c>
      <c r="I9" s="2358" t="str">
        <f>"ATRASOS "&amp;D29&amp;"/"</f>
        <v>ATRASOS 2/</v>
      </c>
      <c r="J9" s="235" t="s">
        <v>2547</v>
      </c>
      <c r="K9" s="212"/>
      <c r="L9" s="212"/>
      <c r="M9" s="213"/>
      <c r="N9" s="213"/>
      <c r="O9" s="213"/>
      <c r="P9" s="213"/>
      <c r="Q9" s="213"/>
      <c r="R9" s="213"/>
      <c r="S9" s="214"/>
      <c r="T9" s="144"/>
      <c r="U9" s="46"/>
      <c r="V9" s="46"/>
    </row>
    <row r="10" spans="1:38" ht="60.75" customHeight="1" thickBot="1">
      <c r="C10" s="2336"/>
      <c r="D10" s="2337"/>
      <c r="F10" s="2362"/>
      <c r="G10" s="2363"/>
      <c r="H10" s="2367"/>
      <c r="I10" s="2359"/>
      <c r="J10" s="1189" t="s">
        <v>2548</v>
      </c>
      <c r="K10" s="249" t="s">
        <v>2549</v>
      </c>
      <c r="L10" s="249" t="s">
        <v>2550</v>
      </c>
      <c r="M10" s="249" t="s">
        <v>2551</v>
      </c>
      <c r="N10" s="249" t="s">
        <v>2552</v>
      </c>
      <c r="O10" s="249" t="s">
        <v>2553</v>
      </c>
      <c r="P10" s="249" t="s">
        <v>2554</v>
      </c>
      <c r="Q10" s="249" t="s">
        <v>2555</v>
      </c>
      <c r="R10" s="249" t="s">
        <v>2556</v>
      </c>
      <c r="S10" s="250" t="str">
        <f>"Despúes del "&amp;R10</f>
        <v>Despúes del 5to. año</v>
      </c>
    </row>
    <row r="11" spans="1:38" s="47" customFormat="1" ht="36" customHeight="1" thickBot="1">
      <c r="A11" s="135" t="s">
        <v>2261</v>
      </c>
      <c r="B11" s="135" t="s">
        <v>2262</v>
      </c>
      <c r="C11" s="94" t="s">
        <v>2171</v>
      </c>
      <c r="D11" s="95" t="s">
        <v>2172</v>
      </c>
      <c r="E11" s="109"/>
      <c r="F11" s="2364"/>
      <c r="G11" s="2365"/>
      <c r="H11" s="208" t="s">
        <v>2557</v>
      </c>
      <c r="I11" s="209" t="s">
        <v>2558</v>
      </c>
      <c r="J11" s="210" t="s">
        <v>2559</v>
      </c>
      <c r="K11" s="210" t="s">
        <v>2560</v>
      </c>
      <c r="L11" s="210" t="s">
        <v>2561</v>
      </c>
      <c r="M11" s="210" t="s">
        <v>2562</v>
      </c>
      <c r="N11" s="210" t="s">
        <v>2563</v>
      </c>
      <c r="O11" s="210" t="s">
        <v>2564</v>
      </c>
      <c r="P11" s="210" t="s">
        <v>2565</v>
      </c>
      <c r="Q11" s="210" t="s">
        <v>2566</v>
      </c>
      <c r="R11" s="210" t="s">
        <v>2567</v>
      </c>
      <c r="S11" s="211" t="s">
        <v>2568</v>
      </c>
      <c r="T11" s="150"/>
      <c r="U11" s="46"/>
      <c r="V11" s="46"/>
      <c r="W11" s="46"/>
      <c r="X11" s="46"/>
      <c r="Y11" s="46"/>
      <c r="Z11" s="46"/>
      <c r="AA11" s="46"/>
      <c r="AB11" s="46"/>
      <c r="AC11" s="46"/>
      <c r="AD11" s="46"/>
      <c r="AE11" s="46"/>
      <c r="AF11" s="46"/>
      <c r="AG11" s="46"/>
      <c r="AH11" s="46"/>
      <c r="AI11" s="46"/>
      <c r="AJ11" s="46"/>
      <c r="AK11" s="46"/>
      <c r="AL11" s="46"/>
    </row>
    <row r="12" spans="1:38" s="47" customFormat="1" ht="36" customHeight="1" thickTop="1">
      <c r="A12" s="136">
        <f>+'Tabla III.2.'!A55+1</f>
        <v>7</v>
      </c>
      <c r="B12" s="255" t="s">
        <v>2272</v>
      </c>
      <c r="C12" s="780"/>
      <c r="D12" s="781" t="str">
        <f>CONCATENATE("0",A12,B12)</f>
        <v>07.01.</v>
      </c>
      <c r="E12" s="102"/>
      <c r="F12" s="357" t="str">
        <f>+D12</f>
        <v>07.01.</v>
      </c>
      <c r="G12" s="140" t="s">
        <v>2528</v>
      </c>
      <c r="H12" s="355">
        <f>'Tabla III.1.'!L13</f>
        <v>0</v>
      </c>
      <c r="I12" s="353">
        <f t="shared" ref="I12:R12" si="0">SUM(I13:I14)</f>
        <v>0</v>
      </c>
      <c r="J12" s="353">
        <f t="shared" si="0"/>
        <v>0</v>
      </c>
      <c r="K12" s="354">
        <f t="shared" si="0"/>
        <v>0</v>
      </c>
      <c r="L12" s="364">
        <f t="shared" si="0"/>
        <v>0</v>
      </c>
      <c r="M12" s="364">
        <f t="shared" si="0"/>
        <v>0</v>
      </c>
      <c r="N12" s="364">
        <f t="shared" si="0"/>
        <v>0</v>
      </c>
      <c r="O12" s="364">
        <f t="shared" si="0"/>
        <v>0</v>
      </c>
      <c r="P12" s="364">
        <f t="shared" si="0"/>
        <v>0</v>
      </c>
      <c r="Q12" s="364">
        <f t="shared" si="0"/>
        <v>0</v>
      </c>
      <c r="R12" s="364">
        <f t="shared" si="0"/>
        <v>0</v>
      </c>
      <c r="S12" s="351">
        <f>+H12-SUM(I12:R12)</f>
        <v>0</v>
      </c>
      <c r="T12" s="411"/>
    </row>
    <row r="13" spans="1:38" s="47" customFormat="1" ht="23.1" customHeight="1">
      <c r="A13" s="136">
        <f>+A12</f>
        <v>7</v>
      </c>
      <c r="B13" s="255" t="s">
        <v>2569</v>
      </c>
      <c r="C13" s="1572" t="s">
        <v>2570</v>
      </c>
      <c r="D13" s="1615" t="str">
        <f t="shared" ref="D13:D24" si="1">CONCATENATE("0",A13,B13)</f>
        <v>07.01.00.01</v>
      </c>
      <c r="E13" s="102"/>
      <c r="F13" s="356" t="str">
        <f t="shared" ref="F13:F24" si="2">+D13</f>
        <v>07.01.00.01</v>
      </c>
      <c r="G13" s="1528" t="s">
        <v>2529</v>
      </c>
      <c r="H13" s="371">
        <f>'Tabla III.1.'!L14</f>
        <v>0</v>
      </c>
      <c r="I13" s="1616">
        <f>+'Tabla III.1.'!M14</f>
        <v>0</v>
      </c>
      <c r="J13" s="1587"/>
      <c r="K13" s="1587"/>
      <c r="L13" s="1587"/>
      <c r="M13" s="1587"/>
      <c r="N13" s="1587"/>
      <c r="O13" s="1587"/>
      <c r="P13" s="1587"/>
      <c r="Q13" s="1587"/>
      <c r="R13" s="1587"/>
      <c r="S13" s="374">
        <f t="shared" ref="S13:S24" si="3">+H13-SUM(I13:R13)</f>
        <v>0</v>
      </c>
      <c r="T13" s="411"/>
    </row>
    <row r="14" spans="1:38" s="47" customFormat="1" ht="23.1" customHeight="1">
      <c r="A14" s="136">
        <f t="shared" ref="A14:A24" si="4">+A13</f>
        <v>7</v>
      </c>
      <c r="B14" s="255" t="s">
        <v>2433</v>
      </c>
      <c r="C14" s="1572"/>
      <c r="D14" s="1615" t="str">
        <f t="shared" si="1"/>
        <v>07.01.00.02.</v>
      </c>
      <c r="E14" s="102"/>
      <c r="F14" s="1574" t="str">
        <f t="shared" si="2"/>
        <v>07.01.00.02.</v>
      </c>
      <c r="G14" s="1575" t="s">
        <v>2530</v>
      </c>
      <c r="H14" s="1617">
        <f>'Tabla III.1.'!L15</f>
        <v>0</v>
      </c>
      <c r="I14" s="1616">
        <f>+'Tabla III.1.'!M15</f>
        <v>0</v>
      </c>
      <c r="J14" s="1587"/>
      <c r="K14" s="1587"/>
      <c r="L14" s="1587"/>
      <c r="M14" s="1587"/>
      <c r="N14" s="1587"/>
      <c r="O14" s="1587"/>
      <c r="P14" s="1587"/>
      <c r="Q14" s="1587"/>
      <c r="R14" s="1587"/>
      <c r="S14" s="1618">
        <f t="shared" si="3"/>
        <v>0</v>
      </c>
      <c r="T14" s="411"/>
    </row>
    <row r="15" spans="1:38" s="47" customFormat="1" ht="36" customHeight="1">
      <c r="A15" s="136">
        <f t="shared" si="4"/>
        <v>7</v>
      </c>
      <c r="B15" s="255" t="s">
        <v>2302</v>
      </c>
      <c r="C15" s="1582"/>
      <c r="D15" s="1619" t="str">
        <f t="shared" si="1"/>
        <v>07.02.</v>
      </c>
      <c r="E15" s="102"/>
      <c r="F15" s="261" t="str">
        <f t="shared" si="2"/>
        <v>07.02.</v>
      </c>
      <c r="G15" s="141" t="s">
        <v>2531</v>
      </c>
      <c r="H15" s="372">
        <f>'Tabla III.1.'!L16</f>
        <v>0</v>
      </c>
      <c r="I15" s="330">
        <f t="shared" ref="I15:R15" si="5">SUM(I16:I17)</f>
        <v>0</v>
      </c>
      <c r="J15" s="330">
        <f t="shared" si="5"/>
        <v>0</v>
      </c>
      <c r="K15" s="331">
        <f t="shared" si="5"/>
        <v>0</v>
      </c>
      <c r="L15" s="366">
        <f t="shared" si="5"/>
        <v>0</v>
      </c>
      <c r="M15" s="366">
        <f t="shared" si="5"/>
        <v>0</v>
      </c>
      <c r="N15" s="366">
        <f t="shared" si="5"/>
        <v>0</v>
      </c>
      <c r="O15" s="366">
        <f t="shared" si="5"/>
        <v>0</v>
      </c>
      <c r="P15" s="366">
        <f t="shared" si="5"/>
        <v>0</v>
      </c>
      <c r="Q15" s="366">
        <f t="shared" si="5"/>
        <v>0</v>
      </c>
      <c r="R15" s="366">
        <f t="shared" si="5"/>
        <v>0</v>
      </c>
      <c r="S15" s="332">
        <f t="shared" si="3"/>
        <v>0</v>
      </c>
      <c r="T15" s="411"/>
    </row>
    <row r="16" spans="1:38" s="47" customFormat="1" ht="23.1" customHeight="1">
      <c r="A16" s="136">
        <f t="shared" si="4"/>
        <v>7</v>
      </c>
      <c r="B16" s="255" t="s">
        <v>2571</v>
      </c>
      <c r="C16" s="1582" t="s">
        <v>2570</v>
      </c>
      <c r="D16" s="1615" t="str">
        <f t="shared" si="1"/>
        <v>07.02.00.01</v>
      </c>
      <c r="E16" s="102"/>
      <c r="F16" s="356" t="str">
        <f t="shared" si="2"/>
        <v>07.02.00.01</v>
      </c>
      <c r="G16" s="1528" t="s">
        <v>2529</v>
      </c>
      <c r="H16" s="371">
        <f>'Tabla III.1.'!L17</f>
        <v>0</v>
      </c>
      <c r="I16" s="1616">
        <f>+'Tabla III.1.'!M17</f>
        <v>0</v>
      </c>
      <c r="J16" s="1587"/>
      <c r="K16" s="1587"/>
      <c r="L16" s="1587"/>
      <c r="M16" s="1587"/>
      <c r="N16" s="1587"/>
      <c r="O16" s="1587"/>
      <c r="P16" s="1587"/>
      <c r="Q16" s="1587"/>
      <c r="R16" s="1587"/>
      <c r="S16" s="374">
        <f t="shared" si="3"/>
        <v>0</v>
      </c>
      <c r="T16" s="411"/>
    </row>
    <row r="17" spans="1:20" s="47" customFormat="1" ht="23.1" customHeight="1">
      <c r="A17" s="136">
        <f t="shared" si="4"/>
        <v>7</v>
      </c>
      <c r="B17" s="255" t="s">
        <v>2437</v>
      </c>
      <c r="C17" s="1572"/>
      <c r="D17" s="1615" t="str">
        <f t="shared" si="1"/>
        <v>07.02.00.02.</v>
      </c>
      <c r="E17" s="102"/>
      <c r="F17" s="1574" t="str">
        <f t="shared" si="2"/>
        <v>07.02.00.02.</v>
      </c>
      <c r="G17" s="1575" t="s">
        <v>2530</v>
      </c>
      <c r="H17" s="1617">
        <f>'Tabla III.1.'!L18</f>
        <v>0</v>
      </c>
      <c r="I17" s="1616">
        <f>+'Tabla III.1.'!M18</f>
        <v>0</v>
      </c>
      <c r="J17" s="1587"/>
      <c r="K17" s="1587"/>
      <c r="L17" s="1587"/>
      <c r="M17" s="1587"/>
      <c r="N17" s="1587"/>
      <c r="O17" s="1587"/>
      <c r="P17" s="1587"/>
      <c r="Q17" s="1587"/>
      <c r="R17" s="1587"/>
      <c r="S17" s="1618">
        <f t="shared" si="3"/>
        <v>0</v>
      </c>
      <c r="T17" s="411"/>
    </row>
    <row r="18" spans="1:20" s="47" customFormat="1" ht="36" customHeight="1">
      <c r="A18" s="136">
        <f t="shared" si="4"/>
        <v>7</v>
      </c>
      <c r="B18" s="255" t="s">
        <v>2439</v>
      </c>
      <c r="C18" s="1582"/>
      <c r="D18" s="1619" t="str">
        <f t="shared" si="1"/>
        <v>07.03.</v>
      </c>
      <c r="E18" s="102"/>
      <c r="F18" s="261" t="str">
        <f t="shared" si="2"/>
        <v>07.03.</v>
      </c>
      <c r="G18" s="141" t="s">
        <v>2532</v>
      </c>
      <c r="H18" s="372">
        <f>'Tabla III.1.'!L19</f>
        <v>0</v>
      </c>
      <c r="I18" s="330">
        <f t="shared" ref="I18:R18" si="6">SUM(I19:I20)</f>
        <v>0</v>
      </c>
      <c r="J18" s="330">
        <f t="shared" si="6"/>
        <v>0</v>
      </c>
      <c r="K18" s="331">
        <f t="shared" si="6"/>
        <v>0</v>
      </c>
      <c r="L18" s="366">
        <f t="shared" si="6"/>
        <v>0</v>
      </c>
      <c r="M18" s="366">
        <f t="shared" si="6"/>
        <v>0</v>
      </c>
      <c r="N18" s="366">
        <f t="shared" si="6"/>
        <v>0</v>
      </c>
      <c r="O18" s="366">
        <f t="shared" si="6"/>
        <v>0</v>
      </c>
      <c r="P18" s="366">
        <f t="shared" si="6"/>
        <v>0</v>
      </c>
      <c r="Q18" s="366">
        <f t="shared" si="6"/>
        <v>0</v>
      </c>
      <c r="R18" s="366">
        <f t="shared" si="6"/>
        <v>0</v>
      </c>
      <c r="S18" s="332">
        <f t="shared" si="3"/>
        <v>0</v>
      </c>
      <c r="T18" s="411"/>
    </row>
    <row r="19" spans="1:20" s="47" customFormat="1" ht="23.1" customHeight="1">
      <c r="A19" s="136">
        <f t="shared" si="4"/>
        <v>7</v>
      </c>
      <c r="B19" s="255" t="s">
        <v>2572</v>
      </c>
      <c r="C19" s="1582" t="s">
        <v>2570</v>
      </c>
      <c r="D19" s="1615" t="str">
        <f t="shared" si="1"/>
        <v>07.03.00.01</v>
      </c>
      <c r="E19" s="102"/>
      <c r="F19" s="356" t="str">
        <f t="shared" si="2"/>
        <v>07.03.00.01</v>
      </c>
      <c r="G19" s="1528" t="s">
        <v>2529</v>
      </c>
      <c r="H19" s="371">
        <f>'Tabla III.1.'!L20</f>
        <v>0</v>
      </c>
      <c r="I19" s="1616">
        <f>+'Tabla III.1.'!M20</f>
        <v>0</v>
      </c>
      <c r="J19" s="1587"/>
      <c r="K19" s="1587"/>
      <c r="L19" s="1587"/>
      <c r="M19" s="1587"/>
      <c r="N19" s="1587"/>
      <c r="O19" s="1587"/>
      <c r="P19" s="1587"/>
      <c r="Q19" s="1587"/>
      <c r="R19" s="1587"/>
      <c r="S19" s="374">
        <f t="shared" si="3"/>
        <v>0</v>
      </c>
      <c r="T19" s="411"/>
    </row>
    <row r="20" spans="1:20" s="47" customFormat="1" ht="23.1" customHeight="1">
      <c r="A20" s="136">
        <f t="shared" si="4"/>
        <v>7</v>
      </c>
      <c r="B20" s="255" t="s">
        <v>2441</v>
      </c>
      <c r="C20" s="1572"/>
      <c r="D20" s="1615" t="str">
        <f t="shared" si="1"/>
        <v>07.03.00.02.</v>
      </c>
      <c r="E20" s="102"/>
      <c r="F20" s="1574" t="str">
        <f t="shared" si="2"/>
        <v>07.03.00.02.</v>
      </c>
      <c r="G20" s="1575" t="s">
        <v>2530</v>
      </c>
      <c r="H20" s="1617">
        <f>'Tabla III.1.'!L21</f>
        <v>0</v>
      </c>
      <c r="I20" s="1616">
        <f>+'Tabla III.1.'!M21</f>
        <v>0</v>
      </c>
      <c r="J20" s="1587"/>
      <c r="K20" s="1587"/>
      <c r="L20" s="1587"/>
      <c r="M20" s="1587"/>
      <c r="N20" s="1587"/>
      <c r="O20" s="1587"/>
      <c r="P20" s="1587"/>
      <c r="Q20" s="1587"/>
      <c r="R20" s="1587"/>
      <c r="S20" s="1618">
        <f t="shared" si="3"/>
        <v>0</v>
      </c>
      <c r="T20" s="411"/>
    </row>
    <row r="21" spans="1:20" s="47" customFormat="1" ht="36" customHeight="1">
      <c r="A21" s="136">
        <f t="shared" si="4"/>
        <v>7</v>
      </c>
      <c r="B21" s="255" t="s">
        <v>2442</v>
      </c>
      <c r="C21" s="1582"/>
      <c r="D21" s="1619" t="str">
        <f t="shared" si="1"/>
        <v>07.04.</v>
      </c>
      <c r="E21" s="102"/>
      <c r="F21" s="261" t="str">
        <f t="shared" si="2"/>
        <v>07.04.</v>
      </c>
      <c r="G21" s="141" t="s">
        <v>2573</v>
      </c>
      <c r="H21" s="372">
        <f>'Tabla III.1.'!L22</f>
        <v>0</v>
      </c>
      <c r="I21" s="330">
        <f t="shared" ref="I21:R21" si="7">SUM(I22:I23)</f>
        <v>0</v>
      </c>
      <c r="J21" s="330">
        <f t="shared" si="7"/>
        <v>0</v>
      </c>
      <c r="K21" s="331">
        <f t="shared" si="7"/>
        <v>0</v>
      </c>
      <c r="L21" s="366">
        <f t="shared" si="7"/>
        <v>0</v>
      </c>
      <c r="M21" s="366">
        <f t="shared" si="7"/>
        <v>0</v>
      </c>
      <c r="N21" s="366">
        <f t="shared" si="7"/>
        <v>0</v>
      </c>
      <c r="O21" s="366">
        <f t="shared" si="7"/>
        <v>0</v>
      </c>
      <c r="P21" s="366">
        <f t="shared" si="7"/>
        <v>0</v>
      </c>
      <c r="Q21" s="366">
        <f t="shared" si="7"/>
        <v>0</v>
      </c>
      <c r="R21" s="366">
        <f t="shared" si="7"/>
        <v>0</v>
      </c>
      <c r="S21" s="332">
        <f t="shared" si="3"/>
        <v>0</v>
      </c>
      <c r="T21" s="411"/>
    </row>
    <row r="22" spans="1:20" s="47" customFormat="1" ht="23.1" customHeight="1">
      <c r="A22" s="136">
        <f t="shared" si="4"/>
        <v>7</v>
      </c>
      <c r="B22" s="255" t="s">
        <v>2574</v>
      </c>
      <c r="C22" s="1582" t="s">
        <v>2570</v>
      </c>
      <c r="D22" s="1615" t="str">
        <f t="shared" si="1"/>
        <v>07.04.00.01</v>
      </c>
      <c r="E22" s="102"/>
      <c r="F22" s="356" t="str">
        <f t="shared" si="2"/>
        <v>07.04.00.01</v>
      </c>
      <c r="G22" s="1528" t="s">
        <v>2529</v>
      </c>
      <c r="H22" s="371">
        <f>'Tabla III.1.'!L23</f>
        <v>0</v>
      </c>
      <c r="I22" s="1616">
        <f>+'Tabla III.1.'!M23</f>
        <v>0</v>
      </c>
      <c r="J22" s="1587"/>
      <c r="K22" s="1587"/>
      <c r="L22" s="1587"/>
      <c r="M22" s="1587"/>
      <c r="N22" s="1587"/>
      <c r="O22" s="1587"/>
      <c r="P22" s="1587"/>
      <c r="Q22" s="1587"/>
      <c r="R22" s="1587"/>
      <c r="S22" s="374">
        <f t="shared" si="3"/>
        <v>0</v>
      </c>
      <c r="T22" s="411"/>
    </row>
    <row r="23" spans="1:20" s="47" customFormat="1" ht="23.1" customHeight="1" thickBot="1">
      <c r="A23" s="136">
        <f t="shared" si="4"/>
        <v>7</v>
      </c>
      <c r="B23" s="255" t="s">
        <v>2444</v>
      </c>
      <c r="C23" s="1582"/>
      <c r="D23" s="1615" t="str">
        <f t="shared" si="1"/>
        <v>07.04.00.02.</v>
      </c>
      <c r="E23" s="102"/>
      <c r="F23" s="1574" t="str">
        <f t="shared" si="2"/>
        <v>07.04.00.02.</v>
      </c>
      <c r="G23" s="1575" t="s">
        <v>2530</v>
      </c>
      <c r="H23" s="1617">
        <f>'Tabla III.1.'!L24</f>
        <v>0</v>
      </c>
      <c r="I23" s="1616">
        <f>+'Tabla III.1.'!M24</f>
        <v>0</v>
      </c>
      <c r="J23" s="1587"/>
      <c r="K23" s="1587"/>
      <c r="L23" s="1587"/>
      <c r="M23" s="1587"/>
      <c r="N23" s="1587"/>
      <c r="O23" s="1587"/>
      <c r="P23" s="1587"/>
      <c r="Q23" s="1587"/>
      <c r="R23" s="1587"/>
      <c r="S23" s="1618">
        <f t="shared" si="3"/>
        <v>0</v>
      </c>
      <c r="T23" s="411"/>
    </row>
    <row r="24" spans="1:20" s="47" customFormat="1" ht="27.75" customHeight="1" thickTop="1" thickBot="1">
      <c r="A24" s="136">
        <f t="shared" si="4"/>
        <v>7</v>
      </c>
      <c r="B24" s="255" t="s">
        <v>2307</v>
      </c>
      <c r="C24" s="782"/>
      <c r="D24" s="1620" t="str">
        <f t="shared" si="1"/>
        <v>07.99.</v>
      </c>
      <c r="E24" s="101"/>
      <c r="F24" s="334" t="str">
        <f t="shared" si="2"/>
        <v>07.99.</v>
      </c>
      <c r="G24" s="217" t="s">
        <v>2575</v>
      </c>
      <c r="H24" s="373">
        <f>'Tabla III.1.'!L25</f>
        <v>0</v>
      </c>
      <c r="I24" s="376">
        <f t="shared" ref="I24:R24" si="8">SUM(I12,I15,I18,I21)</f>
        <v>0</v>
      </c>
      <c r="J24" s="376">
        <f t="shared" si="8"/>
        <v>0</v>
      </c>
      <c r="K24" s="377">
        <f t="shared" si="8"/>
        <v>0</v>
      </c>
      <c r="L24" s="378">
        <f t="shared" si="8"/>
        <v>0</v>
      </c>
      <c r="M24" s="376">
        <f t="shared" si="8"/>
        <v>0</v>
      </c>
      <c r="N24" s="378">
        <f t="shared" si="8"/>
        <v>0</v>
      </c>
      <c r="O24" s="378">
        <f t="shared" si="8"/>
        <v>0</v>
      </c>
      <c r="P24" s="378">
        <f t="shared" si="8"/>
        <v>0</v>
      </c>
      <c r="Q24" s="378">
        <f t="shared" si="8"/>
        <v>0</v>
      </c>
      <c r="R24" s="378">
        <f t="shared" si="8"/>
        <v>0</v>
      </c>
      <c r="S24" s="375">
        <f t="shared" si="3"/>
        <v>0</v>
      </c>
      <c r="T24" s="411"/>
    </row>
    <row r="25" spans="1:20" s="144" customFormat="1" ht="24" thickBot="1">
      <c r="C25" s="134"/>
      <c r="D25" s="149"/>
      <c r="E25" s="134"/>
      <c r="F25" s="142"/>
      <c r="G25" s="138"/>
      <c r="H25" s="647"/>
      <c r="I25" s="647"/>
      <c r="J25" s="647"/>
      <c r="K25" s="647"/>
      <c r="L25" s="139"/>
      <c r="M25" s="139"/>
      <c r="N25" s="139"/>
      <c r="O25" s="139"/>
      <c r="P25" s="139"/>
      <c r="Q25" s="139"/>
      <c r="R25" s="139"/>
      <c r="S25" s="139"/>
    </row>
    <row r="26" spans="1:20" s="144" customFormat="1" ht="24" thickTop="1">
      <c r="C26" s="134"/>
      <c r="D26" s="97"/>
      <c r="E26" s="100"/>
      <c r="F26" s="201" t="s">
        <v>2446</v>
      </c>
      <c r="G26" s="204"/>
      <c r="H26" s="204"/>
      <c r="I26" s="204"/>
      <c r="J26" s="204"/>
      <c r="K26" s="204"/>
      <c r="L26" s="204"/>
      <c r="M26" s="204"/>
      <c r="N26" s="783"/>
      <c r="O26" s="783"/>
      <c r="P26" s="783"/>
      <c r="Q26" s="783"/>
      <c r="R26" s="783"/>
      <c r="S26" s="784"/>
    </row>
    <row r="27" spans="1:20" s="144" customFormat="1" ht="23.25">
      <c r="C27" s="134"/>
      <c r="D27" s="132">
        <v>1</v>
      </c>
      <c r="E27" s="518"/>
      <c r="F27" s="202" t="str">
        <f>D27&amp;"/"&amp; " Calendario derivado de los créditos y anticipos comerciales, préstamos y títulos de deuda (bonos emitidos por la empresa declarante) que representan pasivos de deuda de la empresa declarante frente a empresas no residentes relacionadas."</f>
        <v>1/ Calendario derivado de los créditos y anticipos comerciales, préstamos y títulos de deuda (bonos emitidos por la empresa declarante) que representan pasivos de deuda de la empresa declarante frente a empresas no residentes relacionadas.</v>
      </c>
      <c r="G27" s="97"/>
      <c r="H27" s="97"/>
      <c r="I27" s="97"/>
      <c r="J27" s="97"/>
      <c r="K27" s="97"/>
      <c r="L27" s="97"/>
      <c r="M27" s="97"/>
      <c r="N27" s="139"/>
      <c r="O27" s="139"/>
      <c r="P27" s="139"/>
      <c r="Q27" s="139"/>
      <c r="R27" s="139"/>
      <c r="S27" s="785"/>
    </row>
    <row r="28" spans="1:20" s="144" customFormat="1" ht="23.25">
      <c r="C28" s="134"/>
      <c r="D28" s="132"/>
      <c r="E28" s="518"/>
      <c r="F28" s="202" t="s">
        <v>2576</v>
      </c>
      <c r="G28" s="97"/>
      <c r="H28" s="97"/>
      <c r="I28" s="97"/>
      <c r="J28" s="97"/>
      <c r="K28" s="97"/>
      <c r="L28" s="97"/>
      <c r="M28" s="97"/>
      <c r="N28" s="139"/>
      <c r="O28" s="139"/>
      <c r="P28" s="139"/>
      <c r="Q28" s="139"/>
      <c r="R28" s="139"/>
      <c r="S28" s="785"/>
    </row>
    <row r="29" spans="1:20" s="144" customFormat="1" ht="24" thickBot="1">
      <c r="C29" s="134"/>
      <c r="D29" s="132">
        <v>2</v>
      </c>
      <c r="E29" s="132"/>
      <c r="F29" s="203" t="str">
        <f>D29&amp;"/"&amp; " Deuda por el principal  vencido y no pagado (atrasos del principal). Si el declarante es una sociedad de depósito (banco, p.ej.), incluir los depósitos bancarios a la vista."</f>
        <v>2/ Deuda por el principal  vencido y no pagado (atrasos del principal). Si el declarante es una sociedad de depósito (banco, p.ej.), incluir los depósitos bancarios a la vista.</v>
      </c>
      <c r="G29" s="215"/>
      <c r="H29" s="215"/>
      <c r="I29" s="215"/>
      <c r="J29" s="215"/>
      <c r="K29" s="215"/>
      <c r="L29" s="215"/>
      <c r="M29" s="215"/>
      <c r="N29" s="786"/>
      <c r="O29" s="786"/>
      <c r="P29" s="786"/>
      <c r="Q29" s="786"/>
      <c r="R29" s="786"/>
      <c r="S29" s="787"/>
    </row>
    <row r="30" spans="1:20" s="144" customFormat="1" ht="24" thickTop="1">
      <c r="C30" s="134"/>
      <c r="D30" s="132"/>
      <c r="E30" s="132"/>
      <c r="F30" s="238"/>
      <c r="G30" s="97"/>
      <c r="H30" s="97"/>
      <c r="I30" s="97"/>
      <c r="J30" s="97"/>
      <c r="K30" s="97"/>
      <c r="L30" s="97"/>
      <c r="M30" s="97"/>
      <c r="N30" s="139"/>
      <c r="O30" s="139"/>
      <c r="P30" s="139"/>
      <c r="Q30" s="139"/>
      <c r="R30" s="139"/>
      <c r="S30" s="139"/>
    </row>
    <row r="31" spans="1:20" s="144" customFormat="1" ht="23.25">
      <c r="C31" s="134"/>
      <c r="D31" s="149"/>
      <c r="E31" s="134"/>
      <c r="F31" s="145"/>
      <c r="G31" s="155"/>
      <c r="H31" s="788"/>
      <c r="I31" s="788"/>
      <c r="J31" s="788"/>
      <c r="K31" s="788"/>
      <c r="L31" s="147"/>
      <c r="M31" s="147"/>
      <c r="N31" s="147"/>
      <c r="O31" s="147"/>
      <c r="P31" s="147"/>
      <c r="Q31" s="147"/>
      <c r="R31" s="147"/>
      <c r="S31" s="147"/>
    </row>
    <row r="32" spans="1:20" s="144" customFormat="1" ht="23.25">
      <c r="C32" s="134"/>
      <c r="D32" s="149"/>
      <c r="E32" s="134"/>
      <c r="F32" s="142"/>
      <c r="G32" s="138"/>
      <c r="H32" s="647"/>
      <c r="I32" s="647"/>
      <c r="J32" s="647"/>
      <c r="K32" s="647"/>
      <c r="L32" s="139"/>
      <c r="M32" s="139"/>
      <c r="N32" s="139"/>
      <c r="O32" s="139"/>
      <c r="P32" s="139"/>
      <c r="Q32" s="139"/>
      <c r="R32" s="139"/>
      <c r="S32" s="139"/>
    </row>
    <row r="33" spans="1:38" s="97" customFormat="1" ht="39" thickBot="1">
      <c r="E33" s="98"/>
      <c r="F33" s="158" t="str">
        <f>"Parte B. Calendario del principal frente a empresas no residentes no relacionadas "&amp;D57&amp;"/"</f>
        <v>Parte B. Calendario del principal frente a empresas no residentes no relacionadas 1/</v>
      </c>
      <c r="G33" s="160"/>
      <c r="H33" s="160"/>
      <c r="I33" s="160"/>
      <c r="J33" s="160"/>
      <c r="K33" s="160"/>
      <c r="L33" s="160"/>
      <c r="M33" s="160"/>
      <c r="N33" s="160"/>
      <c r="O33" s="160"/>
      <c r="P33" s="160"/>
      <c r="Q33" s="160"/>
      <c r="R33" s="160"/>
      <c r="S33" s="160"/>
    </row>
    <row r="34" spans="1:38" ht="40.5" customHeight="1" thickTop="1">
      <c r="C34" s="2334" t="str">
        <f ca="1">RIGHT(CELL("nombrearchivo",$A$2),LEN(CELL("nombrearchivo",$A$2))-SEARCH("]",CELL("nombrearchivo",$A$2)))</f>
        <v>Tabla III.3.</v>
      </c>
      <c r="D34" s="2335"/>
      <c r="F34" s="2360" t="s">
        <v>2577</v>
      </c>
      <c r="G34" s="2361"/>
      <c r="H34" s="2366" t="str">
        <f>+H9</f>
        <v>SALDO A FINES DE SETIEMBRE 2025</v>
      </c>
      <c r="I34" s="2358" t="str">
        <f>"ATRASOS "&amp;D59&amp;"/"</f>
        <v>ATRASOS 2/</v>
      </c>
      <c r="J34" s="235" t="s">
        <v>2547</v>
      </c>
      <c r="K34" s="212"/>
      <c r="L34" s="212"/>
      <c r="M34" s="213"/>
      <c r="N34" s="213"/>
      <c r="O34" s="213"/>
      <c r="P34" s="213"/>
      <c r="Q34" s="213"/>
      <c r="R34" s="213"/>
      <c r="S34" s="214"/>
      <c r="T34" s="46"/>
      <c r="U34" s="46"/>
      <c r="V34" s="46"/>
    </row>
    <row r="35" spans="1:38" ht="60.75" customHeight="1" thickBot="1">
      <c r="C35" s="2336"/>
      <c r="D35" s="2337"/>
      <c r="F35" s="2362"/>
      <c r="G35" s="2363"/>
      <c r="H35" s="2367"/>
      <c r="I35" s="2359"/>
      <c r="J35" s="248" t="str">
        <f>+J10</f>
        <v>0-3 meses</v>
      </c>
      <c r="K35" s="249" t="str">
        <f t="shared" ref="K35:S35" si="9">+K10</f>
        <v>4-6 meses</v>
      </c>
      <c r="L35" s="249" t="str">
        <f t="shared" si="9"/>
        <v>7-9 meses</v>
      </c>
      <c r="M35" s="249" t="str">
        <f t="shared" si="9"/>
        <v>10-12 meses</v>
      </c>
      <c r="N35" s="249" t="str">
        <f t="shared" si="9"/>
        <v>13-18 meses
(seis meses)</v>
      </c>
      <c r="O35" s="249" t="str">
        <f t="shared" si="9"/>
        <v>19-24 meses
(seis meses)</v>
      </c>
      <c r="P35" s="249" t="str">
        <f t="shared" si="9"/>
        <v>3er. año</v>
      </c>
      <c r="Q35" s="249" t="str">
        <f t="shared" si="9"/>
        <v>4to. año</v>
      </c>
      <c r="R35" s="249" t="str">
        <f t="shared" si="9"/>
        <v>5to. año</v>
      </c>
      <c r="S35" s="250" t="str">
        <f t="shared" si="9"/>
        <v>Despúes del 5to. año</v>
      </c>
    </row>
    <row r="36" spans="1:38" s="47" customFormat="1" ht="36" customHeight="1" thickBot="1">
      <c r="A36" s="135" t="s">
        <v>2261</v>
      </c>
      <c r="B36" s="135" t="s">
        <v>2262</v>
      </c>
      <c r="C36" s="94" t="s">
        <v>2171</v>
      </c>
      <c r="D36" s="95" t="s">
        <v>2172</v>
      </c>
      <c r="E36" s="109"/>
      <c r="F36" s="2364"/>
      <c r="G36" s="2365"/>
      <c r="H36" s="208" t="s">
        <v>2557</v>
      </c>
      <c r="I36" s="209" t="s">
        <v>2558</v>
      </c>
      <c r="J36" s="210" t="s">
        <v>2559</v>
      </c>
      <c r="K36" s="210" t="s">
        <v>2560</v>
      </c>
      <c r="L36" s="210" t="s">
        <v>2561</v>
      </c>
      <c r="M36" s="210" t="s">
        <v>2562</v>
      </c>
      <c r="N36" s="210" t="s">
        <v>2563</v>
      </c>
      <c r="O36" s="210" t="s">
        <v>2564</v>
      </c>
      <c r="P36" s="210" t="s">
        <v>2565</v>
      </c>
      <c r="Q36" s="210" t="s">
        <v>2566</v>
      </c>
      <c r="R36" s="210" t="s">
        <v>2567</v>
      </c>
      <c r="S36" s="211" t="s">
        <v>2568</v>
      </c>
      <c r="T36" s="46"/>
      <c r="U36" s="46"/>
      <c r="V36" s="46"/>
      <c r="W36" s="46"/>
      <c r="X36" s="46"/>
      <c r="Y36" s="46"/>
      <c r="Z36" s="46"/>
      <c r="AA36" s="46"/>
      <c r="AB36" s="46"/>
      <c r="AC36" s="46"/>
      <c r="AD36" s="46"/>
      <c r="AE36" s="46"/>
      <c r="AF36" s="46"/>
      <c r="AG36" s="46"/>
      <c r="AH36" s="46"/>
      <c r="AI36" s="46"/>
      <c r="AJ36" s="46"/>
      <c r="AK36" s="46"/>
      <c r="AL36" s="46"/>
    </row>
    <row r="37" spans="1:38" s="47" customFormat="1" ht="36" customHeight="1">
      <c r="A37" s="136">
        <f>+A24+1</f>
        <v>8</v>
      </c>
      <c r="B37" s="255" t="s">
        <v>2272</v>
      </c>
      <c r="C37" s="115"/>
      <c r="D37" s="267" t="str">
        <f t="shared" ref="D37:D54" si="10">CONCATENATE("0",A37,B37)</f>
        <v>08.01.</v>
      </c>
      <c r="E37" s="102"/>
      <c r="F37" s="789" t="str">
        <f>+D37</f>
        <v>08.01.</v>
      </c>
      <c r="G37" s="152" t="s">
        <v>2536</v>
      </c>
      <c r="H37" s="379">
        <f>'Tabla III.1.'!L46</f>
        <v>0</v>
      </c>
      <c r="I37" s="326">
        <f>SUM(I38,I41,I44)</f>
        <v>0</v>
      </c>
      <c r="J37" s="326">
        <f t="shared" ref="J37:R37" si="11">SUM(J38,J41,J44)</f>
        <v>0</v>
      </c>
      <c r="K37" s="327">
        <f t="shared" si="11"/>
        <v>0</v>
      </c>
      <c r="L37" s="790">
        <f t="shared" si="11"/>
        <v>0</v>
      </c>
      <c r="M37" s="326">
        <f t="shared" si="11"/>
        <v>0</v>
      </c>
      <c r="N37" s="790">
        <f t="shared" si="11"/>
        <v>0</v>
      </c>
      <c r="O37" s="790">
        <f t="shared" si="11"/>
        <v>0</v>
      </c>
      <c r="P37" s="790">
        <f t="shared" si="11"/>
        <v>0</v>
      </c>
      <c r="Q37" s="790">
        <f t="shared" si="11"/>
        <v>0</v>
      </c>
      <c r="R37" s="790">
        <f t="shared" si="11"/>
        <v>0</v>
      </c>
      <c r="S37" s="328">
        <f t="shared" ref="S37:S54" si="12">+H37-SUM(I37:R37)</f>
        <v>0</v>
      </c>
      <c r="T37" s="411"/>
    </row>
    <row r="38" spans="1:38" s="47" customFormat="1" ht="23.1" customHeight="1">
      <c r="A38" s="136">
        <f>+A37</f>
        <v>8</v>
      </c>
      <c r="B38" s="264" t="s">
        <v>2320</v>
      </c>
      <c r="C38" s="113"/>
      <c r="D38" s="791" t="str">
        <f t="shared" si="10"/>
        <v>08.01.01.</v>
      </c>
      <c r="E38" s="102"/>
      <c r="F38" s="256" t="str">
        <f t="shared" ref="F38:F54" si="13">+D38</f>
        <v>08.01.01.</v>
      </c>
      <c r="G38" s="252" t="s">
        <v>2537</v>
      </c>
      <c r="H38" s="380">
        <f>'Tabla III.1.'!L47</f>
        <v>0</v>
      </c>
      <c r="I38" s="443">
        <f>SUM(I39:I40)</f>
        <v>0</v>
      </c>
      <c r="J38" s="443">
        <f t="shared" ref="J38:R38" si="14">SUM(J39:J40)</f>
        <v>0</v>
      </c>
      <c r="K38" s="1529">
        <f t="shared" si="14"/>
        <v>0</v>
      </c>
      <c r="L38" s="444">
        <f t="shared" si="14"/>
        <v>0</v>
      </c>
      <c r="M38" s="443">
        <f t="shared" si="14"/>
        <v>0</v>
      </c>
      <c r="N38" s="444">
        <f t="shared" si="14"/>
        <v>0</v>
      </c>
      <c r="O38" s="444">
        <f t="shared" si="14"/>
        <v>0</v>
      </c>
      <c r="P38" s="444">
        <f t="shared" si="14"/>
        <v>0</v>
      </c>
      <c r="Q38" s="444">
        <f t="shared" si="14"/>
        <v>0</v>
      </c>
      <c r="R38" s="444">
        <f t="shared" si="14"/>
        <v>0</v>
      </c>
      <c r="S38" s="385">
        <f t="shared" si="12"/>
        <v>0</v>
      </c>
      <c r="T38" s="411"/>
    </row>
    <row r="39" spans="1:38" s="47" customFormat="1" ht="23.1" customHeight="1">
      <c r="A39" s="136">
        <f t="shared" ref="A39:A54" si="15">+A38</f>
        <v>8</v>
      </c>
      <c r="B39" s="264" t="s">
        <v>2321</v>
      </c>
      <c r="C39" s="1582" t="s">
        <v>2578</v>
      </c>
      <c r="D39" s="1615" t="str">
        <f t="shared" si="10"/>
        <v>08.01.01.01.</v>
      </c>
      <c r="E39" s="102"/>
      <c r="F39" s="1611" t="str">
        <f t="shared" si="13"/>
        <v>08.01.01.01.</v>
      </c>
      <c r="G39" s="1584" t="s">
        <v>2529</v>
      </c>
      <c r="H39" s="1621">
        <f>'Tabla III.1.'!L48</f>
        <v>0</v>
      </c>
      <c r="I39" s="1616">
        <f>+'Tabla III.1.'!M48</f>
        <v>0</v>
      </c>
      <c r="J39" s="1587"/>
      <c r="K39" s="1587"/>
      <c r="L39" s="1587"/>
      <c r="M39" s="1587"/>
      <c r="N39" s="1587"/>
      <c r="O39" s="1587"/>
      <c r="P39" s="1587"/>
      <c r="Q39" s="1587"/>
      <c r="R39" s="1587"/>
      <c r="S39" s="1618">
        <f t="shared" si="12"/>
        <v>0</v>
      </c>
      <c r="T39" s="411"/>
    </row>
    <row r="40" spans="1:38" s="47" customFormat="1" ht="23.1" customHeight="1">
      <c r="A40" s="136">
        <f t="shared" si="15"/>
        <v>8</v>
      </c>
      <c r="B40" s="264" t="s">
        <v>2323</v>
      </c>
      <c r="C40" s="1572"/>
      <c r="D40" s="1615" t="str">
        <f t="shared" si="10"/>
        <v>08.01.01.02.</v>
      </c>
      <c r="E40" s="102"/>
      <c r="F40" s="1611" t="str">
        <f t="shared" si="13"/>
        <v>08.01.01.02.</v>
      </c>
      <c r="G40" s="1584" t="s">
        <v>2530</v>
      </c>
      <c r="H40" s="1621">
        <f>'Tabla III.1.'!L49</f>
        <v>0</v>
      </c>
      <c r="I40" s="1616">
        <f>+'Tabla III.1.'!M49</f>
        <v>0</v>
      </c>
      <c r="J40" s="1587"/>
      <c r="K40" s="1587"/>
      <c r="L40" s="1587"/>
      <c r="M40" s="1587"/>
      <c r="N40" s="1587"/>
      <c r="O40" s="1587"/>
      <c r="P40" s="1587"/>
      <c r="Q40" s="1587"/>
      <c r="R40" s="1587"/>
      <c r="S40" s="1618">
        <f t="shared" si="12"/>
        <v>0</v>
      </c>
      <c r="T40" s="411"/>
    </row>
    <row r="41" spans="1:38" s="47" customFormat="1" ht="23.1" customHeight="1">
      <c r="A41" s="136">
        <f t="shared" si="15"/>
        <v>8</v>
      </c>
      <c r="B41" s="264" t="s">
        <v>2325</v>
      </c>
      <c r="C41" s="1582"/>
      <c r="D41" s="1622" t="str">
        <f t="shared" si="10"/>
        <v>08.01.02.</v>
      </c>
      <c r="E41" s="102"/>
      <c r="F41" s="1612" t="str">
        <f t="shared" si="13"/>
        <v>08.01.02.</v>
      </c>
      <c r="G41" s="1613" t="s">
        <v>2538</v>
      </c>
      <c r="H41" s="1623">
        <f>'Tabla III.1.'!L50</f>
        <v>0</v>
      </c>
      <c r="I41" s="1624">
        <f>SUM(I42:I43)</f>
        <v>0</v>
      </c>
      <c r="J41" s="1624">
        <f t="shared" ref="J41:R41" si="16">SUM(J42:J43)</f>
        <v>0</v>
      </c>
      <c r="K41" s="1625">
        <f t="shared" si="16"/>
        <v>0</v>
      </c>
      <c r="L41" s="1626">
        <f t="shared" si="16"/>
        <v>0</v>
      </c>
      <c r="M41" s="1624">
        <f t="shared" si="16"/>
        <v>0</v>
      </c>
      <c r="N41" s="1626">
        <f t="shared" si="16"/>
        <v>0</v>
      </c>
      <c r="O41" s="1626">
        <f t="shared" si="16"/>
        <v>0</v>
      </c>
      <c r="P41" s="1626">
        <f t="shared" si="16"/>
        <v>0</v>
      </c>
      <c r="Q41" s="1626">
        <f t="shared" si="16"/>
        <v>0</v>
      </c>
      <c r="R41" s="1626">
        <f t="shared" si="16"/>
        <v>0</v>
      </c>
      <c r="S41" s="1627">
        <f t="shared" si="12"/>
        <v>0</v>
      </c>
      <c r="T41" s="411"/>
    </row>
    <row r="42" spans="1:38" s="47" customFormat="1" ht="23.1" customHeight="1">
      <c r="A42" s="136">
        <f t="shared" si="15"/>
        <v>8</v>
      </c>
      <c r="B42" s="264" t="s">
        <v>2455</v>
      </c>
      <c r="C42" s="1572" t="s">
        <v>2578</v>
      </c>
      <c r="D42" s="1615" t="str">
        <f t="shared" si="10"/>
        <v>08.01.02.01.</v>
      </c>
      <c r="E42" s="102"/>
      <c r="F42" s="1611" t="str">
        <f t="shared" si="13"/>
        <v>08.01.02.01.</v>
      </c>
      <c r="G42" s="1584" t="s">
        <v>2529</v>
      </c>
      <c r="H42" s="1621">
        <f>'Tabla III.1.'!L51</f>
        <v>0</v>
      </c>
      <c r="I42" s="1616">
        <f>+'Tabla III.1.'!M51</f>
        <v>0</v>
      </c>
      <c r="J42" s="1587"/>
      <c r="K42" s="1587"/>
      <c r="L42" s="1587"/>
      <c r="M42" s="1587"/>
      <c r="N42" s="1587"/>
      <c r="O42" s="1587"/>
      <c r="P42" s="1587"/>
      <c r="Q42" s="1587"/>
      <c r="R42" s="1587"/>
      <c r="S42" s="1618">
        <f t="shared" si="12"/>
        <v>0</v>
      </c>
      <c r="T42" s="411"/>
    </row>
    <row r="43" spans="1:38" s="47" customFormat="1" ht="23.1" customHeight="1">
      <c r="A43" s="136">
        <f t="shared" si="15"/>
        <v>8</v>
      </c>
      <c r="B43" s="264" t="s">
        <v>2457</v>
      </c>
      <c r="C43" s="1582"/>
      <c r="D43" s="1628" t="str">
        <f t="shared" si="10"/>
        <v>08.01.02.02.</v>
      </c>
      <c r="E43" s="102"/>
      <c r="F43" s="1614" t="str">
        <f t="shared" si="13"/>
        <v>08.01.02.02.</v>
      </c>
      <c r="G43" s="1584" t="s">
        <v>2530</v>
      </c>
      <c r="H43" s="1629">
        <f>'Tabla III.1.'!L52</f>
        <v>0</v>
      </c>
      <c r="I43" s="1616">
        <f>+'Tabla III.1.'!M52</f>
        <v>0</v>
      </c>
      <c r="J43" s="1587"/>
      <c r="K43" s="1587"/>
      <c r="L43" s="1587"/>
      <c r="M43" s="1587"/>
      <c r="N43" s="1587"/>
      <c r="O43" s="1587"/>
      <c r="P43" s="1587"/>
      <c r="Q43" s="1587"/>
      <c r="R43" s="1587"/>
      <c r="S43" s="1630">
        <f t="shared" si="12"/>
        <v>0</v>
      </c>
      <c r="T43" s="411"/>
    </row>
    <row r="44" spans="1:38" s="47" customFormat="1" ht="23.1" customHeight="1">
      <c r="A44" s="136">
        <f t="shared" si="15"/>
        <v>8</v>
      </c>
      <c r="B44" s="264" t="s">
        <v>2459</v>
      </c>
      <c r="C44" s="1582"/>
      <c r="D44" s="1622" t="str">
        <f t="shared" si="10"/>
        <v>08.01.03.</v>
      </c>
      <c r="E44" s="102"/>
      <c r="F44" s="1612" t="str">
        <f t="shared" si="13"/>
        <v>08.01.03.</v>
      </c>
      <c r="G44" s="1613" t="s">
        <v>2539</v>
      </c>
      <c r="H44" s="1623">
        <f>'Tabla III.1.'!L53</f>
        <v>0</v>
      </c>
      <c r="I44" s="1624">
        <f>SUM(I45:I46)</f>
        <v>0</v>
      </c>
      <c r="J44" s="1624">
        <f t="shared" ref="J44:R44" si="17">SUM(J45:J46)</f>
        <v>0</v>
      </c>
      <c r="K44" s="1625">
        <f t="shared" si="17"/>
        <v>0</v>
      </c>
      <c r="L44" s="1626">
        <f t="shared" si="17"/>
        <v>0</v>
      </c>
      <c r="M44" s="1624">
        <f t="shared" si="17"/>
        <v>0</v>
      </c>
      <c r="N44" s="1626">
        <f t="shared" si="17"/>
        <v>0</v>
      </c>
      <c r="O44" s="1626">
        <f t="shared" si="17"/>
        <v>0</v>
      </c>
      <c r="P44" s="1626">
        <f t="shared" si="17"/>
        <v>0</v>
      </c>
      <c r="Q44" s="1626">
        <f t="shared" si="17"/>
        <v>0</v>
      </c>
      <c r="R44" s="1626">
        <f t="shared" si="17"/>
        <v>0</v>
      </c>
      <c r="S44" s="1627">
        <f t="shared" si="12"/>
        <v>0</v>
      </c>
      <c r="T44" s="411"/>
    </row>
    <row r="45" spans="1:38" s="47" customFormat="1" ht="23.1" customHeight="1">
      <c r="A45" s="136">
        <f t="shared" si="15"/>
        <v>8</v>
      </c>
      <c r="B45" s="264" t="s">
        <v>2460</v>
      </c>
      <c r="C45" s="1582" t="s">
        <v>2578</v>
      </c>
      <c r="D45" s="1628" t="str">
        <f t="shared" si="10"/>
        <v>08.01.03.01.</v>
      </c>
      <c r="E45" s="102"/>
      <c r="F45" s="1614" t="str">
        <f t="shared" si="13"/>
        <v>08.01.03.01.</v>
      </c>
      <c r="G45" s="1584" t="s">
        <v>2529</v>
      </c>
      <c r="H45" s="1629">
        <f>'Tabla III.1.'!L54</f>
        <v>0</v>
      </c>
      <c r="I45" s="1616">
        <f>+'Tabla III.1.'!M54</f>
        <v>0</v>
      </c>
      <c r="J45" s="1587"/>
      <c r="K45" s="1587"/>
      <c r="L45" s="1587"/>
      <c r="M45" s="1587"/>
      <c r="N45" s="1587"/>
      <c r="O45" s="1587"/>
      <c r="P45" s="1587"/>
      <c r="Q45" s="1587"/>
      <c r="R45" s="1587"/>
      <c r="S45" s="1630">
        <f t="shared" si="12"/>
        <v>0</v>
      </c>
      <c r="T45" s="411"/>
    </row>
    <row r="46" spans="1:38" s="47" customFormat="1" ht="23.1" customHeight="1">
      <c r="A46" s="136">
        <f t="shared" si="15"/>
        <v>8</v>
      </c>
      <c r="B46" s="264" t="s">
        <v>2461</v>
      </c>
      <c r="C46" s="1582"/>
      <c r="D46" s="1628" t="str">
        <f t="shared" si="10"/>
        <v>08.01.03.02.</v>
      </c>
      <c r="E46" s="102"/>
      <c r="F46" s="1614" t="str">
        <f t="shared" si="13"/>
        <v>08.01.03.02.</v>
      </c>
      <c r="G46" s="1584" t="s">
        <v>2530</v>
      </c>
      <c r="H46" s="1629">
        <f>'Tabla III.1.'!L55</f>
        <v>0</v>
      </c>
      <c r="I46" s="1616">
        <f>+'Tabla III.1.'!M55</f>
        <v>0</v>
      </c>
      <c r="J46" s="1587"/>
      <c r="K46" s="1587"/>
      <c r="L46" s="1587"/>
      <c r="M46" s="1587"/>
      <c r="N46" s="1587"/>
      <c r="O46" s="1587"/>
      <c r="P46" s="1587"/>
      <c r="Q46" s="1587"/>
      <c r="R46" s="1587"/>
      <c r="S46" s="1630">
        <f t="shared" si="12"/>
        <v>0</v>
      </c>
      <c r="T46" s="411"/>
    </row>
    <row r="47" spans="1:38" s="47" customFormat="1" ht="36" customHeight="1">
      <c r="A47" s="136">
        <f t="shared" si="15"/>
        <v>8</v>
      </c>
      <c r="B47" s="264" t="s">
        <v>2302</v>
      </c>
      <c r="C47" s="116"/>
      <c r="D47" s="792" t="str">
        <f t="shared" si="10"/>
        <v>08.02.</v>
      </c>
      <c r="E47" s="102"/>
      <c r="F47" s="254" t="str">
        <f t="shared" si="13"/>
        <v>08.02.</v>
      </c>
      <c r="G47" s="153" t="s">
        <v>2540</v>
      </c>
      <c r="H47" s="381">
        <f>'Tabla III.1.'!L56</f>
        <v>0</v>
      </c>
      <c r="I47" s="330">
        <f>SUM(I48:I49)</f>
        <v>0</v>
      </c>
      <c r="J47" s="330">
        <f t="shared" ref="J47:R47" si="18">SUM(J48:J49)</f>
        <v>0</v>
      </c>
      <c r="K47" s="331">
        <f t="shared" si="18"/>
        <v>0</v>
      </c>
      <c r="L47" s="366">
        <f t="shared" si="18"/>
        <v>0</v>
      </c>
      <c r="M47" s="330">
        <f t="shared" si="18"/>
        <v>0</v>
      </c>
      <c r="N47" s="366">
        <f t="shared" si="18"/>
        <v>0</v>
      </c>
      <c r="O47" s="366">
        <f t="shared" si="18"/>
        <v>0</v>
      </c>
      <c r="P47" s="366">
        <f t="shared" si="18"/>
        <v>0</v>
      </c>
      <c r="Q47" s="366">
        <f t="shared" si="18"/>
        <v>0</v>
      </c>
      <c r="R47" s="366">
        <f t="shared" si="18"/>
        <v>0</v>
      </c>
      <c r="S47" s="332">
        <f t="shared" si="12"/>
        <v>0</v>
      </c>
      <c r="T47" s="411"/>
    </row>
    <row r="48" spans="1:38" s="47" customFormat="1" ht="23.1" customHeight="1">
      <c r="A48" s="136">
        <f t="shared" si="15"/>
        <v>8</v>
      </c>
      <c r="B48" s="264" t="s">
        <v>2435</v>
      </c>
      <c r="C48" s="1582" t="s">
        <v>2578</v>
      </c>
      <c r="D48" s="1628" t="str">
        <f t="shared" si="10"/>
        <v>08.02.00.01.</v>
      </c>
      <c r="E48" s="102"/>
      <c r="F48" s="257" t="str">
        <f t="shared" si="13"/>
        <v>08.02.00.01.</v>
      </c>
      <c r="G48" s="1584" t="s">
        <v>2529</v>
      </c>
      <c r="H48" s="382">
        <f>'Tabla III.1.'!L57</f>
        <v>0</v>
      </c>
      <c r="I48" s="1616">
        <f>+'Tabla III.1.'!M57</f>
        <v>0</v>
      </c>
      <c r="J48" s="1587"/>
      <c r="K48" s="1587"/>
      <c r="L48" s="1587"/>
      <c r="M48" s="1587"/>
      <c r="N48" s="1587"/>
      <c r="O48" s="1587"/>
      <c r="P48" s="1587"/>
      <c r="Q48" s="1587"/>
      <c r="R48" s="1587"/>
      <c r="S48" s="374">
        <f t="shared" si="12"/>
        <v>0</v>
      </c>
      <c r="T48" s="411"/>
    </row>
    <row r="49" spans="1:20" s="47" customFormat="1" ht="23.1" customHeight="1">
      <c r="A49" s="136">
        <f t="shared" si="15"/>
        <v>8</v>
      </c>
      <c r="B49" s="264" t="s">
        <v>2437</v>
      </c>
      <c r="C49" s="1572"/>
      <c r="D49" s="1628" t="str">
        <f t="shared" si="10"/>
        <v>08.02.00.02.</v>
      </c>
      <c r="E49" s="102"/>
      <c r="F49" s="253" t="str">
        <f t="shared" si="13"/>
        <v>08.02.00.02.</v>
      </c>
      <c r="G49" s="1584" t="s">
        <v>2530</v>
      </c>
      <c r="H49" s="383">
        <f>'Tabla III.1.'!L58</f>
        <v>0</v>
      </c>
      <c r="I49" s="1616">
        <f>+'Tabla III.1.'!M58</f>
        <v>0</v>
      </c>
      <c r="J49" s="1587"/>
      <c r="K49" s="1587"/>
      <c r="L49" s="1587"/>
      <c r="M49" s="1587"/>
      <c r="N49" s="1587"/>
      <c r="O49" s="1587"/>
      <c r="P49" s="1587"/>
      <c r="Q49" s="1587"/>
      <c r="R49" s="1587"/>
      <c r="S49" s="386">
        <f t="shared" si="12"/>
        <v>0</v>
      </c>
      <c r="T49" s="411"/>
    </row>
    <row r="50" spans="1:20" s="47" customFormat="1" ht="36" customHeight="1">
      <c r="A50" s="136">
        <f t="shared" si="15"/>
        <v>8</v>
      </c>
      <c r="B50" s="264" t="s">
        <v>2439</v>
      </c>
      <c r="C50" s="116"/>
      <c r="D50" s="792" t="str">
        <f t="shared" si="10"/>
        <v>08.03.</v>
      </c>
      <c r="E50" s="102"/>
      <c r="F50" s="254" t="str">
        <f t="shared" si="13"/>
        <v>08.03.</v>
      </c>
      <c r="G50" s="153" t="s">
        <v>2579</v>
      </c>
      <c r="H50" s="381">
        <f>'Tabla III.1.'!L59</f>
        <v>0</v>
      </c>
      <c r="I50" s="330">
        <f>SUM(I51:I52)</f>
        <v>0</v>
      </c>
      <c r="J50" s="330">
        <f t="shared" ref="J50:R50" si="19">SUM(J51:J52)</f>
        <v>0</v>
      </c>
      <c r="K50" s="331">
        <f t="shared" si="19"/>
        <v>0</v>
      </c>
      <c r="L50" s="366">
        <f t="shared" si="19"/>
        <v>0</v>
      </c>
      <c r="M50" s="330">
        <f t="shared" si="19"/>
        <v>0</v>
      </c>
      <c r="N50" s="366">
        <f t="shared" si="19"/>
        <v>0</v>
      </c>
      <c r="O50" s="366">
        <f t="shared" si="19"/>
        <v>0</v>
      </c>
      <c r="P50" s="366">
        <f t="shared" si="19"/>
        <v>0</v>
      </c>
      <c r="Q50" s="366">
        <f t="shared" si="19"/>
        <v>0</v>
      </c>
      <c r="R50" s="366">
        <f t="shared" si="19"/>
        <v>0</v>
      </c>
      <c r="S50" s="332">
        <f t="shared" si="12"/>
        <v>0</v>
      </c>
      <c r="T50" s="411"/>
    </row>
    <row r="51" spans="1:20" s="47" customFormat="1" ht="23.1" customHeight="1">
      <c r="A51" s="136">
        <f t="shared" si="15"/>
        <v>8</v>
      </c>
      <c r="B51" s="264" t="s">
        <v>2440</v>
      </c>
      <c r="C51" s="113" t="s">
        <v>2578</v>
      </c>
      <c r="D51" s="1628" t="str">
        <f t="shared" si="10"/>
        <v>08.03.00.01.</v>
      </c>
      <c r="E51" s="102"/>
      <c r="F51" s="258" t="str">
        <f t="shared" si="13"/>
        <v>08.03.00.01.</v>
      </c>
      <c r="G51" s="1584" t="s">
        <v>2529</v>
      </c>
      <c r="H51" s="382">
        <f>'Tabla III.1.'!L60</f>
        <v>0</v>
      </c>
      <c r="I51" s="1616">
        <f>+'Tabla III.1.'!M60</f>
        <v>0</v>
      </c>
      <c r="J51" s="1587"/>
      <c r="K51" s="1587"/>
      <c r="L51" s="1587"/>
      <c r="M51" s="1587"/>
      <c r="N51" s="1587"/>
      <c r="O51" s="1587"/>
      <c r="P51" s="1587"/>
      <c r="Q51" s="1587"/>
      <c r="R51" s="1587"/>
      <c r="S51" s="374">
        <f t="shared" si="12"/>
        <v>0</v>
      </c>
      <c r="T51" s="411"/>
    </row>
    <row r="52" spans="1:20" s="47" customFormat="1" ht="23.1" customHeight="1">
      <c r="A52" s="136">
        <f t="shared" si="15"/>
        <v>8</v>
      </c>
      <c r="B52" s="264" t="s">
        <v>2441</v>
      </c>
      <c r="C52" s="1572"/>
      <c r="D52" s="1628" t="str">
        <f t="shared" si="10"/>
        <v>08.03.00.02.</v>
      </c>
      <c r="E52" s="102"/>
      <c r="F52" s="259" t="str">
        <f t="shared" si="13"/>
        <v>08.03.00.02.</v>
      </c>
      <c r="G52" s="1584" t="s">
        <v>2530</v>
      </c>
      <c r="H52" s="383">
        <f>'Tabla III.1.'!L61</f>
        <v>0</v>
      </c>
      <c r="I52" s="1616">
        <f>+'Tabla III.1.'!M61</f>
        <v>0</v>
      </c>
      <c r="J52" s="1587"/>
      <c r="K52" s="1587"/>
      <c r="L52" s="1587"/>
      <c r="M52" s="1587"/>
      <c r="N52" s="1587"/>
      <c r="O52" s="1587"/>
      <c r="P52" s="1587"/>
      <c r="Q52" s="1587"/>
      <c r="R52" s="1587"/>
      <c r="S52" s="386">
        <f t="shared" si="12"/>
        <v>0</v>
      </c>
      <c r="T52" s="411"/>
    </row>
    <row r="53" spans="1:20" s="47" customFormat="1" ht="36" customHeight="1" thickBot="1">
      <c r="A53" s="136">
        <f t="shared" si="15"/>
        <v>8</v>
      </c>
      <c r="B53" s="793" t="s">
        <v>2442</v>
      </c>
      <c r="C53" s="114"/>
      <c r="D53" s="794" t="str">
        <f t="shared" si="10"/>
        <v>08.04.</v>
      </c>
      <c r="E53" s="102"/>
      <c r="F53" s="795" t="str">
        <f t="shared" si="13"/>
        <v>08.04.</v>
      </c>
      <c r="G53" s="154" t="s">
        <v>2580</v>
      </c>
      <c r="H53" s="384">
        <f>'Tabla III.1.'!L62</f>
        <v>0</v>
      </c>
      <c r="I53" s="330">
        <f>+'Tabla III.1.'!M62</f>
        <v>0</v>
      </c>
      <c r="J53" s="1105"/>
      <c r="K53" s="1106"/>
      <c r="L53" s="1107"/>
      <c r="M53" s="1105"/>
      <c r="N53" s="1107"/>
      <c r="O53" s="1107"/>
      <c r="P53" s="1107"/>
      <c r="Q53" s="1107"/>
      <c r="R53" s="1107"/>
      <c r="S53" s="370">
        <f t="shared" si="12"/>
        <v>0</v>
      </c>
      <c r="T53" s="411"/>
    </row>
    <row r="54" spans="1:20" s="47" customFormat="1" ht="25.5" customHeight="1" thickTop="1" thickBot="1">
      <c r="A54" s="136">
        <f t="shared" si="15"/>
        <v>8</v>
      </c>
      <c r="B54" s="793" t="s">
        <v>2307</v>
      </c>
      <c r="C54" s="133"/>
      <c r="D54" s="796" t="str">
        <f t="shared" si="10"/>
        <v>08.99.</v>
      </c>
      <c r="E54" s="102"/>
      <c r="F54" s="260" t="str">
        <f t="shared" si="13"/>
        <v>08.99.</v>
      </c>
      <c r="G54" s="216" t="s">
        <v>2477</v>
      </c>
      <c r="H54" s="373">
        <f>'Tabla III.1.'!L63</f>
        <v>0</v>
      </c>
      <c r="I54" s="333">
        <f>SUM(I37,I47,I50,I53)</f>
        <v>0</v>
      </c>
      <c r="J54" s="333">
        <f t="shared" ref="J54:R54" si="20">SUM(J37,J47,J50,J53)</f>
        <v>0</v>
      </c>
      <c r="K54" s="368">
        <f t="shared" si="20"/>
        <v>0</v>
      </c>
      <c r="L54" s="387">
        <f t="shared" si="20"/>
        <v>0</v>
      </c>
      <c r="M54" s="333">
        <f t="shared" si="20"/>
        <v>0</v>
      </c>
      <c r="N54" s="387">
        <f t="shared" si="20"/>
        <v>0</v>
      </c>
      <c r="O54" s="387">
        <f t="shared" si="20"/>
        <v>0</v>
      </c>
      <c r="P54" s="387">
        <f t="shared" si="20"/>
        <v>0</v>
      </c>
      <c r="Q54" s="387">
        <f t="shared" si="20"/>
        <v>0</v>
      </c>
      <c r="R54" s="387">
        <f t="shared" si="20"/>
        <v>0</v>
      </c>
      <c r="S54" s="369">
        <f t="shared" si="12"/>
        <v>0</v>
      </c>
      <c r="T54" s="411"/>
    </row>
    <row r="55" spans="1:20" s="97" customFormat="1" ht="16.5" thickBot="1">
      <c r="E55" s="100"/>
    </row>
    <row r="56" spans="1:20" s="97" customFormat="1" ht="18.75" thickTop="1">
      <c r="E56" s="100"/>
      <c r="F56" s="201" t="s">
        <v>2446</v>
      </c>
      <c r="G56" s="204"/>
      <c r="H56" s="204"/>
      <c r="I56" s="204"/>
      <c r="J56" s="204"/>
      <c r="K56" s="204"/>
      <c r="L56" s="204"/>
      <c r="M56" s="204"/>
      <c r="N56" s="204"/>
      <c r="O56" s="204"/>
      <c r="P56" s="204"/>
      <c r="Q56" s="204"/>
      <c r="R56" s="204"/>
      <c r="S56" s="205"/>
    </row>
    <row r="57" spans="1:20" s="97" customFormat="1" ht="27.75" customHeight="1">
      <c r="D57" s="132">
        <v>1</v>
      </c>
      <c r="E57" s="518"/>
      <c r="F57" s="202" t="str">
        <f>D57&amp;"/"&amp; " Calendario derivado de los créditos y anticipos comerciales, préstamos y títulos de deuda (bonos emitidos por la empresa declarante) que representan pasivos de deuda de la empresa declarante frente a emrepsas no residentes no relacionadas."</f>
        <v>1/ Calendario derivado de los créditos y anticipos comerciales, préstamos y títulos de deuda (bonos emitidos por la empresa declarante) que representan pasivos de deuda de la empresa declarante frente a emrepsas no residentes no relacionadas.</v>
      </c>
      <c r="S57" s="206"/>
    </row>
    <row r="58" spans="1:20" s="97" customFormat="1" ht="27.75" customHeight="1">
      <c r="D58" s="132"/>
      <c r="E58" s="518"/>
      <c r="F58" s="202" t="s">
        <v>2576</v>
      </c>
      <c r="S58" s="206"/>
    </row>
    <row r="59" spans="1:20" s="97" customFormat="1" ht="27.75" customHeight="1" thickBot="1">
      <c r="D59" s="132">
        <v>2</v>
      </c>
      <c r="E59" s="132"/>
      <c r="F59" s="203" t="str">
        <f>D59&amp;"/"&amp; " Deuda por el principal vencido y no pagado (atrasos del principal). Si el declarante es una sociedad de depósito (banco, p.ej.), incluir los depósitos bancarios a la vista."</f>
        <v>2/ Deuda por el principal vencido y no pagado (atrasos del principal). Si el declarante es una sociedad de depósito (banco, p.ej.), incluir los depósitos bancarios a la vista.</v>
      </c>
      <c r="G59" s="215"/>
      <c r="H59" s="215"/>
      <c r="I59" s="215"/>
      <c r="J59" s="215"/>
      <c r="K59" s="215"/>
      <c r="L59" s="215"/>
      <c r="M59" s="215"/>
      <c r="N59" s="215"/>
      <c r="O59" s="215"/>
      <c r="P59" s="215"/>
      <c r="Q59" s="215"/>
      <c r="R59" s="215"/>
      <c r="S59" s="207"/>
    </row>
    <row r="60" spans="1:20" ht="21" thickTop="1">
      <c r="F60" s="137"/>
    </row>
  </sheetData>
  <sheetProtection password="EC0E" sheet="1" objects="1" scenarios="1"/>
  <mergeCells count="9">
    <mergeCell ref="F6:S6"/>
    <mergeCell ref="I34:I35"/>
    <mergeCell ref="I9:I10"/>
    <mergeCell ref="C9:D10"/>
    <mergeCell ref="F9:G11"/>
    <mergeCell ref="H9:H10"/>
    <mergeCell ref="C34:D35"/>
    <mergeCell ref="F34:G36"/>
    <mergeCell ref="H34:H35"/>
  </mergeCells>
  <phoneticPr fontId="0" type="noConversion"/>
  <dataValidations count="3">
    <dataValidation type="whole" operator="greaterThanOrEqual" allowBlank="1" showErrorMessage="1" errorTitle="INFRACCION DE ENTEROS O DE SIGNO" error="SOLO VALORES ENTEROS: POSITIVOS O CERO." promptTitle="SIGNO POSITIVO" prompt="Ingrese valores enteros posiivos o cero." sqref="N25:O33 M25 M31:M33" xr:uid="{00000000-0002-0000-0E00-000000000000}">
      <formula1>0</formula1>
    </dataValidation>
    <dataValidation type="whole" operator="greaterThanOrEqual" allowBlank="1" showErrorMessage="1" errorTitle="INFRACCION DE ENTEROS O DE SIGNO" error="SOLO VALORES ENTEROS: POSITIVOS O CERO._x000a_NO INGRESE VALORES NEGATIVOS." promptTitle="SIGNO POSITIVO" prompt="Ingrese valores enteros posiivos o cero." sqref="I25:J25 I31:J33" xr:uid="{00000000-0002-0000-0E00-000001000000}">
      <formula1>0</formula1>
    </dataValidation>
    <dataValidation type="whole" allowBlank="1" showErrorMessage="1" errorTitle="SOLO VALORES ENTEROS" error="NO INGRESE DECIMALES. REDONDEE SI ES NECESARIO." sqref="H31:H33 H25 K25 K31:K33" xr:uid="{00000000-0002-0000-0E00-000002000000}">
      <formula1>-999999999999999000000</formula1>
      <formula2>999999999999999000000</formula2>
    </dataValidation>
  </dataValidations>
  <printOptions horizontalCentered="1" headings="1"/>
  <pageMargins left="0.19685039370078741" right="0.15748031496062992" top="0.39370078740157483" bottom="0.43307086614173229" header="0" footer="0.27559055118110237"/>
  <pageSetup paperSize="9" scale="41" orientation="landscape" r:id="rId1"/>
  <headerFooter alignWithMargins="0">
    <oddFooter>&amp;L&amp;14&amp;D   &amp;T&amp;C&amp;14&amp;F&amp;R&amp;14&amp;F</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36">
    <tabColor rgb="FF002060"/>
    <pageSetUpPr fitToPage="1"/>
  </sheetPr>
  <dimension ref="A1:N30"/>
  <sheetViews>
    <sheetView showGridLines="0" topLeftCell="E2" zoomScale="55" zoomScaleNormal="55" workbookViewId="0">
      <pane xSplit="1" ySplit="6" topLeftCell="F8" activePane="bottomRight" state="frozen"/>
      <selection activeCell="H11" sqref="H11:XFD11"/>
      <selection pane="topRight" activeCell="H11" sqref="H11:XFD11"/>
      <selection pane="bottomLeft" activeCell="H11" sqref="H11:XFD11"/>
      <selection pane="bottomRight" activeCell="S24" sqref="S24"/>
    </sheetView>
  </sheetViews>
  <sheetFormatPr baseColWidth="10" defaultColWidth="11.42578125" defaultRowHeight="15.75"/>
  <cols>
    <col min="1" max="1" width="14.42578125" style="45" hidden="1" customWidth="1"/>
    <col min="2" max="2" width="21.7109375" style="97" hidden="1" customWidth="1"/>
    <col min="3" max="4" width="22.28515625" style="97" hidden="1" customWidth="1"/>
    <col min="5" max="5" width="5.140625" style="98" customWidth="1"/>
    <col min="6" max="6" width="19.85546875" style="45" customWidth="1"/>
    <col min="7" max="7" width="83.7109375" style="45" customWidth="1"/>
    <col min="8" max="8" width="28.85546875" style="45" customWidth="1"/>
    <col min="9" max="13" width="24.140625" style="97" customWidth="1"/>
    <col min="14" max="16384" width="11.42578125" style="45"/>
  </cols>
  <sheetData>
    <row r="1" spans="1:14" ht="23.25" hidden="1">
      <c r="F1" s="309" t="s">
        <v>2253</v>
      </c>
      <c r="G1" s="310"/>
      <c r="H1" s="311" t="s">
        <v>2254</v>
      </c>
      <c r="I1" s="311" t="s">
        <v>2255</v>
      </c>
      <c r="J1" s="311" t="s">
        <v>2256</v>
      </c>
      <c r="K1" s="311" t="s">
        <v>2257</v>
      </c>
      <c r="L1" s="311" t="s">
        <v>2258</v>
      </c>
      <c r="M1" s="311" t="s">
        <v>2259</v>
      </c>
    </row>
    <row r="3" spans="1:14" s="97" customFormat="1" ht="17.25" customHeight="1">
      <c r="B3" s="98"/>
      <c r="C3" s="98"/>
      <c r="D3" s="98"/>
      <c r="F3" s="178"/>
      <c r="G3" s="178"/>
      <c r="H3" s="179"/>
      <c r="I3" s="180"/>
      <c r="J3" s="180"/>
      <c r="K3" s="178"/>
      <c r="L3" s="180"/>
      <c r="M3" s="180"/>
    </row>
    <row r="4" spans="1:14" s="97" customFormat="1" ht="35.25">
      <c r="B4" s="98"/>
      <c r="C4" s="98"/>
      <c r="D4" s="98"/>
      <c r="F4" s="162" t="str">
        <f ca="1">$C$8&amp;"  Obligaciones en instrumentos de deuda por moneda"</f>
        <v>Tabla III.5.  Obligaciones en instrumentos de deuda por moneda</v>
      </c>
      <c r="G4" s="160"/>
      <c r="H4" s="160"/>
      <c r="I4" s="161"/>
      <c r="J4" s="160"/>
      <c r="K4" s="160"/>
      <c r="L4" s="160"/>
      <c r="M4" s="160"/>
    </row>
    <row r="5" spans="1:14" s="97" customFormat="1" ht="36.75" customHeight="1">
      <c r="B5" s="98"/>
      <c r="C5" s="98"/>
      <c r="D5" s="98"/>
      <c r="F5" s="169" t="s">
        <v>2584</v>
      </c>
      <c r="G5" s="160"/>
      <c r="H5" s="160"/>
      <c r="I5" s="168"/>
      <c r="J5" s="168"/>
      <c r="K5" s="168"/>
      <c r="L5" s="160"/>
      <c r="M5" s="160"/>
    </row>
    <row r="6" spans="1:14" s="97" customFormat="1" ht="19.5" customHeight="1">
      <c r="B6" s="98"/>
      <c r="C6" s="98"/>
      <c r="D6" s="98"/>
      <c r="F6" s="178"/>
      <c r="G6" s="178"/>
      <c r="H6" s="615"/>
      <c r="I6" s="616"/>
      <c r="J6" s="616"/>
      <c r="K6" s="616"/>
      <c r="L6" s="180"/>
      <c r="M6" s="180"/>
    </row>
    <row r="7" spans="1:14" s="97" customFormat="1" ht="6" customHeight="1">
      <c r="B7" s="98"/>
      <c r="C7" s="98"/>
      <c r="D7" s="98"/>
      <c r="F7" s="98"/>
      <c r="G7" s="98"/>
      <c r="H7" s="169"/>
      <c r="I7" s="168"/>
      <c r="J7" s="168"/>
      <c r="K7" s="168"/>
    </row>
    <row r="8" spans="1:14" s="97" customFormat="1" ht="39" thickBot="1">
      <c r="C8" s="797" t="str">
        <f ca="1">RIGHT(CELL("nombrearchivo",$A$1),LEN(CELL("nombrearchivo",$A$1))-SEARCH("]",CELL("nombrearchivo",$A$1)))</f>
        <v>Tabla III.5.</v>
      </c>
      <c r="E8" s="98"/>
      <c r="F8" s="158" t="str">
        <f>"Frente a empresas no residentes, relacionadas y no relacionadas "</f>
        <v xml:space="preserve">Frente a empresas no residentes, relacionadas y no relacionadas </v>
      </c>
      <c r="G8" s="160"/>
      <c r="H8" s="798"/>
      <c r="I8" s="160"/>
      <c r="J8" s="160"/>
      <c r="K8" s="160"/>
      <c r="L8" s="160"/>
      <c r="M8" s="160"/>
    </row>
    <row r="9" spans="1:14" ht="29.25" thickTop="1">
      <c r="C9" s="2334" t="str">
        <f ca="1">RIGHT(CELL("nombrearchivo",$A$1),LEN(CELL("nombrearchivo",$A$1))-SEARCH("]",CELL("nombrearchivo",$A$1)))</f>
        <v>Tabla III.5.</v>
      </c>
      <c r="D9" s="2335"/>
      <c r="F9" s="799"/>
      <c r="G9" s="800"/>
      <c r="H9" s="2368" t="str">
        <f>+'Tabla III.4.'!H9:H10&amp;" (*)"</f>
        <v>SALDO A FINES DE SETIEMBRE 2025 (*)</v>
      </c>
      <c r="I9" s="2370" t="s">
        <v>2585</v>
      </c>
      <c r="J9" s="2371"/>
      <c r="K9" s="2371"/>
      <c r="L9" s="2371"/>
      <c r="M9" s="2372"/>
    </row>
    <row r="10" spans="1:14" ht="34.5" customHeight="1" thickBot="1">
      <c r="C10" s="2336"/>
      <c r="D10" s="2337"/>
      <c r="F10" s="801"/>
      <c r="G10" s="802"/>
      <c r="H10" s="2369"/>
      <c r="I10" s="803" t="s">
        <v>2586</v>
      </c>
      <c r="J10" s="804" t="s">
        <v>2587</v>
      </c>
      <c r="K10" s="804" t="s">
        <v>2588</v>
      </c>
      <c r="L10" s="804" t="s">
        <v>2589</v>
      </c>
      <c r="M10" s="805" t="s">
        <v>2590</v>
      </c>
    </row>
    <row r="11" spans="1:14" s="47" customFormat="1" ht="36" customHeight="1" thickBot="1">
      <c r="A11" s="135" t="s">
        <v>2261</v>
      </c>
      <c r="B11" s="135" t="s">
        <v>2262</v>
      </c>
      <c r="C11" s="806" t="s">
        <v>2171</v>
      </c>
      <c r="D11" s="807" t="s">
        <v>2172</v>
      </c>
      <c r="E11" s="109"/>
      <c r="F11" s="808" t="s">
        <v>2169</v>
      </c>
      <c r="G11" s="809" t="str">
        <f>"OBLIGACIONES CON "&amp;D26&amp;"/"</f>
        <v>OBLIGACIONES CON 1/</v>
      </c>
      <c r="H11" s="810" t="s">
        <v>2591</v>
      </c>
      <c r="I11" s="811" t="s">
        <v>2592</v>
      </c>
      <c r="J11" s="812" t="s">
        <v>2593</v>
      </c>
      <c r="K11" s="812" t="s">
        <v>2594</v>
      </c>
      <c r="L11" s="812" t="s">
        <v>2595</v>
      </c>
      <c r="M11" s="813" t="s">
        <v>2596</v>
      </c>
    </row>
    <row r="12" spans="1:14" s="47" customFormat="1" ht="31.5" customHeight="1" thickTop="1">
      <c r="A12" s="136">
        <f>+'Tabla III.4.'!A54+1</f>
        <v>11</v>
      </c>
      <c r="B12" s="255" t="s">
        <v>2272</v>
      </c>
      <c r="C12" s="814"/>
      <c r="D12" s="781" t="str">
        <f>CONCATENATE(A12,B12)</f>
        <v>11.01.</v>
      </c>
      <c r="E12" s="102"/>
      <c r="F12" s="815" t="str">
        <f>+D12</f>
        <v>11.01.</v>
      </c>
      <c r="G12" s="816" t="s">
        <v>2597</v>
      </c>
      <c r="H12" s="467">
        <f>SUM(H13:H14)</f>
        <v>0</v>
      </c>
      <c r="I12" s="817">
        <f>SUM(I13:I14)</f>
        <v>0</v>
      </c>
      <c r="J12" s="817">
        <f>SUM(J13:J14)</f>
        <v>0</v>
      </c>
      <c r="K12" s="818">
        <f>SUM(K13:K14)</f>
        <v>0</v>
      </c>
      <c r="L12" s="819">
        <f>SUM(L13:L14)</f>
        <v>0</v>
      </c>
      <c r="M12" s="468">
        <f>+H12-SUM(I12:L12)</f>
        <v>0</v>
      </c>
      <c r="N12" s="411"/>
    </row>
    <row r="13" spans="1:14" s="47" customFormat="1" ht="31.5" customHeight="1">
      <c r="A13" s="136">
        <f>+A12</f>
        <v>11</v>
      </c>
      <c r="B13" s="255" t="s">
        <v>2320</v>
      </c>
      <c r="C13" s="1641"/>
      <c r="D13" s="1619" t="str">
        <f>CONCATENATE(A13,B13)</f>
        <v>11.01.01.</v>
      </c>
      <c r="E13" s="102"/>
      <c r="F13" s="1642" t="str">
        <f>+D13</f>
        <v>11.01.01.</v>
      </c>
      <c r="G13" s="1643" t="s">
        <v>2598</v>
      </c>
      <c r="H13" s="1644">
        <f>SUM('Tabla III.1.'!L14,'Tabla III.1.'!L17,'Tabla III.1.'!L20,'Tabla III.1.'!L23)</f>
        <v>0</v>
      </c>
      <c r="I13" s="1645"/>
      <c r="J13" s="1645"/>
      <c r="K13" s="1646"/>
      <c r="L13" s="1647"/>
      <c r="M13" s="1648">
        <f t="shared" ref="M13:M21" si="0">+H13-SUM(I13:L13)</f>
        <v>0</v>
      </c>
      <c r="N13" s="411"/>
    </row>
    <row r="14" spans="1:14" s="47" customFormat="1" ht="31.5" customHeight="1">
      <c r="A14" s="136">
        <f>+A13</f>
        <v>11</v>
      </c>
      <c r="B14" s="255" t="s">
        <v>2325</v>
      </c>
      <c r="C14" s="820"/>
      <c r="D14" s="445" t="str">
        <f>CONCATENATE(A14,B14)</f>
        <v>11.01.02.</v>
      </c>
      <c r="E14" s="102"/>
      <c r="F14" s="1642" t="str">
        <f>+D14</f>
        <v>11.01.02.</v>
      </c>
      <c r="G14" s="1643" t="s">
        <v>2599</v>
      </c>
      <c r="H14" s="1644">
        <f>SUM('Tabla III.1.'!L15,'Tabla III.1.'!L18,'Tabla III.1.'!L21,'Tabla III.1.'!L24)</f>
        <v>0</v>
      </c>
      <c r="I14" s="1645"/>
      <c r="J14" s="1645"/>
      <c r="K14" s="1646"/>
      <c r="L14" s="1647"/>
      <c r="M14" s="1648">
        <f t="shared" si="0"/>
        <v>0</v>
      </c>
      <c r="N14" s="411"/>
    </row>
    <row r="15" spans="1:14" s="47" customFormat="1" ht="31.5" customHeight="1">
      <c r="A15" s="136">
        <f>+A12</f>
        <v>11</v>
      </c>
      <c r="B15" s="255" t="s">
        <v>2302</v>
      </c>
      <c r="C15" s="821"/>
      <c r="D15" s="822" t="str">
        <f>CONCATENATE(A15,B15)</f>
        <v>11.02.</v>
      </c>
      <c r="E15" s="102"/>
      <c r="F15" s="1649" t="str">
        <f>+D15</f>
        <v>11.02.</v>
      </c>
      <c r="G15" s="1650" t="s">
        <v>2600</v>
      </c>
      <c r="H15" s="1651">
        <f t="shared" ref="H15:M15" si="1">SUM(H16,H19)</f>
        <v>0</v>
      </c>
      <c r="I15" s="1652">
        <f t="shared" si="1"/>
        <v>0</v>
      </c>
      <c r="J15" s="1652">
        <f t="shared" si="1"/>
        <v>0</v>
      </c>
      <c r="K15" s="1653">
        <f t="shared" si="1"/>
        <v>0</v>
      </c>
      <c r="L15" s="1654">
        <f t="shared" si="1"/>
        <v>0</v>
      </c>
      <c r="M15" s="1655">
        <f t="shared" si="1"/>
        <v>0</v>
      </c>
      <c r="N15" s="411"/>
    </row>
    <row r="16" spans="1:14" s="47" customFormat="1" ht="31.5" customHeight="1">
      <c r="A16" s="136">
        <f>+A15</f>
        <v>11</v>
      </c>
      <c r="B16" s="255" t="s">
        <v>2326</v>
      </c>
      <c r="C16" s="823"/>
      <c r="D16" s="824" t="str">
        <f t="shared" ref="D16:D21" si="2">CONCATENATE(A16,B16)</f>
        <v>11.02.01.</v>
      </c>
      <c r="E16" s="102"/>
      <c r="F16" s="1656" t="str">
        <f t="shared" ref="F16:F21" si="3">+D16</f>
        <v>11.02.01.</v>
      </c>
      <c r="G16" s="1657" t="s">
        <v>2601</v>
      </c>
      <c r="H16" s="1651">
        <f t="shared" ref="H16:M16" si="4">SUM(H17:H18)</f>
        <v>0</v>
      </c>
      <c r="I16" s="1652">
        <f t="shared" si="4"/>
        <v>0</v>
      </c>
      <c r="J16" s="1652">
        <f t="shared" si="4"/>
        <v>0</v>
      </c>
      <c r="K16" s="1653">
        <f t="shared" si="4"/>
        <v>0</v>
      </c>
      <c r="L16" s="1654">
        <f t="shared" si="4"/>
        <v>0</v>
      </c>
      <c r="M16" s="1655">
        <f t="shared" si="4"/>
        <v>0</v>
      </c>
      <c r="N16" s="411"/>
    </row>
    <row r="17" spans="1:14" s="47" customFormat="1" ht="31.5" customHeight="1">
      <c r="A17" s="136">
        <f t="shared" ref="A17:A22" si="5">+A16</f>
        <v>11</v>
      </c>
      <c r="B17" s="255" t="s">
        <v>2463</v>
      </c>
      <c r="C17" s="823"/>
      <c r="D17" s="824" t="str">
        <f t="shared" si="2"/>
        <v>11.02.01.01.</v>
      </c>
      <c r="E17" s="102"/>
      <c r="F17" s="1656" t="str">
        <f t="shared" si="3"/>
        <v>11.02.01.01.</v>
      </c>
      <c r="G17" s="1658" t="s">
        <v>2602</v>
      </c>
      <c r="H17" s="1644">
        <f>SUM('Tabla III.1.'!L48,'Tabla III.1.'!L51,'Tabla III.1.'!L54)</f>
        <v>0</v>
      </c>
      <c r="I17" s="1645"/>
      <c r="J17" s="1645"/>
      <c r="K17" s="1646"/>
      <c r="L17" s="1647"/>
      <c r="M17" s="1648">
        <f t="shared" si="0"/>
        <v>0</v>
      </c>
      <c r="N17" s="411"/>
    </row>
    <row r="18" spans="1:14" s="47" customFormat="1" ht="31.5" customHeight="1">
      <c r="A18" s="136">
        <f t="shared" si="5"/>
        <v>11</v>
      </c>
      <c r="B18" s="255" t="s">
        <v>2465</v>
      </c>
      <c r="C18" s="823"/>
      <c r="D18" s="824" t="str">
        <f t="shared" si="2"/>
        <v>11.02.01.02.</v>
      </c>
      <c r="E18" s="102"/>
      <c r="F18" s="1656" t="str">
        <f t="shared" si="3"/>
        <v>11.02.01.02.</v>
      </c>
      <c r="G18" s="1658" t="s">
        <v>2603</v>
      </c>
      <c r="H18" s="1644">
        <f>SUM('Tabla III.1.'!L57,'Tabla III.1.'!L60)</f>
        <v>0</v>
      </c>
      <c r="I18" s="1645"/>
      <c r="J18" s="1645"/>
      <c r="K18" s="1646"/>
      <c r="L18" s="1647"/>
      <c r="M18" s="1648">
        <f t="shared" si="0"/>
        <v>0</v>
      </c>
      <c r="N18" s="411"/>
    </row>
    <row r="19" spans="1:14" s="47" customFormat="1" ht="31.5" customHeight="1">
      <c r="A19" s="136">
        <f t="shared" si="5"/>
        <v>11</v>
      </c>
      <c r="B19" s="255" t="s">
        <v>2328</v>
      </c>
      <c r="C19" s="823"/>
      <c r="D19" s="824" t="str">
        <f t="shared" si="2"/>
        <v>11.02.02.</v>
      </c>
      <c r="E19" s="102"/>
      <c r="F19" s="1656" t="str">
        <f t="shared" si="3"/>
        <v>11.02.02.</v>
      </c>
      <c r="G19" s="1657" t="s">
        <v>2604</v>
      </c>
      <c r="H19" s="1651">
        <f t="shared" ref="H19:M19" si="6">SUM(H20:H21)</f>
        <v>0</v>
      </c>
      <c r="I19" s="1652">
        <f t="shared" si="6"/>
        <v>0</v>
      </c>
      <c r="J19" s="1652">
        <f t="shared" si="6"/>
        <v>0</v>
      </c>
      <c r="K19" s="1653">
        <f t="shared" si="6"/>
        <v>0</v>
      </c>
      <c r="L19" s="1654">
        <f t="shared" si="6"/>
        <v>0</v>
      </c>
      <c r="M19" s="1655">
        <f t="shared" si="6"/>
        <v>0</v>
      </c>
      <c r="N19" s="411"/>
    </row>
    <row r="20" spans="1:14" s="47" customFormat="1" ht="31.5" customHeight="1">
      <c r="A20" s="136">
        <f t="shared" si="5"/>
        <v>11</v>
      </c>
      <c r="B20" s="255" t="s">
        <v>2605</v>
      </c>
      <c r="C20" s="823"/>
      <c r="D20" s="824" t="str">
        <f t="shared" si="2"/>
        <v>11.02.02.01.</v>
      </c>
      <c r="E20" s="102"/>
      <c r="F20" s="1656" t="str">
        <f t="shared" si="3"/>
        <v>11.02.02.01.</v>
      </c>
      <c r="G20" s="1658" t="str">
        <f>"2.2.1. PASIVOS DE DEUDA EXTERNA DISTINTO DE BONOS "&amp;D28&amp;"/"</f>
        <v>2.2.1. PASIVOS DE DEUDA EXTERNA DISTINTO DE BONOS 2/</v>
      </c>
      <c r="H20" s="1644">
        <f>SUM('Tabla III.1.'!L49,'Tabla III.1.'!L52,'Tabla III.1.'!L55,'Tabla III.1.'!L62)</f>
        <v>0</v>
      </c>
      <c r="I20" s="1645"/>
      <c r="J20" s="1645"/>
      <c r="K20" s="1646"/>
      <c r="L20" s="1647"/>
      <c r="M20" s="1648">
        <f t="shared" si="0"/>
        <v>0</v>
      </c>
      <c r="N20" s="411"/>
    </row>
    <row r="21" spans="1:14" s="47" customFormat="1" ht="31.5" customHeight="1" thickBot="1">
      <c r="A21" s="136">
        <f t="shared" si="5"/>
        <v>11</v>
      </c>
      <c r="B21" s="255" t="s">
        <v>2606</v>
      </c>
      <c r="C21" s="823"/>
      <c r="D21" s="824" t="str">
        <f t="shared" si="2"/>
        <v>11.02.02.02.</v>
      </c>
      <c r="E21" s="102"/>
      <c r="F21" s="825" t="str">
        <f t="shared" si="3"/>
        <v>11.02.02.02.</v>
      </c>
      <c r="G21" s="1658" t="s">
        <v>2607</v>
      </c>
      <c r="H21" s="469">
        <f>SUM('Tabla III.1.'!L58,'Tabla III.1.'!L61)</f>
        <v>0</v>
      </c>
      <c r="I21" s="1645"/>
      <c r="J21" s="1645"/>
      <c r="K21" s="1646"/>
      <c r="L21" s="1647"/>
      <c r="M21" s="466">
        <f t="shared" si="0"/>
        <v>0</v>
      </c>
      <c r="N21" s="411"/>
    </row>
    <row r="22" spans="1:14" s="47" customFormat="1" ht="36" customHeight="1" thickTop="1" thickBot="1">
      <c r="A22" s="136">
        <f t="shared" si="5"/>
        <v>11</v>
      </c>
      <c r="B22" s="255" t="s">
        <v>2307</v>
      </c>
      <c r="C22" s="826"/>
      <c r="D22" s="827" t="str">
        <f>CONCATENATE(A22,B22)</f>
        <v>11.99.</v>
      </c>
      <c r="E22" s="102"/>
      <c r="F22" s="263" t="str">
        <f>+D22</f>
        <v>11.99.</v>
      </c>
      <c r="G22" s="216" t="s">
        <v>2445</v>
      </c>
      <c r="H22" s="391">
        <f t="shared" ref="H22:M22" si="7">SUM(H12,H15)</f>
        <v>0</v>
      </c>
      <c r="I22" s="333">
        <f t="shared" si="7"/>
        <v>0</v>
      </c>
      <c r="J22" s="333">
        <f t="shared" si="7"/>
        <v>0</v>
      </c>
      <c r="K22" s="368">
        <f t="shared" si="7"/>
        <v>0</v>
      </c>
      <c r="L22" s="387">
        <f t="shared" si="7"/>
        <v>0</v>
      </c>
      <c r="M22" s="369">
        <f t="shared" si="7"/>
        <v>0</v>
      </c>
      <c r="N22" s="411"/>
    </row>
    <row r="23" spans="1:14" s="97" customFormat="1" ht="16.5" thickBot="1">
      <c r="E23" s="100"/>
      <c r="N23" s="411"/>
    </row>
    <row r="24" spans="1:14" s="97" customFormat="1" ht="29.25" customHeight="1" thickTop="1">
      <c r="E24" s="100"/>
      <c r="F24" s="711" t="s">
        <v>2608</v>
      </c>
      <c r="G24" s="204"/>
      <c r="H24" s="204"/>
      <c r="I24" s="204"/>
      <c r="J24" s="204"/>
      <c r="K24" s="204"/>
      <c r="L24" s="204"/>
      <c r="M24" s="205"/>
    </row>
    <row r="25" spans="1:14" s="97" customFormat="1" ht="29.25" customHeight="1">
      <c r="E25" s="100"/>
      <c r="F25" s="828" t="s">
        <v>2609</v>
      </c>
      <c r="M25" s="206"/>
    </row>
    <row r="26" spans="1:14" s="97" customFormat="1" ht="29.25" customHeight="1">
      <c r="D26" s="132">
        <v>1</v>
      </c>
      <c r="E26" s="518"/>
      <c r="F26" s="828" t="str">
        <f>D26&amp;"/"&amp; " De corto y largo plazo. Por créditos y anticipos comerciales, préstamos, otras cuentas por pagar, títulos de deuda (bonos emitidos por la empresa declarante), etc."</f>
        <v>1/ De corto y largo plazo. Por créditos y anticipos comerciales, préstamos, otras cuentas por pagar, títulos de deuda (bonos emitidos por la empresa declarante), etc.</v>
      </c>
      <c r="M26" s="206"/>
    </row>
    <row r="27" spans="1:14" s="97" customFormat="1" ht="29.25" customHeight="1">
      <c r="D27" s="132"/>
      <c r="E27" s="518"/>
      <c r="F27" s="828" t="s">
        <v>2610</v>
      </c>
      <c r="M27" s="206"/>
    </row>
    <row r="28" spans="1:14" s="97" customFormat="1" ht="21.75" customHeight="1" thickBot="1">
      <c r="D28" s="132">
        <f>+D26+1</f>
        <v>2</v>
      </c>
      <c r="E28" s="132"/>
      <c r="F28" s="829" t="str">
        <f>D28&amp;"/"&amp; " Incluye depósitos en el país de no residentes."</f>
        <v>2/ Incluye depósitos en el país de no residentes.</v>
      </c>
      <c r="G28" s="215"/>
      <c r="H28" s="215"/>
      <c r="I28" s="215"/>
      <c r="J28" s="215"/>
      <c r="K28" s="215"/>
      <c r="L28" s="215"/>
      <c r="M28" s="207"/>
    </row>
    <row r="29" spans="1:14" ht="16.5" thickTop="1">
      <c r="F29" s="97"/>
      <c r="G29" s="97"/>
      <c r="H29" s="97"/>
    </row>
    <row r="30" spans="1:14">
      <c r="E30" s="97"/>
      <c r="F30" s="97"/>
      <c r="G30" s="97"/>
      <c r="H30" s="97"/>
    </row>
  </sheetData>
  <sheetProtection password="EC0E" sheet="1" objects="1" scenarios="1"/>
  <mergeCells count="3">
    <mergeCell ref="C9:D10"/>
    <mergeCell ref="H9:H10"/>
    <mergeCell ref="I9:M9"/>
  </mergeCells>
  <phoneticPr fontId="0" type="noConversion"/>
  <printOptions horizontalCentered="1" headings="1"/>
  <pageMargins left="0.43307086614173229" right="0.47244094488188981" top="0.39370078740157483" bottom="0.47244094488188981" header="0" footer="0.27559055118110237"/>
  <pageSetup paperSize="9" scale="53" orientation="landscape" r:id="rId1"/>
  <headerFooter alignWithMargins="0">
    <oddFooter>&amp;L&amp;"Arial,Negrita"&amp;14&amp;D   &amp;T&amp;C&amp;"Arial,Negrita"&amp;14&amp;F&amp;R&amp;"Arial,Negrita"&amp;16&amp;A</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40">
    <tabColor rgb="FF002060"/>
    <pageSetUpPr fitToPage="1"/>
  </sheetPr>
  <dimension ref="A1:AL60"/>
  <sheetViews>
    <sheetView showGridLines="0" topLeftCell="E3" zoomScale="55" zoomScaleNormal="55" workbookViewId="0">
      <pane xSplit="1" ySplit="5" topLeftCell="F8" activePane="bottomRight" state="frozen"/>
      <selection activeCell="H11" sqref="H11:XFD11"/>
      <selection pane="topRight" activeCell="H11" sqref="H11:XFD11"/>
      <selection pane="bottomLeft" activeCell="H11" sqref="H11:XFD11"/>
      <selection pane="bottomRight" activeCell="I13" sqref="I13"/>
    </sheetView>
  </sheetViews>
  <sheetFormatPr baseColWidth="10" defaultColWidth="11.42578125" defaultRowHeight="15.75"/>
  <cols>
    <col min="1" max="1" width="14.42578125" style="45" hidden="1" customWidth="1"/>
    <col min="2" max="2" width="19.28515625" style="44" hidden="1" customWidth="1"/>
    <col min="3" max="4" width="25.42578125" style="44" hidden="1" customWidth="1"/>
    <col min="5" max="5" width="4.7109375" style="92" customWidth="1"/>
    <col min="6" max="6" width="21.85546875" style="45" customWidth="1"/>
    <col min="7" max="7" width="83.7109375" style="45" customWidth="1"/>
    <col min="8" max="8" width="26.85546875" style="45" customWidth="1"/>
    <col min="9" max="19" width="20.7109375" style="44" customWidth="1"/>
    <col min="20" max="20" width="13.7109375" style="44" customWidth="1"/>
    <col min="21" max="38" width="11.42578125" style="44"/>
    <col min="39" max="16384" width="11.42578125" style="45"/>
  </cols>
  <sheetData>
    <row r="1" spans="1:38" ht="23.25" hidden="1">
      <c r="F1" s="309" t="s">
        <v>2253</v>
      </c>
      <c r="G1" s="310"/>
      <c r="H1" s="311" t="s">
        <v>2254</v>
      </c>
      <c r="I1" s="311" t="s">
        <v>2255</v>
      </c>
      <c r="J1" s="311" t="s">
        <v>2256</v>
      </c>
      <c r="K1" s="311" t="s">
        <v>2257</v>
      </c>
      <c r="L1" s="311" t="s">
        <v>2258</v>
      </c>
      <c r="M1" s="311" t="s">
        <v>2259</v>
      </c>
      <c r="N1" s="311" t="s">
        <v>2419</v>
      </c>
      <c r="O1" s="311" t="s">
        <v>2544</v>
      </c>
      <c r="P1" s="311" t="s">
        <v>2545</v>
      </c>
      <c r="Q1" s="311" t="s">
        <v>2392</v>
      </c>
      <c r="R1" s="311" t="s">
        <v>2401</v>
      </c>
      <c r="S1" s="311" t="s">
        <v>2410</v>
      </c>
    </row>
    <row r="3" spans="1:38" s="97" customFormat="1" ht="17.25" customHeight="1">
      <c r="B3" s="98"/>
      <c r="C3" s="98"/>
      <c r="D3" s="98"/>
      <c r="F3" s="178"/>
      <c r="G3" s="178"/>
      <c r="H3" s="179"/>
      <c r="I3" s="180"/>
      <c r="J3" s="180"/>
      <c r="K3" s="178"/>
      <c r="L3" s="180"/>
      <c r="M3" s="180"/>
      <c r="N3" s="180"/>
      <c r="O3" s="180"/>
      <c r="P3" s="180"/>
      <c r="Q3" s="180"/>
      <c r="R3" s="180"/>
      <c r="S3" s="180"/>
    </row>
    <row r="4" spans="1:38" s="97" customFormat="1" ht="35.25">
      <c r="B4" s="98"/>
      <c r="C4" s="98"/>
      <c r="D4" s="98"/>
      <c r="F4" s="162" t="str">
        <f ca="1">$C$8&amp;"  Calendario de pagos de intereses por obligaciones en instrumentos de deuda"</f>
        <v>Tabla III.4.  Calendario de pagos de intereses por obligaciones en instrumentos de deuda</v>
      </c>
      <c r="G4" s="160"/>
      <c r="H4" s="160"/>
      <c r="I4" s="161"/>
      <c r="J4" s="160"/>
      <c r="K4" s="160"/>
      <c r="L4" s="160"/>
      <c r="M4" s="160"/>
      <c r="N4" s="160"/>
      <c r="O4" s="160"/>
      <c r="P4" s="160"/>
      <c r="Q4" s="160"/>
      <c r="R4" s="160"/>
      <c r="S4" s="160"/>
    </row>
    <row r="5" spans="1:38" s="97" customFormat="1" ht="36.75" customHeight="1">
      <c r="B5" s="98"/>
      <c r="C5" s="98"/>
      <c r="D5" s="98"/>
      <c r="F5" s="169" t="s">
        <v>2420</v>
      </c>
      <c r="G5" s="160"/>
      <c r="H5" s="160"/>
      <c r="I5" s="168"/>
      <c r="J5" s="168"/>
      <c r="K5" s="168"/>
      <c r="L5" s="160"/>
      <c r="M5" s="160"/>
      <c r="N5" s="160"/>
      <c r="O5" s="160"/>
      <c r="P5" s="160"/>
      <c r="Q5" s="160"/>
      <c r="R5" s="160"/>
      <c r="S5" s="160"/>
    </row>
    <row r="6" spans="1:38" s="97" customFormat="1" ht="42" customHeight="1">
      <c r="B6" s="98"/>
      <c r="C6" s="98"/>
      <c r="D6" s="98"/>
      <c r="F6" s="2300" t="s">
        <v>2520</v>
      </c>
      <c r="G6" s="2300"/>
      <c r="H6" s="2300"/>
      <c r="I6" s="2300"/>
      <c r="J6" s="2300"/>
      <c r="K6" s="2300"/>
      <c r="L6" s="2300"/>
      <c r="M6" s="2300"/>
      <c r="N6" s="2300"/>
      <c r="O6" s="2300"/>
      <c r="P6" s="2300"/>
      <c r="Q6" s="2300"/>
      <c r="R6" s="2300"/>
      <c r="S6" s="2300"/>
    </row>
    <row r="7" spans="1:38" s="97" customFormat="1" ht="7.5" customHeight="1">
      <c r="B7" s="181"/>
      <c r="C7" s="181"/>
      <c r="D7" s="181"/>
      <c r="E7" s="182"/>
      <c r="F7" s="156"/>
    </row>
    <row r="8" spans="1:38" s="44" customFormat="1" ht="48.75" customHeight="1" thickBot="1">
      <c r="C8" s="130" t="str">
        <f ca="1">RIGHT(CELL("nombrearchivo",$A$1),LEN(CELL("nombrearchivo",$A$1))-SEARCH("]",CELL("nombrearchivo",$A$1)))</f>
        <v>Tabla III.4.</v>
      </c>
      <c r="E8" s="92"/>
      <c r="F8" s="158" t="str">
        <f>"Parte A. Calendario de intereses frente a empresas no residentes relacionadas "&amp;D27&amp;"/"</f>
        <v>Parte A. Calendario de intereses frente a empresas no residentes relacionadas 1/</v>
      </c>
      <c r="G8" s="160"/>
      <c r="H8" s="160"/>
      <c r="I8" s="160"/>
      <c r="J8" s="160"/>
      <c r="K8" s="160"/>
      <c r="L8" s="160"/>
      <c r="M8" s="160"/>
      <c r="N8" s="160"/>
      <c r="O8" s="160"/>
      <c r="P8" s="160"/>
      <c r="Q8" s="160"/>
      <c r="R8" s="160"/>
      <c r="S8" s="160"/>
    </row>
    <row r="9" spans="1:38" ht="40.5" customHeight="1" thickTop="1">
      <c r="C9" s="2334" t="str">
        <f ca="1">RIGHT(CELL("nombrearchivo",$A$1),LEN(CELL("nombrearchivo",$A$1))-SEARCH("]",CELL("nombrearchivo",$A$1)))</f>
        <v>Tabla III.4.</v>
      </c>
      <c r="D9" s="2335"/>
      <c r="F9" s="2360" t="s">
        <v>2521</v>
      </c>
      <c r="G9" s="2361"/>
      <c r="H9" s="2366" t="str">
        <f>+'Tabla III.3.'!H9</f>
        <v>SALDO A FINES DE SETIEMBRE 2025</v>
      </c>
      <c r="I9" s="2358" t="str">
        <f>"ATRASOS "&amp;D29&amp;"/"</f>
        <v>ATRASOS 2/</v>
      </c>
      <c r="J9" s="235" t="s">
        <v>2581</v>
      </c>
      <c r="K9" s="212"/>
      <c r="L9" s="212"/>
      <c r="M9" s="213"/>
      <c r="N9" s="213"/>
      <c r="O9" s="213"/>
      <c r="P9" s="213"/>
      <c r="Q9" s="213"/>
      <c r="R9" s="213"/>
      <c r="S9" s="214"/>
      <c r="T9" s="46"/>
      <c r="U9" s="46"/>
      <c r="V9" s="46"/>
    </row>
    <row r="10" spans="1:38" ht="60.75" customHeight="1" thickBot="1">
      <c r="C10" s="2336"/>
      <c r="D10" s="2337"/>
      <c r="F10" s="2362"/>
      <c r="G10" s="2363"/>
      <c r="H10" s="2367"/>
      <c r="I10" s="2359"/>
      <c r="J10" s="248" t="str">
        <f>'Tabla III.3.'!J10</f>
        <v>0-3 meses</v>
      </c>
      <c r="K10" s="249" t="str">
        <f>'Tabla III.3.'!K10</f>
        <v>4-6 meses</v>
      </c>
      <c r="L10" s="249" t="str">
        <f>'Tabla III.3.'!L10</f>
        <v>7-9 meses</v>
      </c>
      <c r="M10" s="249" t="str">
        <f>'Tabla III.3.'!M10</f>
        <v>10-12 meses</v>
      </c>
      <c r="N10" s="249" t="str">
        <f>'Tabla III.3.'!N10</f>
        <v>13-18 meses
(seis meses)</v>
      </c>
      <c r="O10" s="249" t="str">
        <f>'Tabla III.3.'!O10</f>
        <v>19-24 meses
(seis meses)</v>
      </c>
      <c r="P10" s="249" t="str">
        <f>'Tabla III.3.'!P10</f>
        <v>3er. año</v>
      </c>
      <c r="Q10" s="249" t="str">
        <f>'Tabla III.3.'!Q10</f>
        <v>4to. año</v>
      </c>
      <c r="R10" s="249" t="str">
        <f>'Tabla III.3.'!R10</f>
        <v>5to. año</v>
      </c>
      <c r="S10" s="250" t="str">
        <f>'Tabla III.3.'!S10</f>
        <v>Despúes del 5to. año</v>
      </c>
      <c r="T10" s="97"/>
    </row>
    <row r="11" spans="1:38" s="47" customFormat="1" ht="36" customHeight="1" thickBot="1">
      <c r="A11" s="135" t="s">
        <v>2261</v>
      </c>
      <c r="B11" s="135" t="s">
        <v>2262</v>
      </c>
      <c r="C11" s="94" t="s">
        <v>2171</v>
      </c>
      <c r="D11" s="95" t="s">
        <v>2172</v>
      </c>
      <c r="E11" s="109"/>
      <c r="F11" s="2364"/>
      <c r="G11" s="2365"/>
      <c r="H11" s="208" t="s">
        <v>2557</v>
      </c>
      <c r="I11" s="209" t="s">
        <v>2558</v>
      </c>
      <c r="J11" s="210" t="s">
        <v>2559</v>
      </c>
      <c r="K11" s="210" t="s">
        <v>2560</v>
      </c>
      <c r="L11" s="210" t="s">
        <v>2561</v>
      </c>
      <c r="M11" s="210" t="s">
        <v>2562</v>
      </c>
      <c r="N11" s="210" t="s">
        <v>2563</v>
      </c>
      <c r="O11" s="210" t="s">
        <v>2564</v>
      </c>
      <c r="P11" s="210" t="s">
        <v>2565</v>
      </c>
      <c r="Q11" s="210" t="s">
        <v>2566</v>
      </c>
      <c r="R11" s="210" t="s">
        <v>2567</v>
      </c>
      <c r="S11" s="211" t="s">
        <v>2568</v>
      </c>
      <c r="T11" s="150"/>
      <c r="U11" s="46"/>
      <c r="V11" s="46"/>
      <c r="W11" s="46"/>
      <c r="X11" s="46"/>
      <c r="Y11" s="46"/>
      <c r="Z11" s="46"/>
      <c r="AA11" s="46"/>
      <c r="AB11" s="46"/>
      <c r="AC11" s="46"/>
      <c r="AD11" s="46"/>
      <c r="AE11" s="46"/>
      <c r="AF11" s="46"/>
      <c r="AG11" s="46"/>
      <c r="AH11" s="46"/>
      <c r="AI11" s="46"/>
      <c r="AJ11" s="46"/>
      <c r="AK11" s="46"/>
      <c r="AL11" s="46"/>
    </row>
    <row r="12" spans="1:38" s="47" customFormat="1" ht="36" customHeight="1" thickTop="1">
      <c r="A12" s="136">
        <f>+'Tabla III.3.'!A54+1</f>
        <v>9</v>
      </c>
      <c r="B12" s="255" t="s">
        <v>2272</v>
      </c>
      <c r="C12" s="115"/>
      <c r="D12" s="267" t="str">
        <f t="shared" ref="D12:D24" si="0">CONCATENATE("0",A12,B12)</f>
        <v>09.01.</v>
      </c>
      <c r="E12" s="102"/>
      <c r="F12" s="357" t="str">
        <f>+D12</f>
        <v>09.01.</v>
      </c>
      <c r="G12" s="140" t="s">
        <v>2528</v>
      </c>
      <c r="H12" s="355">
        <f>SUM(H13:H14)</f>
        <v>0</v>
      </c>
      <c r="I12" s="353">
        <f t="shared" ref="I12:R12" si="1">SUM(I13:I14)</f>
        <v>0</v>
      </c>
      <c r="J12" s="353">
        <f t="shared" si="1"/>
        <v>0</v>
      </c>
      <c r="K12" s="354">
        <f t="shared" si="1"/>
        <v>0</v>
      </c>
      <c r="L12" s="364">
        <f t="shared" si="1"/>
        <v>0</v>
      </c>
      <c r="M12" s="364">
        <f t="shared" si="1"/>
        <v>0</v>
      </c>
      <c r="N12" s="364">
        <f t="shared" si="1"/>
        <v>0</v>
      </c>
      <c r="O12" s="364">
        <f t="shared" si="1"/>
        <v>0</v>
      </c>
      <c r="P12" s="364">
        <f t="shared" si="1"/>
        <v>0</v>
      </c>
      <c r="Q12" s="364">
        <f t="shared" si="1"/>
        <v>0</v>
      </c>
      <c r="R12" s="364">
        <f t="shared" si="1"/>
        <v>0</v>
      </c>
      <c r="S12" s="351">
        <f>SUM(S13:S14)</f>
        <v>0</v>
      </c>
      <c r="T12" s="411"/>
    </row>
    <row r="13" spans="1:38" s="47" customFormat="1" ht="23.1" customHeight="1">
      <c r="A13" s="136">
        <f>+A12</f>
        <v>9</v>
      </c>
      <c r="B13" s="264" t="s">
        <v>2569</v>
      </c>
      <c r="C13" s="113"/>
      <c r="D13" s="1615" t="str">
        <f t="shared" si="0"/>
        <v>09.01.00.01</v>
      </c>
      <c r="E13" s="102"/>
      <c r="F13" s="356" t="str">
        <f t="shared" ref="F13:F24" si="2">+D13</f>
        <v>09.01.00.01</v>
      </c>
      <c r="G13" s="1528" t="s">
        <v>2529</v>
      </c>
      <c r="H13" s="1108"/>
      <c r="I13" s="1616">
        <f>+'Tabla III.2.'!M14</f>
        <v>0</v>
      </c>
      <c r="J13" s="1587"/>
      <c r="K13" s="1587"/>
      <c r="L13" s="1587"/>
      <c r="M13" s="1587"/>
      <c r="N13" s="1587"/>
      <c r="O13" s="1587"/>
      <c r="P13" s="1587"/>
      <c r="Q13" s="1587"/>
      <c r="R13" s="1587"/>
      <c r="S13" s="1618">
        <f t="shared" ref="S13:S23" si="3">+H13-SUM(I13:R13)</f>
        <v>0</v>
      </c>
      <c r="T13" s="411"/>
    </row>
    <row r="14" spans="1:38" s="47" customFormat="1" ht="23.1" customHeight="1">
      <c r="A14" s="136">
        <f t="shared" ref="A14:A24" si="4">+A13</f>
        <v>9</v>
      </c>
      <c r="B14" s="264" t="s">
        <v>2433</v>
      </c>
      <c r="C14" s="1572" t="s">
        <v>2578</v>
      </c>
      <c r="D14" s="1615" t="str">
        <f t="shared" si="0"/>
        <v>09.01.00.02.</v>
      </c>
      <c r="E14" s="102"/>
      <c r="F14" s="1574" t="str">
        <f t="shared" si="2"/>
        <v>09.01.00.02.</v>
      </c>
      <c r="G14" s="1575" t="s">
        <v>2530</v>
      </c>
      <c r="H14" s="1631"/>
      <c r="I14" s="1616">
        <f>+'Tabla III.2.'!M15</f>
        <v>0</v>
      </c>
      <c r="J14" s="1587"/>
      <c r="K14" s="1587"/>
      <c r="L14" s="1587"/>
      <c r="M14" s="1587"/>
      <c r="N14" s="1587"/>
      <c r="O14" s="1587"/>
      <c r="P14" s="1587"/>
      <c r="Q14" s="1587"/>
      <c r="R14" s="1587"/>
      <c r="S14" s="1618">
        <f t="shared" si="3"/>
        <v>0</v>
      </c>
      <c r="T14" s="411"/>
    </row>
    <row r="15" spans="1:38" s="47" customFormat="1" ht="36" customHeight="1">
      <c r="A15" s="136">
        <f t="shared" si="4"/>
        <v>9</v>
      </c>
      <c r="B15" s="264" t="s">
        <v>2302</v>
      </c>
      <c r="C15" s="446"/>
      <c r="D15" s="447" t="str">
        <f t="shared" si="0"/>
        <v>09.02.</v>
      </c>
      <c r="E15" s="102"/>
      <c r="F15" s="261" t="str">
        <f t="shared" si="2"/>
        <v>09.02.</v>
      </c>
      <c r="G15" s="141" t="s">
        <v>2531</v>
      </c>
      <c r="H15" s="372">
        <f>SUM(H16:H17)</f>
        <v>0</v>
      </c>
      <c r="I15" s="330">
        <f t="shared" ref="I15:R15" si="5">SUM(I16:I17)</f>
        <v>0</v>
      </c>
      <c r="J15" s="330">
        <f t="shared" si="5"/>
        <v>0</v>
      </c>
      <c r="K15" s="331">
        <f t="shared" si="5"/>
        <v>0</v>
      </c>
      <c r="L15" s="366">
        <f t="shared" si="5"/>
        <v>0</v>
      </c>
      <c r="M15" s="366">
        <f t="shared" si="5"/>
        <v>0</v>
      </c>
      <c r="N15" s="366">
        <f t="shared" si="5"/>
        <v>0</v>
      </c>
      <c r="O15" s="366">
        <f t="shared" si="5"/>
        <v>0</v>
      </c>
      <c r="P15" s="366">
        <f t="shared" si="5"/>
        <v>0</v>
      </c>
      <c r="Q15" s="366">
        <f t="shared" si="5"/>
        <v>0</v>
      </c>
      <c r="R15" s="366">
        <f t="shared" si="5"/>
        <v>0</v>
      </c>
      <c r="S15" s="332">
        <f>SUM(S16:S17)</f>
        <v>0</v>
      </c>
      <c r="T15" s="411"/>
    </row>
    <row r="16" spans="1:38" s="47" customFormat="1" ht="23.1" customHeight="1">
      <c r="A16" s="136">
        <f t="shared" si="4"/>
        <v>9</v>
      </c>
      <c r="B16" s="264" t="s">
        <v>2571</v>
      </c>
      <c r="C16" s="113"/>
      <c r="D16" s="445" t="str">
        <f t="shared" si="0"/>
        <v>09.02.00.01</v>
      </c>
      <c r="E16" s="102"/>
      <c r="F16" s="356" t="str">
        <f t="shared" si="2"/>
        <v>09.02.00.01</v>
      </c>
      <c r="G16" s="1528" t="s">
        <v>2529</v>
      </c>
      <c r="H16" s="1108"/>
      <c r="I16" s="1616">
        <f>+'Tabla III.2.'!M17</f>
        <v>0</v>
      </c>
      <c r="J16" s="1587"/>
      <c r="K16" s="1587"/>
      <c r="L16" s="1587"/>
      <c r="M16" s="1587"/>
      <c r="N16" s="1587"/>
      <c r="O16" s="1587"/>
      <c r="P16" s="1587"/>
      <c r="Q16" s="1587"/>
      <c r="R16" s="1587"/>
      <c r="S16" s="1618">
        <f t="shared" si="3"/>
        <v>0</v>
      </c>
      <c r="T16" s="411"/>
    </row>
    <row r="17" spans="1:20" s="47" customFormat="1" ht="23.1" customHeight="1">
      <c r="A17" s="136">
        <f t="shared" si="4"/>
        <v>9</v>
      </c>
      <c r="B17" s="264" t="s">
        <v>2437</v>
      </c>
      <c r="C17" s="1572" t="s">
        <v>2578</v>
      </c>
      <c r="D17" s="1615" t="str">
        <f t="shared" si="0"/>
        <v>09.02.00.02.</v>
      </c>
      <c r="E17" s="102"/>
      <c r="F17" s="1574" t="str">
        <f t="shared" si="2"/>
        <v>09.02.00.02.</v>
      </c>
      <c r="G17" s="1575" t="s">
        <v>2530</v>
      </c>
      <c r="H17" s="1631"/>
      <c r="I17" s="1616">
        <f>+'Tabla III.2.'!M18</f>
        <v>0</v>
      </c>
      <c r="J17" s="1587"/>
      <c r="K17" s="1587"/>
      <c r="L17" s="1587"/>
      <c r="M17" s="1587"/>
      <c r="N17" s="1587"/>
      <c r="O17" s="1587"/>
      <c r="P17" s="1587"/>
      <c r="Q17" s="1587"/>
      <c r="R17" s="1587"/>
      <c r="S17" s="1618">
        <f t="shared" si="3"/>
        <v>0</v>
      </c>
      <c r="T17" s="411"/>
    </row>
    <row r="18" spans="1:20" s="47" customFormat="1" ht="36" customHeight="1">
      <c r="A18" s="136">
        <f t="shared" si="4"/>
        <v>9</v>
      </c>
      <c r="B18" s="264" t="s">
        <v>2439</v>
      </c>
      <c r="C18" s="446"/>
      <c r="D18" s="448" t="str">
        <f t="shared" si="0"/>
        <v>09.03.</v>
      </c>
      <c r="E18" s="102"/>
      <c r="F18" s="261" t="str">
        <f t="shared" si="2"/>
        <v>09.03.</v>
      </c>
      <c r="G18" s="141" t="s">
        <v>2532</v>
      </c>
      <c r="H18" s="372">
        <f>SUM(H19:H20)</f>
        <v>0</v>
      </c>
      <c r="I18" s="330">
        <f t="shared" ref="I18:R18" si="6">SUM(I19:I20)</f>
        <v>0</v>
      </c>
      <c r="J18" s="330">
        <f t="shared" si="6"/>
        <v>0</v>
      </c>
      <c r="K18" s="331">
        <f t="shared" si="6"/>
        <v>0</v>
      </c>
      <c r="L18" s="366">
        <f t="shared" si="6"/>
        <v>0</v>
      </c>
      <c r="M18" s="366">
        <f t="shared" si="6"/>
        <v>0</v>
      </c>
      <c r="N18" s="366">
        <f t="shared" si="6"/>
        <v>0</v>
      </c>
      <c r="O18" s="366">
        <f t="shared" si="6"/>
        <v>0</v>
      </c>
      <c r="P18" s="366">
        <f t="shared" si="6"/>
        <v>0</v>
      </c>
      <c r="Q18" s="366">
        <f t="shared" si="6"/>
        <v>0</v>
      </c>
      <c r="R18" s="366">
        <f t="shared" si="6"/>
        <v>0</v>
      </c>
      <c r="S18" s="332">
        <f>SUM(S19:S20)</f>
        <v>0</v>
      </c>
      <c r="T18" s="411"/>
    </row>
    <row r="19" spans="1:20" s="47" customFormat="1" ht="23.1" customHeight="1">
      <c r="A19" s="136">
        <f t="shared" si="4"/>
        <v>9</v>
      </c>
      <c r="B19" s="264" t="s">
        <v>2572</v>
      </c>
      <c r="C19" s="113"/>
      <c r="D19" s="445" t="str">
        <f t="shared" si="0"/>
        <v>09.03.00.01</v>
      </c>
      <c r="E19" s="102"/>
      <c r="F19" s="356" t="str">
        <f t="shared" si="2"/>
        <v>09.03.00.01</v>
      </c>
      <c r="G19" s="1528" t="s">
        <v>2529</v>
      </c>
      <c r="H19" s="1108"/>
      <c r="I19" s="1616">
        <f>+'Tabla III.2.'!M20</f>
        <v>0</v>
      </c>
      <c r="J19" s="1587"/>
      <c r="K19" s="1587"/>
      <c r="L19" s="1587"/>
      <c r="M19" s="1587"/>
      <c r="N19" s="1587"/>
      <c r="O19" s="1587"/>
      <c r="P19" s="1587"/>
      <c r="Q19" s="1587"/>
      <c r="R19" s="1587"/>
      <c r="S19" s="1618">
        <f t="shared" si="3"/>
        <v>0</v>
      </c>
      <c r="T19" s="411"/>
    </row>
    <row r="20" spans="1:20" s="47" customFormat="1" ht="23.1" customHeight="1">
      <c r="A20" s="136">
        <f t="shared" si="4"/>
        <v>9</v>
      </c>
      <c r="B20" s="264" t="s">
        <v>2441</v>
      </c>
      <c r="C20" s="1572" t="s">
        <v>2578</v>
      </c>
      <c r="D20" s="1632" t="str">
        <f t="shared" si="0"/>
        <v>09.03.00.02.</v>
      </c>
      <c r="E20" s="102"/>
      <c r="F20" s="1574" t="str">
        <f t="shared" si="2"/>
        <v>09.03.00.02.</v>
      </c>
      <c r="G20" s="1575" t="s">
        <v>2530</v>
      </c>
      <c r="H20" s="1631"/>
      <c r="I20" s="1616">
        <f>+'Tabla III.2.'!M21</f>
        <v>0</v>
      </c>
      <c r="J20" s="1587"/>
      <c r="K20" s="1587"/>
      <c r="L20" s="1587"/>
      <c r="M20" s="1587"/>
      <c r="N20" s="1587"/>
      <c r="O20" s="1587"/>
      <c r="P20" s="1587"/>
      <c r="Q20" s="1587"/>
      <c r="R20" s="1587"/>
      <c r="S20" s="1618">
        <f t="shared" si="3"/>
        <v>0</v>
      </c>
      <c r="T20" s="411"/>
    </row>
    <row r="21" spans="1:20" s="47" customFormat="1" ht="36" customHeight="1">
      <c r="A21" s="136">
        <f t="shared" si="4"/>
        <v>9</v>
      </c>
      <c r="B21" s="264" t="s">
        <v>2442</v>
      </c>
      <c r="C21" s="446"/>
      <c r="D21" s="448" t="str">
        <f t="shared" si="0"/>
        <v>09.04.</v>
      </c>
      <c r="E21" s="102"/>
      <c r="F21" s="261" t="str">
        <f t="shared" si="2"/>
        <v>09.04.</v>
      </c>
      <c r="G21" s="141" t="s">
        <v>2573</v>
      </c>
      <c r="H21" s="372">
        <f>SUM(H22:H23)</f>
        <v>0</v>
      </c>
      <c r="I21" s="330">
        <f t="shared" ref="I21:R21" si="7">SUM(I22:I23)</f>
        <v>0</v>
      </c>
      <c r="J21" s="330">
        <f t="shared" si="7"/>
        <v>0</v>
      </c>
      <c r="K21" s="331">
        <f t="shared" si="7"/>
        <v>0</v>
      </c>
      <c r="L21" s="366">
        <f t="shared" si="7"/>
        <v>0</v>
      </c>
      <c r="M21" s="366">
        <f t="shared" si="7"/>
        <v>0</v>
      </c>
      <c r="N21" s="366">
        <f t="shared" si="7"/>
        <v>0</v>
      </c>
      <c r="O21" s="366">
        <f t="shared" si="7"/>
        <v>0</v>
      </c>
      <c r="P21" s="366">
        <f t="shared" si="7"/>
        <v>0</v>
      </c>
      <c r="Q21" s="366">
        <f t="shared" si="7"/>
        <v>0</v>
      </c>
      <c r="R21" s="366">
        <f t="shared" si="7"/>
        <v>0</v>
      </c>
      <c r="S21" s="332">
        <f>SUM(S22:S23)</f>
        <v>0</v>
      </c>
      <c r="T21" s="411"/>
    </row>
    <row r="22" spans="1:20" s="47" customFormat="1" ht="23.1" customHeight="1">
      <c r="A22" s="136">
        <f t="shared" si="4"/>
        <v>9</v>
      </c>
      <c r="B22" s="264" t="s">
        <v>2574</v>
      </c>
      <c r="C22" s="113"/>
      <c r="D22" s="449" t="str">
        <f t="shared" si="0"/>
        <v>09.04.00.01</v>
      </c>
      <c r="E22" s="102"/>
      <c r="F22" s="356" t="str">
        <f t="shared" si="2"/>
        <v>09.04.00.01</v>
      </c>
      <c r="G22" s="1528" t="s">
        <v>2529</v>
      </c>
      <c r="H22" s="1108"/>
      <c r="I22" s="1616">
        <f>+'Tabla III.2.'!M23</f>
        <v>0</v>
      </c>
      <c r="J22" s="1587"/>
      <c r="K22" s="1587"/>
      <c r="L22" s="1587"/>
      <c r="M22" s="1587"/>
      <c r="N22" s="1587"/>
      <c r="O22" s="1587"/>
      <c r="P22" s="1587"/>
      <c r="Q22" s="1587"/>
      <c r="R22" s="1587"/>
      <c r="S22" s="1618">
        <f t="shared" si="3"/>
        <v>0</v>
      </c>
      <c r="T22" s="411"/>
    </row>
    <row r="23" spans="1:20" s="47" customFormat="1" ht="23.1" customHeight="1" thickBot="1">
      <c r="A23" s="136">
        <f t="shared" si="4"/>
        <v>9</v>
      </c>
      <c r="B23" s="264" t="s">
        <v>2444</v>
      </c>
      <c r="C23" s="1582" t="s">
        <v>2578</v>
      </c>
      <c r="D23" s="1628" t="str">
        <f t="shared" si="0"/>
        <v>09.04.00.02.</v>
      </c>
      <c r="E23" s="102"/>
      <c r="F23" s="1574" t="str">
        <f t="shared" si="2"/>
        <v>09.04.00.02.</v>
      </c>
      <c r="G23" s="1575" t="s">
        <v>2530</v>
      </c>
      <c r="H23" s="1631"/>
      <c r="I23" s="1616">
        <f>+'Tabla III.2.'!M24</f>
        <v>0</v>
      </c>
      <c r="J23" s="1587"/>
      <c r="K23" s="1587"/>
      <c r="L23" s="1587"/>
      <c r="M23" s="1587"/>
      <c r="N23" s="1587"/>
      <c r="O23" s="1587"/>
      <c r="P23" s="1587"/>
      <c r="Q23" s="1587"/>
      <c r="R23" s="1587"/>
      <c r="S23" s="1618">
        <f t="shared" si="3"/>
        <v>0</v>
      </c>
      <c r="T23" s="411"/>
    </row>
    <row r="24" spans="1:20" s="47" customFormat="1" ht="36" customHeight="1" thickTop="1" thickBot="1">
      <c r="A24" s="136">
        <f t="shared" si="4"/>
        <v>9</v>
      </c>
      <c r="B24" s="264" t="s">
        <v>2307</v>
      </c>
      <c r="C24" s="1633"/>
      <c r="D24" s="1634" t="str">
        <f t="shared" si="0"/>
        <v>09.99.</v>
      </c>
      <c r="E24" s="101"/>
      <c r="F24" s="334" t="str">
        <f t="shared" si="2"/>
        <v>09.99.</v>
      </c>
      <c r="G24" s="217" t="s">
        <v>2575</v>
      </c>
      <c r="H24" s="388">
        <f>SUM(H12,H15,H18,H21)</f>
        <v>0</v>
      </c>
      <c r="I24" s="376">
        <f t="shared" ref="I24:R24" si="8">SUM(I12,I15,I18,I21)</f>
        <v>0</v>
      </c>
      <c r="J24" s="376">
        <f t="shared" si="8"/>
        <v>0</v>
      </c>
      <c r="K24" s="377">
        <f t="shared" si="8"/>
        <v>0</v>
      </c>
      <c r="L24" s="378">
        <f t="shared" si="8"/>
        <v>0</v>
      </c>
      <c r="M24" s="376">
        <f t="shared" si="8"/>
        <v>0</v>
      </c>
      <c r="N24" s="378">
        <f t="shared" si="8"/>
        <v>0</v>
      </c>
      <c r="O24" s="378">
        <f t="shared" si="8"/>
        <v>0</v>
      </c>
      <c r="P24" s="378">
        <f t="shared" si="8"/>
        <v>0</v>
      </c>
      <c r="Q24" s="378">
        <f t="shared" si="8"/>
        <v>0</v>
      </c>
      <c r="R24" s="378">
        <f t="shared" si="8"/>
        <v>0</v>
      </c>
      <c r="S24" s="375">
        <f>SUM(S12,S15,S18,S21)</f>
        <v>0</v>
      </c>
      <c r="T24" s="411"/>
    </row>
    <row r="25" spans="1:20" s="144" customFormat="1" ht="24" thickBot="1">
      <c r="C25" s="134"/>
      <c r="D25" s="149"/>
      <c r="E25" s="134"/>
      <c r="F25" s="142"/>
      <c r="G25" s="138"/>
      <c r="H25" s="117"/>
      <c r="I25" s="117"/>
      <c r="J25" s="117"/>
      <c r="K25" s="117"/>
      <c r="L25" s="139"/>
      <c r="M25" s="143"/>
      <c r="N25" s="143"/>
      <c r="O25" s="143"/>
      <c r="P25" s="143"/>
      <c r="Q25" s="143"/>
      <c r="R25" s="143"/>
      <c r="S25" s="143"/>
    </row>
    <row r="26" spans="1:20" s="144" customFormat="1" ht="21.75" thickTop="1">
      <c r="C26" s="134"/>
      <c r="D26" s="149"/>
      <c r="E26" s="100"/>
      <c r="F26" s="201" t="s">
        <v>2446</v>
      </c>
      <c r="G26" s="204"/>
      <c r="H26" s="204"/>
      <c r="I26" s="204"/>
      <c r="J26" s="204"/>
      <c r="K26" s="204"/>
      <c r="L26" s="204"/>
      <c r="M26" s="204"/>
      <c r="N26" s="204"/>
      <c r="O26" s="204"/>
      <c r="P26" s="204"/>
      <c r="Q26" s="204"/>
      <c r="R26" s="204"/>
      <c r="S26" s="205"/>
    </row>
    <row r="27" spans="1:20" s="144" customFormat="1" ht="28.5" customHeight="1">
      <c r="C27" s="134"/>
      <c r="D27" s="149" t="s">
        <v>2343</v>
      </c>
      <c r="E27" s="9"/>
      <c r="F27" s="202" t="str">
        <f>D27&amp;"/"&amp; " Calendario derivado de los créditos y anticipos comerciales, préstamos y títulos de deuda (bonos emitidos por la empresa declarante) que representan pasivos de deuda de la empresa declarante frente a emrepsas no residentes relacionadas."</f>
        <v>1/ Calendario derivado de los créditos y anticipos comerciales, préstamos y títulos de deuda (bonos emitidos por la empresa declarante) que representan pasivos de deuda de la empresa declarante frente a emrepsas no residentes relacionadas.</v>
      </c>
      <c r="G27" s="97"/>
      <c r="H27" s="97"/>
      <c r="I27" s="97"/>
      <c r="J27" s="97"/>
      <c r="K27" s="97"/>
      <c r="L27" s="97"/>
      <c r="M27" s="97"/>
      <c r="N27" s="97"/>
      <c r="O27" s="97"/>
      <c r="P27" s="97"/>
      <c r="Q27" s="97"/>
      <c r="R27" s="97"/>
      <c r="S27" s="206"/>
    </row>
    <row r="28" spans="1:20" s="144" customFormat="1" ht="28.5" customHeight="1">
      <c r="C28" s="134"/>
      <c r="D28" s="149"/>
      <c r="E28" s="9"/>
      <c r="F28" s="202" t="s">
        <v>2582</v>
      </c>
      <c r="G28" s="97"/>
      <c r="H28" s="97"/>
      <c r="I28" s="97"/>
      <c r="J28" s="97"/>
      <c r="K28" s="97"/>
      <c r="L28" s="97"/>
      <c r="M28" s="97"/>
      <c r="N28" s="97"/>
      <c r="O28" s="97"/>
      <c r="P28" s="97"/>
      <c r="Q28" s="97"/>
      <c r="R28" s="97"/>
      <c r="S28" s="206"/>
    </row>
    <row r="29" spans="1:20" s="144" customFormat="1" ht="28.5" customHeight="1" thickBot="1">
      <c r="C29" s="134"/>
      <c r="D29" s="149" t="s">
        <v>2354</v>
      </c>
      <c r="E29" s="132"/>
      <c r="F29" s="203" t="str">
        <f>D29&amp;"/ "&amp;"Deuda por intereses vencidos y no pagados (atrasos de intereses)."</f>
        <v>2/ Deuda por intereses vencidos y no pagados (atrasos de intereses).</v>
      </c>
      <c r="G29" s="215"/>
      <c r="H29" s="215"/>
      <c r="I29" s="215"/>
      <c r="J29" s="215"/>
      <c r="K29" s="215"/>
      <c r="L29" s="215"/>
      <c r="M29" s="215"/>
      <c r="N29" s="215"/>
      <c r="O29" s="215"/>
      <c r="P29" s="215"/>
      <c r="Q29" s="215"/>
      <c r="R29" s="215"/>
      <c r="S29" s="207"/>
    </row>
    <row r="30" spans="1:20" s="144" customFormat="1" ht="13.5" customHeight="1" thickTop="1">
      <c r="C30" s="134"/>
      <c r="D30" s="149"/>
      <c r="E30" s="132"/>
      <c r="F30" s="238"/>
      <c r="G30" s="97"/>
      <c r="H30" s="97"/>
      <c r="I30" s="97"/>
      <c r="J30" s="97"/>
      <c r="K30" s="97"/>
      <c r="L30" s="97"/>
      <c r="M30" s="97"/>
      <c r="N30" s="97"/>
      <c r="O30" s="97"/>
      <c r="P30" s="97"/>
      <c r="Q30" s="97"/>
      <c r="R30" s="97"/>
      <c r="S30" s="97"/>
    </row>
    <row r="31" spans="1:20" s="144" customFormat="1" ht="23.25">
      <c r="C31" s="134"/>
      <c r="D31" s="149"/>
      <c r="E31" s="134"/>
      <c r="F31" s="145"/>
      <c r="G31" s="155"/>
      <c r="H31" s="146"/>
      <c r="I31" s="146"/>
      <c r="J31" s="146"/>
      <c r="K31" s="146"/>
      <c r="L31" s="147"/>
      <c r="M31" s="148"/>
      <c r="N31" s="148"/>
      <c r="O31" s="148"/>
      <c r="P31" s="148"/>
      <c r="Q31" s="148"/>
      <c r="R31" s="148"/>
      <c r="S31" s="148"/>
    </row>
    <row r="32" spans="1:20" s="144" customFormat="1" ht="11.25" customHeight="1">
      <c r="C32" s="134"/>
      <c r="D32" s="149"/>
      <c r="E32" s="134"/>
      <c r="F32" s="142"/>
      <c r="G32" s="138"/>
      <c r="H32" s="117"/>
      <c r="I32" s="117"/>
      <c r="J32" s="117"/>
      <c r="K32" s="117"/>
      <c r="L32" s="139"/>
      <c r="M32" s="143"/>
      <c r="N32" s="143"/>
      <c r="O32" s="143"/>
      <c r="P32" s="143"/>
      <c r="Q32" s="143"/>
      <c r="R32" s="143"/>
      <c r="S32" s="143"/>
    </row>
    <row r="33" spans="1:38" s="44" customFormat="1" ht="39" thickBot="1">
      <c r="E33" s="92"/>
      <c r="F33" s="158" t="str">
        <f>"Parte B. Calendario de intereses frente a empresas no residentes no relacionadas "&amp;D57&amp;"/"</f>
        <v>Parte B. Calendario de intereses frente a empresas no residentes no relacionadas 1/</v>
      </c>
      <c r="G33" s="160"/>
      <c r="H33" s="160"/>
      <c r="I33" s="160"/>
      <c r="J33" s="160"/>
      <c r="K33" s="160"/>
      <c r="L33" s="160"/>
      <c r="M33" s="160"/>
      <c r="N33" s="160"/>
      <c r="O33" s="160"/>
      <c r="P33" s="160"/>
      <c r="Q33" s="160"/>
      <c r="R33" s="160"/>
      <c r="S33" s="160"/>
    </row>
    <row r="34" spans="1:38" ht="40.5" customHeight="1" thickTop="1">
      <c r="C34" s="2334" t="str">
        <f ca="1">RIGHT(CELL("nombrearchivo",$A$1),LEN(CELL("nombrearchivo",$A$1))-SEARCH("]",CELL("nombrearchivo",$A$1)))</f>
        <v>Tabla III.4.</v>
      </c>
      <c r="D34" s="2335"/>
      <c r="F34" s="2360" t="s">
        <v>2535</v>
      </c>
      <c r="G34" s="2361"/>
      <c r="H34" s="2366" t="str">
        <f>+H9</f>
        <v>SALDO A FINES DE SETIEMBRE 2025</v>
      </c>
      <c r="I34" s="2358" t="str">
        <f>"ATRASOS "&amp;D59&amp;"/"</f>
        <v>ATRASOS 2/</v>
      </c>
      <c r="J34" s="235" t="s">
        <v>2581</v>
      </c>
      <c r="K34" s="212"/>
      <c r="L34" s="212"/>
      <c r="M34" s="213"/>
      <c r="N34" s="213"/>
      <c r="O34" s="213"/>
      <c r="P34" s="213"/>
      <c r="Q34" s="213"/>
      <c r="R34" s="213"/>
      <c r="S34" s="214"/>
      <c r="T34" s="46"/>
      <c r="U34" s="46"/>
      <c r="V34" s="46"/>
    </row>
    <row r="35" spans="1:38" ht="60.75" customHeight="1" thickBot="1">
      <c r="C35" s="2336"/>
      <c r="D35" s="2337"/>
      <c r="F35" s="2362"/>
      <c r="G35" s="2363"/>
      <c r="H35" s="2367"/>
      <c r="I35" s="2359"/>
      <c r="J35" s="248" t="str">
        <f t="shared" ref="J35:S35" si="9">J10</f>
        <v>0-3 meses</v>
      </c>
      <c r="K35" s="249" t="str">
        <f t="shared" si="9"/>
        <v>4-6 meses</v>
      </c>
      <c r="L35" s="249" t="str">
        <f t="shared" si="9"/>
        <v>7-9 meses</v>
      </c>
      <c r="M35" s="249" t="str">
        <f t="shared" si="9"/>
        <v>10-12 meses</v>
      </c>
      <c r="N35" s="249" t="str">
        <f t="shared" si="9"/>
        <v>13-18 meses
(seis meses)</v>
      </c>
      <c r="O35" s="249" t="str">
        <f t="shared" si="9"/>
        <v>19-24 meses
(seis meses)</v>
      </c>
      <c r="P35" s="249" t="str">
        <f t="shared" si="9"/>
        <v>3er. año</v>
      </c>
      <c r="Q35" s="249" t="str">
        <f t="shared" si="9"/>
        <v>4to. año</v>
      </c>
      <c r="R35" s="249" t="str">
        <f t="shared" si="9"/>
        <v>5to. año</v>
      </c>
      <c r="S35" s="250" t="str">
        <f t="shared" si="9"/>
        <v>Despúes del 5to. año</v>
      </c>
    </row>
    <row r="36" spans="1:38" s="47" customFormat="1" ht="36" customHeight="1" thickBot="1">
      <c r="A36" s="266" t="s">
        <v>2261</v>
      </c>
      <c r="B36" s="269" t="s">
        <v>2262</v>
      </c>
      <c r="C36" s="270" t="s">
        <v>2171</v>
      </c>
      <c r="D36" s="271" t="s">
        <v>2172</v>
      </c>
      <c r="E36" s="109"/>
      <c r="F36" s="2364"/>
      <c r="G36" s="2365"/>
      <c r="H36" s="208" t="s">
        <v>2557</v>
      </c>
      <c r="I36" s="209" t="s">
        <v>2558</v>
      </c>
      <c r="J36" s="210" t="s">
        <v>2559</v>
      </c>
      <c r="K36" s="210" t="s">
        <v>2560</v>
      </c>
      <c r="L36" s="210" t="s">
        <v>2561</v>
      </c>
      <c r="M36" s="210" t="s">
        <v>2562</v>
      </c>
      <c r="N36" s="210" t="s">
        <v>2563</v>
      </c>
      <c r="O36" s="210" t="s">
        <v>2564</v>
      </c>
      <c r="P36" s="210" t="s">
        <v>2565</v>
      </c>
      <c r="Q36" s="210" t="s">
        <v>2566</v>
      </c>
      <c r="R36" s="210" t="s">
        <v>2567</v>
      </c>
      <c r="S36" s="211" t="s">
        <v>2568</v>
      </c>
      <c r="T36" s="46"/>
      <c r="U36" s="46"/>
      <c r="V36" s="46"/>
      <c r="W36" s="46"/>
      <c r="X36" s="46"/>
      <c r="Y36" s="46"/>
      <c r="Z36" s="46"/>
      <c r="AA36" s="46"/>
      <c r="AB36" s="46"/>
      <c r="AC36" s="46"/>
      <c r="AD36" s="46"/>
      <c r="AE36" s="46"/>
      <c r="AF36" s="46"/>
      <c r="AG36" s="46"/>
      <c r="AH36" s="46"/>
      <c r="AI36" s="46"/>
      <c r="AJ36" s="46"/>
      <c r="AK36" s="46"/>
      <c r="AL36" s="46"/>
    </row>
    <row r="37" spans="1:38" s="47" customFormat="1" ht="36" customHeight="1">
      <c r="A37" s="272">
        <f>+A24+1</f>
        <v>10</v>
      </c>
      <c r="B37" s="265" t="s">
        <v>2272</v>
      </c>
      <c r="C37" s="115"/>
      <c r="D37" s="273" t="str">
        <f>CONCATENATE(A37,B37)</f>
        <v>10.01.</v>
      </c>
      <c r="E37" s="102"/>
      <c r="F37" s="268" t="str">
        <f>+D37</f>
        <v>10.01.</v>
      </c>
      <c r="G37" s="152" t="s">
        <v>2536</v>
      </c>
      <c r="H37" s="389">
        <f>SUM(H38,H41,H44)</f>
        <v>0</v>
      </c>
      <c r="I37" s="326">
        <f>SUM(I38,I41,I44)</f>
        <v>0</v>
      </c>
      <c r="J37" s="326">
        <f t="shared" ref="J37:R37" si="10">SUM(J38,J41,J44)</f>
        <v>0</v>
      </c>
      <c r="K37" s="327">
        <f t="shared" si="10"/>
        <v>0</v>
      </c>
      <c r="L37" s="790">
        <f t="shared" si="10"/>
        <v>0</v>
      </c>
      <c r="M37" s="326">
        <f t="shared" si="10"/>
        <v>0</v>
      </c>
      <c r="N37" s="790">
        <f t="shared" si="10"/>
        <v>0</v>
      </c>
      <c r="O37" s="790">
        <f t="shared" si="10"/>
        <v>0</v>
      </c>
      <c r="P37" s="790">
        <f t="shared" si="10"/>
        <v>0</v>
      </c>
      <c r="Q37" s="790">
        <f t="shared" si="10"/>
        <v>0</v>
      </c>
      <c r="R37" s="790">
        <f t="shared" si="10"/>
        <v>0</v>
      </c>
      <c r="S37" s="328">
        <f t="shared" ref="S37:S54" si="11">+H37-SUM(I37:R37)</f>
        <v>0</v>
      </c>
      <c r="T37" s="411"/>
    </row>
    <row r="38" spans="1:38" s="47" customFormat="1" ht="23.1" customHeight="1">
      <c r="A38" s="272">
        <f>+A37</f>
        <v>10</v>
      </c>
      <c r="B38" s="265" t="s">
        <v>2320</v>
      </c>
      <c r="C38" s="278"/>
      <c r="D38" s="277" t="str">
        <f t="shared" ref="D38:D54" si="12">CONCATENATE(A38,B38)</f>
        <v>10.01.01.</v>
      </c>
      <c r="E38" s="102"/>
      <c r="F38" s="256" t="str">
        <f t="shared" ref="F38:F54" si="13">+D38</f>
        <v>10.01.01.</v>
      </c>
      <c r="G38" s="252" t="s">
        <v>2537</v>
      </c>
      <c r="H38" s="390">
        <f>SUM(H39:H40)</f>
        <v>0</v>
      </c>
      <c r="I38" s="443">
        <f>SUM(I39:I40)</f>
        <v>0</v>
      </c>
      <c r="J38" s="443">
        <f t="shared" ref="J38:R38" si="14">SUM(J39:J40)</f>
        <v>0</v>
      </c>
      <c r="K38" s="1529">
        <f t="shared" si="14"/>
        <v>0</v>
      </c>
      <c r="L38" s="444">
        <f t="shared" si="14"/>
        <v>0</v>
      </c>
      <c r="M38" s="443">
        <f t="shared" si="14"/>
        <v>0</v>
      </c>
      <c r="N38" s="444">
        <f t="shared" si="14"/>
        <v>0</v>
      </c>
      <c r="O38" s="444">
        <f t="shared" si="14"/>
        <v>0</v>
      </c>
      <c r="P38" s="444">
        <f t="shared" si="14"/>
        <v>0</v>
      </c>
      <c r="Q38" s="444">
        <f t="shared" si="14"/>
        <v>0</v>
      </c>
      <c r="R38" s="444">
        <f t="shared" si="14"/>
        <v>0</v>
      </c>
      <c r="S38" s="385">
        <f t="shared" si="11"/>
        <v>0</v>
      </c>
      <c r="T38" s="411"/>
    </row>
    <row r="39" spans="1:38" s="47" customFormat="1" ht="23.1" customHeight="1">
      <c r="A39" s="272">
        <f t="shared" ref="A39:A54" si="15">+A38</f>
        <v>10</v>
      </c>
      <c r="B39" s="265" t="s">
        <v>2321</v>
      </c>
      <c r="C39" s="1582" t="s">
        <v>2578</v>
      </c>
      <c r="D39" s="1635" t="str">
        <f t="shared" si="12"/>
        <v>10.01.01.01.</v>
      </c>
      <c r="E39" s="102"/>
      <c r="F39" s="1611" t="str">
        <f t="shared" si="13"/>
        <v>10.01.01.01.</v>
      </c>
      <c r="G39" s="1584" t="s">
        <v>2529</v>
      </c>
      <c r="H39" s="1631"/>
      <c r="I39" s="1616">
        <f>+'Tabla III.2.'!M40</f>
        <v>0</v>
      </c>
      <c r="J39" s="1587"/>
      <c r="K39" s="1587"/>
      <c r="L39" s="1587"/>
      <c r="M39" s="1587"/>
      <c r="N39" s="1587"/>
      <c r="O39" s="1587"/>
      <c r="P39" s="1587"/>
      <c r="Q39" s="1587"/>
      <c r="R39" s="1587"/>
      <c r="S39" s="1618">
        <f t="shared" si="11"/>
        <v>0</v>
      </c>
      <c r="T39" s="411"/>
    </row>
    <row r="40" spans="1:38" s="47" customFormat="1" ht="23.1" customHeight="1">
      <c r="A40" s="272">
        <f t="shared" si="15"/>
        <v>10</v>
      </c>
      <c r="B40" s="265" t="s">
        <v>2323</v>
      </c>
      <c r="C40" s="1572"/>
      <c r="D40" s="1635" t="str">
        <f t="shared" si="12"/>
        <v>10.01.01.02.</v>
      </c>
      <c r="E40" s="102"/>
      <c r="F40" s="1611" t="str">
        <f t="shared" si="13"/>
        <v>10.01.01.02.</v>
      </c>
      <c r="G40" s="1584" t="s">
        <v>2530</v>
      </c>
      <c r="H40" s="1631"/>
      <c r="I40" s="1616">
        <f>+'Tabla III.2.'!M41</f>
        <v>0</v>
      </c>
      <c r="J40" s="1587"/>
      <c r="K40" s="1587"/>
      <c r="L40" s="1587"/>
      <c r="M40" s="1587"/>
      <c r="N40" s="1587"/>
      <c r="O40" s="1587"/>
      <c r="P40" s="1587"/>
      <c r="Q40" s="1587"/>
      <c r="R40" s="1587"/>
      <c r="S40" s="1618">
        <f t="shared" si="11"/>
        <v>0</v>
      </c>
      <c r="T40" s="411"/>
    </row>
    <row r="41" spans="1:38" s="47" customFormat="1" ht="23.1" customHeight="1">
      <c r="A41" s="272">
        <f t="shared" si="15"/>
        <v>10</v>
      </c>
      <c r="B41" s="265" t="s">
        <v>2325</v>
      </c>
      <c r="C41" s="1636"/>
      <c r="D41" s="1637" t="str">
        <f t="shared" si="12"/>
        <v>10.01.02.</v>
      </c>
      <c r="E41" s="102"/>
      <c r="F41" s="1612" t="str">
        <f t="shared" si="13"/>
        <v>10.01.02.</v>
      </c>
      <c r="G41" s="1613" t="s">
        <v>2538</v>
      </c>
      <c r="H41" s="1638">
        <f>SUM(H42:H43)</f>
        <v>0</v>
      </c>
      <c r="I41" s="1624">
        <f>SUM(I42:I43)</f>
        <v>0</v>
      </c>
      <c r="J41" s="1624">
        <f t="shared" ref="J41:R41" si="16">SUM(J42:J43)</f>
        <v>0</v>
      </c>
      <c r="K41" s="1625">
        <f t="shared" si="16"/>
        <v>0</v>
      </c>
      <c r="L41" s="1626">
        <f t="shared" si="16"/>
        <v>0</v>
      </c>
      <c r="M41" s="1624">
        <f t="shared" si="16"/>
        <v>0</v>
      </c>
      <c r="N41" s="1626">
        <f t="shared" si="16"/>
        <v>0</v>
      </c>
      <c r="O41" s="1626">
        <f t="shared" si="16"/>
        <v>0</v>
      </c>
      <c r="P41" s="1626">
        <f t="shared" si="16"/>
        <v>0</v>
      </c>
      <c r="Q41" s="1626">
        <f t="shared" si="16"/>
        <v>0</v>
      </c>
      <c r="R41" s="1626">
        <f t="shared" si="16"/>
        <v>0</v>
      </c>
      <c r="S41" s="1627">
        <f t="shared" si="11"/>
        <v>0</v>
      </c>
      <c r="T41" s="411"/>
    </row>
    <row r="42" spans="1:38" s="47" customFormat="1" ht="23.1" customHeight="1">
      <c r="A42" s="272">
        <f t="shared" si="15"/>
        <v>10</v>
      </c>
      <c r="B42" s="265" t="s">
        <v>2455</v>
      </c>
      <c r="C42" s="1582" t="s">
        <v>2578</v>
      </c>
      <c r="D42" s="1639" t="str">
        <f t="shared" si="12"/>
        <v>10.01.02.01.</v>
      </c>
      <c r="E42" s="102"/>
      <c r="F42" s="1614" t="str">
        <f t="shared" si="13"/>
        <v>10.01.02.01.</v>
      </c>
      <c r="G42" s="1584" t="s">
        <v>2529</v>
      </c>
      <c r="H42" s="1640"/>
      <c r="I42" s="1616">
        <f>+'Tabla III.2.'!M43</f>
        <v>0</v>
      </c>
      <c r="J42" s="1587"/>
      <c r="K42" s="1587"/>
      <c r="L42" s="1587"/>
      <c r="M42" s="1587"/>
      <c r="N42" s="1587"/>
      <c r="O42" s="1587"/>
      <c r="P42" s="1587"/>
      <c r="Q42" s="1587"/>
      <c r="R42" s="1587"/>
      <c r="S42" s="1618">
        <f t="shared" si="11"/>
        <v>0</v>
      </c>
      <c r="T42" s="411"/>
    </row>
    <row r="43" spans="1:38" s="47" customFormat="1" ht="23.1" customHeight="1">
      <c r="A43" s="272">
        <f t="shared" si="15"/>
        <v>10</v>
      </c>
      <c r="B43" s="265" t="s">
        <v>2457</v>
      </c>
      <c r="C43" s="1582"/>
      <c r="D43" s="1639" t="str">
        <f t="shared" si="12"/>
        <v>10.01.02.02.</v>
      </c>
      <c r="E43" s="102"/>
      <c r="F43" s="1614" t="str">
        <f t="shared" si="13"/>
        <v>10.01.02.02.</v>
      </c>
      <c r="G43" s="1584" t="s">
        <v>2530</v>
      </c>
      <c r="H43" s="1640"/>
      <c r="I43" s="1616">
        <f>+'Tabla III.2.'!M44</f>
        <v>0</v>
      </c>
      <c r="J43" s="1587"/>
      <c r="K43" s="1587"/>
      <c r="L43" s="1587"/>
      <c r="M43" s="1587"/>
      <c r="N43" s="1587"/>
      <c r="O43" s="1587"/>
      <c r="P43" s="1587"/>
      <c r="Q43" s="1587"/>
      <c r="R43" s="1587"/>
      <c r="S43" s="1630">
        <f t="shared" si="11"/>
        <v>0</v>
      </c>
      <c r="T43" s="411"/>
    </row>
    <row r="44" spans="1:38" s="47" customFormat="1" ht="23.1" customHeight="1">
      <c r="A44" s="272">
        <f t="shared" si="15"/>
        <v>10</v>
      </c>
      <c r="B44" s="265" t="s">
        <v>2459</v>
      </c>
      <c r="C44" s="1636"/>
      <c r="D44" s="1637" t="str">
        <f t="shared" si="12"/>
        <v>10.01.03.</v>
      </c>
      <c r="E44" s="102"/>
      <c r="F44" s="1612" t="str">
        <f t="shared" si="13"/>
        <v>10.01.03.</v>
      </c>
      <c r="G44" s="1613" t="s">
        <v>2539</v>
      </c>
      <c r="H44" s="1638">
        <f>SUM(H45:H46)</f>
        <v>0</v>
      </c>
      <c r="I44" s="1624">
        <f>SUM(I45:I46)</f>
        <v>0</v>
      </c>
      <c r="J44" s="1624">
        <f t="shared" ref="J44:R44" si="17">SUM(J45:J46)</f>
        <v>0</v>
      </c>
      <c r="K44" s="1625">
        <f t="shared" si="17"/>
        <v>0</v>
      </c>
      <c r="L44" s="1626">
        <f t="shared" si="17"/>
        <v>0</v>
      </c>
      <c r="M44" s="1624">
        <f t="shared" si="17"/>
        <v>0</v>
      </c>
      <c r="N44" s="1626">
        <f t="shared" si="17"/>
        <v>0</v>
      </c>
      <c r="O44" s="1626">
        <f t="shared" si="17"/>
        <v>0</v>
      </c>
      <c r="P44" s="1626">
        <f t="shared" si="17"/>
        <v>0</v>
      </c>
      <c r="Q44" s="1626">
        <f t="shared" si="17"/>
        <v>0</v>
      </c>
      <c r="R44" s="1626">
        <f t="shared" si="17"/>
        <v>0</v>
      </c>
      <c r="S44" s="1627">
        <f t="shared" si="11"/>
        <v>0</v>
      </c>
      <c r="T44" s="411"/>
    </row>
    <row r="45" spans="1:38" s="47" customFormat="1" ht="23.1" customHeight="1">
      <c r="A45" s="272">
        <f t="shared" si="15"/>
        <v>10</v>
      </c>
      <c r="B45" s="265" t="s">
        <v>2460</v>
      </c>
      <c r="C45" s="1582" t="s">
        <v>2578</v>
      </c>
      <c r="D45" s="1639" t="str">
        <f t="shared" si="12"/>
        <v>10.01.03.01.</v>
      </c>
      <c r="E45" s="102"/>
      <c r="F45" s="1614" t="str">
        <f t="shared" si="13"/>
        <v>10.01.03.01.</v>
      </c>
      <c r="G45" s="1584" t="s">
        <v>2529</v>
      </c>
      <c r="H45" s="1640"/>
      <c r="I45" s="1616">
        <f>+'Tabla III.2.'!M46</f>
        <v>0</v>
      </c>
      <c r="J45" s="1587"/>
      <c r="K45" s="1587"/>
      <c r="L45" s="1587"/>
      <c r="M45" s="1587"/>
      <c r="N45" s="1587"/>
      <c r="O45" s="1587"/>
      <c r="P45" s="1587"/>
      <c r="Q45" s="1587"/>
      <c r="R45" s="1587"/>
      <c r="S45" s="1630">
        <f t="shared" si="11"/>
        <v>0</v>
      </c>
      <c r="T45" s="411"/>
    </row>
    <row r="46" spans="1:38" s="47" customFormat="1" ht="23.1" customHeight="1">
      <c r="A46" s="272">
        <f t="shared" si="15"/>
        <v>10</v>
      </c>
      <c r="B46" s="265" t="s">
        <v>2461</v>
      </c>
      <c r="C46" s="1582"/>
      <c r="D46" s="1639" t="str">
        <f t="shared" si="12"/>
        <v>10.01.03.02.</v>
      </c>
      <c r="E46" s="102"/>
      <c r="F46" s="1614" t="str">
        <f t="shared" si="13"/>
        <v>10.01.03.02.</v>
      </c>
      <c r="G46" s="1584" t="s">
        <v>2530</v>
      </c>
      <c r="H46" s="1640"/>
      <c r="I46" s="1616">
        <f>+'Tabla III.2.'!M47</f>
        <v>0</v>
      </c>
      <c r="J46" s="1587"/>
      <c r="K46" s="1587"/>
      <c r="L46" s="1587"/>
      <c r="M46" s="1587"/>
      <c r="N46" s="1587"/>
      <c r="O46" s="1587"/>
      <c r="P46" s="1587"/>
      <c r="Q46" s="1587"/>
      <c r="R46" s="1587"/>
      <c r="S46" s="1630">
        <f t="shared" si="11"/>
        <v>0</v>
      </c>
      <c r="T46" s="411"/>
    </row>
    <row r="47" spans="1:38" s="47" customFormat="1" ht="36" customHeight="1">
      <c r="A47" s="272">
        <f t="shared" si="15"/>
        <v>10</v>
      </c>
      <c r="B47" s="265" t="s">
        <v>2302</v>
      </c>
      <c r="C47" s="116"/>
      <c r="D47" s="274" t="str">
        <f t="shared" si="12"/>
        <v>10.02.</v>
      </c>
      <c r="E47" s="102"/>
      <c r="F47" s="261" t="str">
        <f t="shared" si="13"/>
        <v>10.02.</v>
      </c>
      <c r="G47" s="153" t="s">
        <v>2540</v>
      </c>
      <c r="H47" s="372">
        <f>SUM(H48:H49)</f>
        <v>0</v>
      </c>
      <c r="I47" s="330">
        <f>SUM(I48:I49)</f>
        <v>0</v>
      </c>
      <c r="J47" s="330">
        <f t="shared" ref="J47:R47" si="18">SUM(J48:J49)</f>
        <v>0</v>
      </c>
      <c r="K47" s="331">
        <f t="shared" si="18"/>
        <v>0</v>
      </c>
      <c r="L47" s="366">
        <f t="shared" si="18"/>
        <v>0</v>
      </c>
      <c r="M47" s="330">
        <f t="shared" si="18"/>
        <v>0</v>
      </c>
      <c r="N47" s="366">
        <f t="shared" si="18"/>
        <v>0</v>
      </c>
      <c r="O47" s="366">
        <f t="shared" si="18"/>
        <v>0</v>
      </c>
      <c r="P47" s="366">
        <f t="shared" si="18"/>
        <v>0</v>
      </c>
      <c r="Q47" s="366">
        <f t="shared" si="18"/>
        <v>0</v>
      </c>
      <c r="R47" s="366">
        <f t="shared" si="18"/>
        <v>0</v>
      </c>
      <c r="S47" s="332">
        <f t="shared" si="11"/>
        <v>0</v>
      </c>
      <c r="T47" s="411"/>
    </row>
    <row r="48" spans="1:38" s="47" customFormat="1" ht="23.1" customHeight="1">
      <c r="A48" s="272">
        <f t="shared" si="15"/>
        <v>10</v>
      </c>
      <c r="B48" s="265" t="s">
        <v>2435</v>
      </c>
      <c r="C48" s="1582" t="s">
        <v>2578</v>
      </c>
      <c r="D48" s="1639" t="str">
        <f t="shared" si="12"/>
        <v>10.02.00.01.</v>
      </c>
      <c r="E48" s="102"/>
      <c r="F48" s="257" t="str">
        <f t="shared" si="13"/>
        <v>10.02.00.01.</v>
      </c>
      <c r="G48" s="1584" t="s">
        <v>2529</v>
      </c>
      <c r="H48" s="1108"/>
      <c r="I48" s="1616">
        <f>+'Tabla III.2.'!M49</f>
        <v>0</v>
      </c>
      <c r="J48" s="1587"/>
      <c r="K48" s="1587"/>
      <c r="L48" s="1587"/>
      <c r="M48" s="1587"/>
      <c r="N48" s="1587"/>
      <c r="O48" s="1587"/>
      <c r="P48" s="1587"/>
      <c r="Q48" s="1587"/>
      <c r="R48" s="1587"/>
      <c r="S48" s="374">
        <f t="shared" si="11"/>
        <v>0</v>
      </c>
      <c r="T48" s="411"/>
    </row>
    <row r="49" spans="1:20" s="47" customFormat="1" ht="23.1" customHeight="1">
      <c r="A49" s="272">
        <f t="shared" si="15"/>
        <v>10</v>
      </c>
      <c r="B49" s="265" t="s">
        <v>2437</v>
      </c>
      <c r="C49" s="1572"/>
      <c r="D49" s="1639" t="str">
        <f t="shared" si="12"/>
        <v>10.02.00.02.</v>
      </c>
      <c r="E49" s="102"/>
      <c r="F49" s="253" t="str">
        <f t="shared" si="13"/>
        <v>10.02.00.02.</v>
      </c>
      <c r="G49" s="1584" t="s">
        <v>2530</v>
      </c>
      <c r="H49" s="1109"/>
      <c r="I49" s="1616">
        <f>+'Tabla III.2.'!M50</f>
        <v>0</v>
      </c>
      <c r="J49" s="1587"/>
      <c r="K49" s="1587"/>
      <c r="L49" s="1587"/>
      <c r="M49" s="1587"/>
      <c r="N49" s="1587"/>
      <c r="O49" s="1587"/>
      <c r="P49" s="1587"/>
      <c r="Q49" s="1587"/>
      <c r="R49" s="1587"/>
      <c r="S49" s="386">
        <f t="shared" si="11"/>
        <v>0</v>
      </c>
      <c r="T49" s="411"/>
    </row>
    <row r="50" spans="1:20" s="47" customFormat="1" ht="36" customHeight="1">
      <c r="A50" s="272">
        <f t="shared" si="15"/>
        <v>10</v>
      </c>
      <c r="B50" s="265" t="s">
        <v>2439</v>
      </c>
      <c r="C50" s="116"/>
      <c r="D50" s="274" t="str">
        <f t="shared" si="12"/>
        <v>10.03.</v>
      </c>
      <c r="E50" s="102"/>
      <c r="F50" s="254" t="str">
        <f t="shared" si="13"/>
        <v>10.03.</v>
      </c>
      <c r="G50" s="153" t="s">
        <v>2583</v>
      </c>
      <c r="H50" s="372">
        <f>SUM(H51:H52)</f>
        <v>0</v>
      </c>
      <c r="I50" s="330">
        <f>SUM(I51:I52)</f>
        <v>0</v>
      </c>
      <c r="J50" s="330">
        <f t="shared" ref="J50:R50" si="19">SUM(J51:J52)</f>
        <v>0</v>
      </c>
      <c r="K50" s="331">
        <f t="shared" si="19"/>
        <v>0</v>
      </c>
      <c r="L50" s="366">
        <f t="shared" si="19"/>
        <v>0</v>
      </c>
      <c r="M50" s="330">
        <f t="shared" si="19"/>
        <v>0</v>
      </c>
      <c r="N50" s="366">
        <f t="shared" si="19"/>
        <v>0</v>
      </c>
      <c r="O50" s="366">
        <f t="shared" si="19"/>
        <v>0</v>
      </c>
      <c r="P50" s="366">
        <f t="shared" si="19"/>
        <v>0</v>
      </c>
      <c r="Q50" s="366">
        <f t="shared" si="19"/>
        <v>0</v>
      </c>
      <c r="R50" s="366">
        <f t="shared" si="19"/>
        <v>0</v>
      </c>
      <c r="S50" s="332">
        <f t="shared" si="11"/>
        <v>0</v>
      </c>
      <c r="T50" s="411"/>
    </row>
    <row r="51" spans="1:20" s="47" customFormat="1" ht="23.1" customHeight="1">
      <c r="A51" s="272">
        <f t="shared" si="15"/>
        <v>10</v>
      </c>
      <c r="B51" s="265" t="s">
        <v>2440</v>
      </c>
      <c r="C51" s="113" t="s">
        <v>2578</v>
      </c>
      <c r="D51" s="1639" t="str">
        <f t="shared" si="12"/>
        <v>10.03.00.01.</v>
      </c>
      <c r="E51" s="102"/>
      <c r="F51" s="258" t="str">
        <f t="shared" si="13"/>
        <v>10.03.00.01.</v>
      </c>
      <c r="G51" s="1584" t="s">
        <v>2529</v>
      </c>
      <c r="H51" s="1108"/>
      <c r="I51" s="1616">
        <f>+'Tabla III.2.'!M52</f>
        <v>0</v>
      </c>
      <c r="J51" s="1587"/>
      <c r="K51" s="1587"/>
      <c r="L51" s="1587"/>
      <c r="M51" s="1587"/>
      <c r="N51" s="1587"/>
      <c r="O51" s="1587"/>
      <c r="P51" s="1587"/>
      <c r="Q51" s="1587"/>
      <c r="R51" s="1587"/>
      <c r="S51" s="374">
        <f t="shared" si="11"/>
        <v>0</v>
      </c>
      <c r="T51" s="411"/>
    </row>
    <row r="52" spans="1:20" s="47" customFormat="1" ht="23.1" customHeight="1">
      <c r="A52" s="272">
        <f t="shared" si="15"/>
        <v>10</v>
      </c>
      <c r="B52" s="265" t="s">
        <v>2441</v>
      </c>
      <c r="C52" s="1572"/>
      <c r="D52" s="1639" t="str">
        <f t="shared" si="12"/>
        <v>10.03.00.02.</v>
      </c>
      <c r="E52" s="102"/>
      <c r="F52" s="259" t="str">
        <f t="shared" si="13"/>
        <v>10.03.00.02.</v>
      </c>
      <c r="G52" s="1584" t="s">
        <v>2530</v>
      </c>
      <c r="H52" s="1109"/>
      <c r="I52" s="1616">
        <f>+'Tabla III.2.'!M53</f>
        <v>0</v>
      </c>
      <c r="J52" s="1587"/>
      <c r="K52" s="1587"/>
      <c r="L52" s="1587"/>
      <c r="M52" s="1587"/>
      <c r="N52" s="1587"/>
      <c r="O52" s="1587"/>
      <c r="P52" s="1587"/>
      <c r="Q52" s="1587"/>
      <c r="R52" s="1587"/>
      <c r="S52" s="386">
        <f t="shared" si="11"/>
        <v>0</v>
      </c>
      <c r="T52" s="411"/>
    </row>
    <row r="53" spans="1:20" s="47" customFormat="1" ht="36" customHeight="1" thickBot="1">
      <c r="A53" s="272">
        <f t="shared" si="15"/>
        <v>10</v>
      </c>
      <c r="B53" s="266" t="s">
        <v>2442</v>
      </c>
      <c r="C53" s="114"/>
      <c r="D53" s="275" t="str">
        <f t="shared" si="12"/>
        <v>10.04.</v>
      </c>
      <c r="E53" s="102"/>
      <c r="F53" s="262" t="str">
        <f t="shared" si="13"/>
        <v>10.04.</v>
      </c>
      <c r="G53" s="154" t="s">
        <v>2580</v>
      </c>
      <c r="H53" s="1110"/>
      <c r="I53" s="330">
        <f>+'Tabla III.2.'!M54</f>
        <v>0</v>
      </c>
      <c r="J53" s="1105"/>
      <c r="K53" s="1106"/>
      <c r="L53" s="1107"/>
      <c r="M53" s="1105"/>
      <c r="N53" s="1107"/>
      <c r="O53" s="1107"/>
      <c r="P53" s="1107"/>
      <c r="Q53" s="1107"/>
      <c r="R53" s="1107"/>
      <c r="S53" s="370">
        <f t="shared" si="11"/>
        <v>0</v>
      </c>
      <c r="T53" s="411"/>
    </row>
    <row r="54" spans="1:20" s="47" customFormat="1" ht="36" customHeight="1" thickTop="1" thickBot="1">
      <c r="A54" s="272">
        <f t="shared" si="15"/>
        <v>10</v>
      </c>
      <c r="B54" s="266" t="s">
        <v>2307</v>
      </c>
      <c r="C54" s="133"/>
      <c r="D54" s="276" t="str">
        <f t="shared" si="12"/>
        <v>10.99.</v>
      </c>
      <c r="E54" s="102"/>
      <c r="F54" s="263" t="str">
        <f t="shared" si="13"/>
        <v>10.99.</v>
      </c>
      <c r="G54" s="216" t="s">
        <v>2477</v>
      </c>
      <c r="H54" s="391">
        <f>SUM(H37,H47,H50,H53)</f>
        <v>0</v>
      </c>
      <c r="I54" s="333">
        <f>SUM(I37,I47,I50,I53)</f>
        <v>0</v>
      </c>
      <c r="J54" s="333">
        <f t="shared" ref="J54:R54" si="20">SUM(J37,J47,J50,J53)</f>
        <v>0</v>
      </c>
      <c r="K54" s="368">
        <f t="shared" si="20"/>
        <v>0</v>
      </c>
      <c r="L54" s="387">
        <f t="shared" si="20"/>
        <v>0</v>
      </c>
      <c r="M54" s="333">
        <f t="shared" si="20"/>
        <v>0</v>
      </c>
      <c r="N54" s="387">
        <f t="shared" si="20"/>
        <v>0</v>
      </c>
      <c r="O54" s="387">
        <f t="shared" si="20"/>
        <v>0</v>
      </c>
      <c r="P54" s="387">
        <f t="shared" si="20"/>
        <v>0</v>
      </c>
      <c r="Q54" s="387">
        <f t="shared" si="20"/>
        <v>0</v>
      </c>
      <c r="R54" s="387">
        <f t="shared" si="20"/>
        <v>0</v>
      </c>
      <c r="S54" s="369">
        <f t="shared" si="11"/>
        <v>0</v>
      </c>
      <c r="T54" s="411"/>
    </row>
    <row r="55" spans="1:20" s="44" customFormat="1" ht="16.5" thickBot="1">
      <c r="E55" s="100"/>
    </row>
    <row r="56" spans="1:20" s="44" customFormat="1" ht="28.5" customHeight="1" thickTop="1">
      <c r="E56" s="100"/>
      <c r="F56" s="201" t="s">
        <v>2446</v>
      </c>
      <c r="G56" s="204"/>
      <c r="H56" s="204"/>
      <c r="I56" s="204"/>
      <c r="J56" s="204"/>
      <c r="K56" s="204"/>
      <c r="L56" s="204"/>
      <c r="M56" s="204"/>
      <c r="N56" s="204"/>
      <c r="O56" s="204"/>
      <c r="P56" s="204"/>
      <c r="Q56" s="204"/>
      <c r="R56" s="204"/>
      <c r="S56" s="205"/>
    </row>
    <row r="57" spans="1:20" s="44" customFormat="1" ht="25.5" customHeight="1">
      <c r="D57" s="132">
        <v>1</v>
      </c>
      <c r="E57" s="9"/>
      <c r="F57" s="202" t="str">
        <f>D57&amp;"/"&amp; " Calendario derivado de los créditos y anticipos comerciales, préstamos y títulos de deuda (bonos emitidos por la empresa declarante) que representan pasivos de deuda de la empresa declarante frente a emrepsas no residentes no relacionadas."</f>
        <v>1/ Calendario derivado de los créditos y anticipos comerciales, préstamos y títulos de deuda (bonos emitidos por la empresa declarante) que representan pasivos de deuda de la empresa declarante frente a emrepsas no residentes no relacionadas.</v>
      </c>
      <c r="G57" s="97"/>
      <c r="H57" s="97"/>
      <c r="I57" s="97"/>
      <c r="J57" s="97"/>
      <c r="K57" s="97"/>
      <c r="L57" s="97"/>
      <c r="M57" s="97"/>
      <c r="N57" s="97"/>
      <c r="O57" s="97"/>
      <c r="P57" s="97"/>
      <c r="Q57" s="97"/>
      <c r="R57" s="97"/>
      <c r="S57" s="206"/>
    </row>
    <row r="58" spans="1:20" s="44" customFormat="1" ht="25.5" customHeight="1">
      <c r="D58" s="132"/>
      <c r="E58" s="9"/>
      <c r="F58" s="202" t="s">
        <v>2582</v>
      </c>
      <c r="G58" s="97"/>
      <c r="H58" s="97"/>
      <c r="I58" s="97"/>
      <c r="J58" s="97"/>
      <c r="K58" s="97"/>
      <c r="L58" s="97"/>
      <c r="M58" s="97"/>
      <c r="N58" s="97"/>
      <c r="O58" s="97"/>
      <c r="P58" s="97"/>
      <c r="Q58" s="97"/>
      <c r="R58" s="97"/>
      <c r="S58" s="206"/>
    </row>
    <row r="59" spans="1:20" s="44" customFormat="1" ht="25.5" customHeight="1" thickBot="1">
      <c r="D59" s="132">
        <v>2</v>
      </c>
      <c r="E59" s="132"/>
      <c r="F59" s="203" t="str">
        <f>D59&amp;"/ "&amp;"Deuda por intereses vencidos y no pagados (atrasos de intereses)."</f>
        <v>2/ Deuda por intereses vencidos y no pagados (atrasos de intereses).</v>
      </c>
      <c r="G59" s="215"/>
      <c r="H59" s="215"/>
      <c r="I59" s="215"/>
      <c r="J59" s="215"/>
      <c r="K59" s="215"/>
      <c r="L59" s="215"/>
      <c r="M59" s="215"/>
      <c r="N59" s="215"/>
      <c r="O59" s="215"/>
      <c r="P59" s="215"/>
      <c r="Q59" s="215"/>
      <c r="R59" s="215"/>
      <c r="S59" s="207"/>
    </row>
    <row r="60" spans="1:20" ht="21" thickTop="1">
      <c r="F60" s="137"/>
    </row>
  </sheetData>
  <sheetProtection password="EC0E" sheet="1" objects="1" scenarios="1"/>
  <mergeCells count="9">
    <mergeCell ref="F6:S6"/>
    <mergeCell ref="I9:I10"/>
    <mergeCell ref="I34:I35"/>
    <mergeCell ref="C9:D10"/>
    <mergeCell ref="F9:G11"/>
    <mergeCell ref="H9:H10"/>
    <mergeCell ref="C34:D35"/>
    <mergeCell ref="F34:G36"/>
    <mergeCell ref="H34:H35"/>
  </mergeCells>
  <dataValidations disablePrompts="1" count="3">
    <dataValidation type="whole" allowBlank="1" showErrorMessage="1" errorTitle="SOLO VALORES ENTEROS" error="NO INGRESE DECIMALES. REDONDEE SI ES NECESARIO." sqref="K31:K33 K25 H25 H31:H33" xr:uid="{00000000-0002-0000-0F00-000000000000}">
      <formula1>-999999999999999000000</formula1>
      <formula2>999999999999999000000</formula2>
    </dataValidation>
    <dataValidation type="whole" operator="greaterThanOrEqual" allowBlank="1" showErrorMessage="1" errorTitle="INFRACCION DE ENTEROS O DE SIGNO" error="SOLO VALORES ENTEROS: POSITIVOS O CERO._x000a_NO INGRESE VALORES NEGATIVOS." promptTitle="SIGNO POSITIVO" prompt="Ingrese valores enteros posiivos o cero." sqref="I25:J25 I31:J33" xr:uid="{00000000-0002-0000-0F00-000001000000}">
      <formula1>0</formula1>
    </dataValidation>
    <dataValidation type="whole" operator="greaterThanOrEqual" allowBlank="1" showErrorMessage="1" errorTitle="INFRACCION DE ENTEROS O DE SIGNO" error="SOLO VALORES ENTEROS: POSITIVOS O CERO." promptTitle="SIGNO POSITIVO" prompt="Ingrese valores enteros posiivos o cero." sqref="M25:O25 M31:O33" xr:uid="{00000000-0002-0000-0F00-000002000000}">
      <formula1>0</formula1>
    </dataValidation>
  </dataValidations>
  <printOptions horizontalCentered="1" headings="1"/>
  <pageMargins left="0.19685039370078741" right="0.15748031496062992" top="0.47244094488188981" bottom="0.43307086614173229" header="0.23622047244094491" footer="0.27559055118110237"/>
  <pageSetup paperSize="9" scale="39" orientation="landscape" r:id="rId1"/>
  <headerFooter alignWithMargins="0">
    <oddFooter>&amp;L&amp;"Arial,Negrita"&amp;14&amp;D   &amp;T&amp;C&amp;"Arial,Negrita"&amp;14&amp;F&amp;R&amp;"Arial,Negrita"&amp;16&amp;A</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41">
    <tabColor rgb="FF002060"/>
    <pageSetUpPr fitToPage="1"/>
  </sheetPr>
  <dimension ref="A1:BB38"/>
  <sheetViews>
    <sheetView showGridLines="0" topLeftCell="E2" zoomScale="55" zoomScaleNormal="55" workbookViewId="0">
      <pane xSplit="3" ySplit="10" topLeftCell="H12" activePane="bottomRight" state="frozen"/>
      <selection activeCell="H11" sqref="H11:XFD11"/>
      <selection pane="topRight" activeCell="H11" sqref="H11:XFD11"/>
      <selection pane="bottomLeft" activeCell="H11" sqref="H11:XFD11"/>
      <selection pane="bottomRight" activeCell="T23" sqref="T23"/>
    </sheetView>
  </sheetViews>
  <sheetFormatPr baseColWidth="10" defaultColWidth="11.42578125" defaultRowHeight="12.75"/>
  <cols>
    <col min="1" max="1" width="18.140625" hidden="1" customWidth="1"/>
    <col min="2" max="2" width="22.28515625" hidden="1" customWidth="1"/>
    <col min="3" max="3" width="21.42578125" hidden="1" customWidth="1"/>
    <col min="4" max="4" width="30.42578125" hidden="1" customWidth="1"/>
    <col min="5" max="5" width="6.7109375" style="96" customWidth="1"/>
    <col min="6" max="6" width="25.140625" customWidth="1"/>
    <col min="7" max="7" width="114" customWidth="1"/>
    <col min="8" max="8" width="34.7109375" customWidth="1"/>
  </cols>
  <sheetData>
    <row r="1" spans="1:54" s="96" customFormat="1" ht="17.25" hidden="1" customHeight="1">
      <c r="F1" s="309" t="s">
        <v>2253</v>
      </c>
      <c r="G1" s="310"/>
      <c r="H1" s="311" t="s">
        <v>2254</v>
      </c>
    </row>
    <row r="2" spans="1:54" s="96" customFormat="1"/>
    <row r="3" spans="1:54" s="97" customFormat="1" ht="17.25" customHeight="1">
      <c r="C3" s="98"/>
      <c r="D3" s="98"/>
      <c r="E3" s="98"/>
      <c r="F3" s="178"/>
      <c r="G3" s="178"/>
      <c r="H3" s="179"/>
    </row>
    <row r="4" spans="1:54" s="97" customFormat="1" ht="35.25">
      <c r="C4" s="98"/>
      <c r="D4" s="98"/>
      <c r="E4" s="98"/>
      <c r="F4" s="162" t="str">
        <f ca="1">$C$8&amp;"  Derivados financieros según libros"</f>
        <v>Tabla IV.1.  Derivados financieros según libros</v>
      </c>
      <c r="G4" s="160"/>
      <c r="H4" s="160"/>
    </row>
    <row r="5" spans="1:54" s="97" customFormat="1" ht="20.25" customHeight="1">
      <c r="C5" s="98"/>
      <c r="D5" s="98"/>
      <c r="E5" s="98"/>
      <c r="F5" s="169" t="s">
        <v>2318</v>
      </c>
      <c r="G5" s="160"/>
      <c r="H5" s="160"/>
    </row>
    <row r="6" spans="1:54" s="97" customFormat="1" ht="19.5" customHeight="1">
      <c r="C6" s="98"/>
      <c r="D6" s="98"/>
      <c r="E6" s="98"/>
      <c r="F6" s="178"/>
      <c r="G6" s="178"/>
      <c r="H6" s="615"/>
    </row>
    <row r="7" spans="1:54" s="97" customFormat="1" ht="6" customHeight="1">
      <c r="C7" s="98"/>
      <c r="D7" s="98"/>
      <c r="E7" s="98"/>
      <c r="G7" s="98"/>
      <c r="H7" s="98"/>
    </row>
    <row r="8" spans="1:54" ht="36" customHeight="1" thickBot="1">
      <c r="C8" s="130" t="str">
        <f ca="1">RIGHT(CELL("nombrearchivo",$A$1),LEN(CELL("nombrearchivo",$A$1))-SEARCH("]",CELL("nombrearchivo",$A$1)))</f>
        <v>Tabla IV.1.</v>
      </c>
      <c r="F8" s="2379" t="str">
        <f>"Derivados financieros de la empresa declarante 
según registro en libros "&amp;D28&amp;"/ "&amp;D29&amp;"/"</f>
        <v>Derivados financieros de la empresa declarante 
según registro en libros 1/ 2/</v>
      </c>
      <c r="G8" s="2379"/>
      <c r="H8" s="2379"/>
      <c r="I8" s="96"/>
      <c r="J8" s="96"/>
      <c r="K8" s="96"/>
      <c r="L8" s="96"/>
      <c r="M8" s="96"/>
      <c r="N8" s="96"/>
      <c r="O8" s="96"/>
      <c r="P8" s="96"/>
      <c r="Q8" s="96"/>
      <c r="R8" s="96"/>
      <c r="S8" s="96"/>
      <c r="T8" s="96"/>
      <c r="U8" s="96"/>
      <c r="V8" s="96"/>
    </row>
    <row r="9" spans="1:54" s="1" customFormat="1" ht="33" customHeight="1" thickTop="1" thickBot="1">
      <c r="C9" s="2373" t="str">
        <f ca="1">RIGHT(CELL("nombrearchivo",$A$1),LEN(CELL("nombrearchivo",$A$1))-SEARCH("]",CELL("nombrearchivo",$A$1)))</f>
        <v>Tabla IV.1.</v>
      </c>
      <c r="D9" s="2374"/>
      <c r="E9" s="518"/>
      <c r="F9" s="2375"/>
      <c r="G9" s="2376"/>
      <c r="H9" s="1177">
        <f>ANUAL</f>
        <v>2025</v>
      </c>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c r="AH9" s="518"/>
      <c r="AI9" s="518"/>
      <c r="AJ9" s="518"/>
      <c r="AK9" s="518"/>
      <c r="AL9" s="518"/>
      <c r="AM9" s="518"/>
      <c r="AN9" s="518"/>
      <c r="AO9" s="518"/>
      <c r="AP9" s="518"/>
      <c r="AQ9" s="518"/>
      <c r="AR9" s="518"/>
      <c r="AS9" s="518"/>
      <c r="AT9" s="518"/>
      <c r="AU9" s="518"/>
      <c r="AV9" s="518"/>
      <c r="AW9" s="518"/>
      <c r="AX9" s="518"/>
      <c r="AY9" s="518"/>
      <c r="AZ9" s="518"/>
      <c r="BA9" s="518"/>
      <c r="BB9" s="518"/>
    </row>
    <row r="10" spans="1:54" s="523" customFormat="1" ht="27.75" customHeight="1" thickBot="1">
      <c r="A10" s="135" t="s">
        <v>2261</v>
      </c>
      <c r="B10" s="135" t="s">
        <v>2262</v>
      </c>
      <c r="C10" s="806" t="s">
        <v>2171</v>
      </c>
      <c r="D10" s="807" t="s">
        <v>2172</v>
      </c>
      <c r="E10" s="522"/>
      <c r="F10" s="2377"/>
      <c r="G10" s="2378"/>
      <c r="H10" s="1300" t="str">
        <f>TRIM&amp;" Trim. "</f>
        <v xml:space="preserve">3 Trim. </v>
      </c>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row>
    <row r="11" spans="1:54" s="523" customFormat="1" ht="27.75" customHeight="1" thickBot="1">
      <c r="A11" s="135"/>
      <c r="B11" s="135"/>
      <c r="C11" s="830"/>
      <c r="D11" s="831"/>
      <c r="E11" s="522"/>
      <c r="F11" s="832" t="s">
        <v>2169</v>
      </c>
      <c r="G11" s="833" t="s">
        <v>2611</v>
      </c>
      <c r="H11" s="1089" t="s">
        <v>2591</v>
      </c>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row>
    <row r="12" spans="1:54" s="1" customFormat="1" ht="45">
      <c r="A12" s="136">
        <f>+'Tabla III.5.'!A22+1</f>
        <v>12</v>
      </c>
      <c r="B12" s="255" t="s">
        <v>2272</v>
      </c>
      <c r="C12" s="834">
        <v>620</v>
      </c>
      <c r="D12" s="835" t="str">
        <f t="shared" ref="D12:D24" si="0">CONCATENATE(A12,B12)</f>
        <v>12.01.</v>
      </c>
      <c r="E12" s="836"/>
      <c r="F12" s="837" t="str">
        <f>+D12</f>
        <v>12.01.</v>
      </c>
      <c r="G12" s="838" t="str">
        <f>"A. SALDO NETO DEL BALANCE POR DERIVADOS
     FINANCIEROS  (ACTIVO - PASIVO) AL CIERRE DE "&amp;IF(TRIM=1,"MARZO",IF(TRIM=2,"JUNIO",IF(TRIM=3,"SETIEMBRE","DICIEMBRE")))</f>
        <v>A. SALDO NETO DEL BALANCE POR DERIVADOS
     FINANCIEROS  (ACTIVO - PASIVO) AL CIERRE DE SETIEMBRE</v>
      </c>
      <c r="H12" s="1090">
        <f>+H13-H16</f>
        <v>0</v>
      </c>
      <c r="I12" s="411"/>
      <c r="J12" s="518"/>
      <c r="K12" s="518"/>
      <c r="L12" s="518"/>
      <c r="M12" s="518"/>
      <c r="N12" s="518"/>
      <c r="O12" s="518"/>
      <c r="P12" s="518"/>
      <c r="Q12" s="518"/>
      <c r="R12" s="518"/>
      <c r="S12" s="518"/>
      <c r="T12" s="518"/>
      <c r="U12" s="518"/>
      <c r="V12" s="518"/>
      <c r="W12" s="518"/>
      <c r="X12" s="518"/>
      <c r="Y12" s="518"/>
      <c r="Z12" s="518"/>
      <c r="AA12" s="518"/>
      <c r="AB12" s="518"/>
      <c r="AC12" s="518"/>
      <c r="AD12" s="518"/>
      <c r="AE12" s="518"/>
      <c r="AF12" s="518"/>
      <c r="AG12" s="518"/>
      <c r="AH12" s="518"/>
      <c r="AI12" s="518"/>
      <c r="AJ12" s="518"/>
      <c r="AK12" s="518"/>
      <c r="AL12" s="518"/>
      <c r="AM12" s="518"/>
      <c r="AN12" s="518"/>
      <c r="AO12" s="518"/>
      <c r="AP12" s="518"/>
      <c r="AQ12" s="518"/>
      <c r="AR12" s="518"/>
      <c r="AS12" s="518"/>
      <c r="AT12" s="518"/>
      <c r="AU12" s="518"/>
      <c r="AV12" s="518"/>
      <c r="AW12" s="518"/>
      <c r="AX12" s="518"/>
      <c r="AY12" s="518"/>
      <c r="AZ12" s="518"/>
      <c r="BA12" s="518"/>
      <c r="BB12" s="518"/>
    </row>
    <row r="13" spans="1:54" s="1" customFormat="1" ht="31.5" customHeight="1">
      <c r="A13" s="136">
        <f>+A12</f>
        <v>12</v>
      </c>
      <c r="B13" s="255" t="s">
        <v>2320</v>
      </c>
      <c r="C13" s="839">
        <v>621</v>
      </c>
      <c r="D13" s="840" t="str">
        <f t="shared" si="0"/>
        <v>12.01.01.</v>
      </c>
      <c r="E13" s="836"/>
      <c r="F13" s="841" t="str">
        <f t="shared" ref="F13:F24" si="1">+D13</f>
        <v>12.01.01.</v>
      </c>
      <c r="G13" s="842" t="s">
        <v>2612</v>
      </c>
      <c r="H13" s="1091">
        <f>SUM(H14:H15)</f>
        <v>0</v>
      </c>
      <c r="I13" s="411"/>
      <c r="J13" s="518"/>
      <c r="K13" s="518"/>
      <c r="L13" s="518"/>
      <c r="M13" s="518"/>
      <c r="N13" s="518"/>
      <c r="O13" s="518"/>
      <c r="P13" s="518"/>
      <c r="Q13" s="518"/>
      <c r="R13" s="518"/>
      <c r="S13" s="518"/>
      <c r="T13" s="518"/>
      <c r="U13" s="518"/>
      <c r="V13" s="518"/>
      <c r="W13" s="518"/>
      <c r="X13" s="518"/>
      <c r="Y13" s="518"/>
      <c r="Z13" s="518"/>
      <c r="AA13" s="518"/>
      <c r="AB13" s="518"/>
      <c r="AC13" s="518"/>
      <c r="AD13" s="518"/>
      <c r="AE13" s="518"/>
      <c r="AF13" s="518"/>
      <c r="AG13" s="518"/>
      <c r="AH13" s="518"/>
      <c r="AI13" s="518"/>
      <c r="AJ13" s="518"/>
      <c r="AK13" s="518"/>
      <c r="AL13" s="518"/>
      <c r="AM13" s="518"/>
      <c r="AN13" s="518"/>
      <c r="AO13" s="518"/>
      <c r="AP13" s="518"/>
      <c r="AQ13" s="518"/>
      <c r="AR13" s="518"/>
      <c r="AS13" s="518"/>
      <c r="AT13" s="518"/>
      <c r="AU13" s="518"/>
      <c r="AV13" s="518"/>
      <c r="AW13" s="518"/>
      <c r="AX13" s="518"/>
      <c r="AY13" s="518"/>
      <c r="AZ13" s="518"/>
      <c r="BA13" s="518"/>
      <c r="BB13" s="518"/>
    </row>
    <row r="14" spans="1:54" s="1" customFormat="1" ht="31.5" customHeight="1">
      <c r="A14" s="136">
        <f t="shared" ref="A14:A24" si="2">+A13</f>
        <v>12</v>
      </c>
      <c r="B14" s="255" t="s">
        <v>2613</v>
      </c>
      <c r="C14" s="1659">
        <v>622</v>
      </c>
      <c r="D14" s="1660" t="str">
        <f t="shared" si="0"/>
        <v>12.01.01.01</v>
      </c>
      <c r="E14" s="836"/>
      <c r="F14" s="843" t="str">
        <f t="shared" si="1"/>
        <v>12.01.01.01</v>
      </c>
      <c r="G14" s="844" t="s">
        <v>2614</v>
      </c>
      <c r="H14" s="1092"/>
      <c r="I14" s="411"/>
      <c r="J14" s="518"/>
      <c r="K14" s="518"/>
      <c r="L14" s="518"/>
      <c r="M14" s="518"/>
      <c r="N14" s="518"/>
      <c r="O14" s="518"/>
      <c r="P14" s="518"/>
      <c r="Q14" s="518"/>
      <c r="R14" s="518"/>
      <c r="S14" s="518"/>
      <c r="T14" s="518"/>
      <c r="U14" s="518"/>
      <c r="V14" s="518"/>
      <c r="W14" s="518"/>
      <c r="X14" s="518"/>
      <c r="Y14" s="518"/>
      <c r="Z14" s="518"/>
      <c r="AA14" s="518"/>
      <c r="AB14" s="518"/>
      <c r="AC14" s="518"/>
      <c r="AD14" s="518"/>
      <c r="AE14" s="518"/>
      <c r="AF14" s="518"/>
      <c r="AG14" s="518"/>
      <c r="AH14" s="518"/>
      <c r="AI14" s="518"/>
      <c r="AJ14" s="518"/>
      <c r="AK14" s="518"/>
      <c r="AL14" s="518"/>
      <c r="AM14" s="518"/>
      <c r="AN14" s="518"/>
      <c r="AO14" s="518"/>
      <c r="AP14" s="518"/>
      <c r="AQ14" s="518"/>
      <c r="AR14" s="518"/>
      <c r="AS14" s="518"/>
      <c r="AT14" s="518"/>
      <c r="AU14" s="518"/>
      <c r="AV14" s="518"/>
      <c r="AW14" s="518"/>
      <c r="AX14" s="518"/>
      <c r="AY14" s="518"/>
      <c r="AZ14" s="518"/>
      <c r="BA14" s="518"/>
      <c r="BB14" s="518"/>
    </row>
    <row r="15" spans="1:54" s="1" customFormat="1" ht="31.5" customHeight="1">
      <c r="A15" s="136">
        <f t="shared" si="2"/>
        <v>12</v>
      </c>
      <c r="B15" s="255" t="s">
        <v>2615</v>
      </c>
      <c r="C15" s="1659">
        <v>623</v>
      </c>
      <c r="D15" s="1660" t="str">
        <f t="shared" si="0"/>
        <v>12.01.01.02</v>
      </c>
      <c r="E15" s="836"/>
      <c r="F15" s="1661" t="str">
        <f t="shared" si="1"/>
        <v>12.01.01.02</v>
      </c>
      <c r="G15" s="1662" t="s">
        <v>2616</v>
      </c>
      <c r="H15" s="1663"/>
      <c r="I15" s="411"/>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8"/>
      <c r="AO15" s="518"/>
      <c r="AP15" s="518"/>
      <c r="AQ15" s="518"/>
      <c r="AR15" s="518"/>
      <c r="AS15" s="518"/>
      <c r="AT15" s="518"/>
      <c r="AU15" s="518"/>
      <c r="AV15" s="518"/>
      <c r="AW15" s="518"/>
      <c r="AX15" s="518"/>
      <c r="AY15" s="518"/>
      <c r="AZ15" s="518"/>
      <c r="BA15" s="518"/>
      <c r="BB15" s="518"/>
    </row>
    <row r="16" spans="1:54" s="1" customFormat="1" ht="31.5" customHeight="1">
      <c r="A16" s="136">
        <f t="shared" si="2"/>
        <v>12</v>
      </c>
      <c r="B16" s="255" t="s">
        <v>2325</v>
      </c>
      <c r="C16" s="1532">
        <v>624</v>
      </c>
      <c r="D16" s="1554" t="str">
        <f t="shared" si="0"/>
        <v>12.01.02.</v>
      </c>
      <c r="E16" s="836"/>
      <c r="F16" s="1664" t="str">
        <f t="shared" si="1"/>
        <v>12.01.02.</v>
      </c>
      <c r="G16" s="1665" t="s">
        <v>2617</v>
      </c>
      <c r="H16" s="1666">
        <f>SUM(H17:H18)</f>
        <v>0</v>
      </c>
      <c r="I16" s="411"/>
      <c r="J16" s="518"/>
      <c r="K16" s="518"/>
      <c r="L16" s="518"/>
      <c r="M16" s="518"/>
      <c r="N16" s="518"/>
      <c r="O16" s="518"/>
      <c r="P16" s="518"/>
      <c r="Q16" s="518"/>
      <c r="R16" s="518"/>
      <c r="S16" s="518"/>
      <c r="T16" s="518"/>
      <c r="U16" s="518"/>
      <c r="V16" s="518"/>
      <c r="W16" s="518"/>
      <c r="X16" s="518"/>
      <c r="Y16" s="518"/>
      <c r="Z16" s="518"/>
      <c r="AA16" s="518"/>
      <c r="AB16" s="518"/>
      <c r="AC16" s="518"/>
      <c r="AD16" s="518"/>
      <c r="AE16" s="518"/>
      <c r="AF16" s="518"/>
      <c r="AG16" s="518"/>
      <c r="AH16" s="518"/>
      <c r="AI16" s="518"/>
      <c r="AJ16" s="518"/>
      <c r="AK16" s="518"/>
      <c r="AL16" s="518"/>
      <c r="AM16" s="518"/>
      <c r="AN16" s="518"/>
      <c r="AO16" s="518"/>
      <c r="AP16" s="518"/>
      <c r="AQ16" s="518"/>
      <c r="AR16" s="518"/>
      <c r="AS16" s="518"/>
      <c r="AT16" s="518"/>
      <c r="AU16" s="518"/>
      <c r="AV16" s="518"/>
      <c r="AW16" s="518"/>
      <c r="AX16" s="518"/>
      <c r="AY16" s="518"/>
      <c r="AZ16" s="518"/>
      <c r="BA16" s="518"/>
      <c r="BB16" s="518"/>
    </row>
    <row r="17" spans="1:54" s="1" customFormat="1" ht="31.5" customHeight="1">
      <c r="A17" s="136">
        <f t="shared" si="2"/>
        <v>12</v>
      </c>
      <c r="B17" s="255" t="s">
        <v>2618</v>
      </c>
      <c r="C17" s="1659">
        <v>625</v>
      </c>
      <c r="D17" s="1660" t="str">
        <f t="shared" si="0"/>
        <v>12.01.02.01</v>
      </c>
      <c r="E17" s="836"/>
      <c r="F17" s="843" t="str">
        <f t="shared" si="1"/>
        <v>12.01.02.01</v>
      </c>
      <c r="G17" s="844" t="s">
        <v>2614</v>
      </c>
      <c r="H17" s="1092"/>
      <c r="I17" s="411"/>
      <c r="J17" s="518"/>
      <c r="K17" s="518"/>
      <c r="L17" s="518"/>
      <c r="M17" s="518"/>
      <c r="N17" s="518"/>
      <c r="O17" s="518"/>
      <c r="P17" s="518"/>
      <c r="Q17" s="518"/>
      <c r="R17" s="518"/>
      <c r="S17" s="518"/>
      <c r="T17" s="518"/>
      <c r="U17" s="518"/>
      <c r="V17" s="518"/>
      <c r="W17" s="518"/>
      <c r="X17" s="518"/>
      <c r="Y17" s="518"/>
      <c r="Z17" s="518"/>
      <c r="AA17" s="518"/>
      <c r="AB17" s="518"/>
      <c r="AC17" s="518"/>
      <c r="AD17" s="518"/>
      <c r="AE17" s="518"/>
      <c r="AF17" s="518"/>
      <c r="AG17" s="518"/>
      <c r="AH17" s="518"/>
      <c r="AI17" s="518"/>
      <c r="AJ17" s="518"/>
      <c r="AK17" s="518"/>
      <c r="AL17" s="518"/>
      <c r="AM17" s="518"/>
      <c r="AN17" s="518"/>
      <c r="AO17" s="518"/>
      <c r="AP17" s="518"/>
      <c r="AQ17" s="518"/>
      <c r="AR17" s="518"/>
      <c r="AS17" s="518"/>
      <c r="AT17" s="518"/>
      <c r="AU17" s="518"/>
      <c r="AV17" s="518"/>
      <c r="AW17" s="518"/>
      <c r="AX17" s="518"/>
      <c r="AY17" s="518"/>
      <c r="AZ17" s="518"/>
      <c r="BA17" s="518"/>
      <c r="BB17" s="518"/>
    </row>
    <row r="18" spans="1:54" s="1" customFormat="1" ht="31.5" customHeight="1">
      <c r="A18" s="136">
        <f t="shared" si="2"/>
        <v>12</v>
      </c>
      <c r="B18" s="255" t="s">
        <v>2619</v>
      </c>
      <c r="C18" s="1667">
        <v>626</v>
      </c>
      <c r="D18" s="1668" t="str">
        <f t="shared" si="0"/>
        <v>12.01.02.02</v>
      </c>
      <c r="E18" s="836"/>
      <c r="F18" s="1661" t="str">
        <f t="shared" si="1"/>
        <v>12.01.02.02</v>
      </c>
      <c r="G18" s="1662" t="s">
        <v>2616</v>
      </c>
      <c r="H18" s="1663"/>
      <c r="I18" s="411"/>
      <c r="J18" s="518"/>
      <c r="K18" s="518"/>
      <c r="L18" s="518"/>
      <c r="M18" s="518"/>
      <c r="N18" s="518"/>
      <c r="O18" s="518"/>
      <c r="P18" s="518"/>
      <c r="Q18" s="518"/>
      <c r="R18" s="518"/>
      <c r="S18" s="518"/>
      <c r="T18" s="518"/>
      <c r="U18" s="518"/>
      <c r="V18" s="518"/>
      <c r="W18" s="518"/>
      <c r="X18" s="518"/>
      <c r="Y18" s="518"/>
      <c r="Z18" s="518"/>
      <c r="AA18" s="518"/>
      <c r="AB18" s="518"/>
      <c r="AC18" s="518"/>
      <c r="AD18" s="518"/>
      <c r="AE18" s="518"/>
      <c r="AF18" s="518"/>
      <c r="AG18" s="518"/>
      <c r="AH18" s="518"/>
      <c r="AI18" s="518"/>
      <c r="AJ18" s="518"/>
      <c r="AK18" s="518"/>
      <c r="AL18" s="518"/>
      <c r="AM18" s="518"/>
      <c r="AN18" s="518"/>
      <c r="AO18" s="518"/>
      <c r="AP18" s="518"/>
      <c r="AQ18" s="518"/>
      <c r="AR18" s="518"/>
      <c r="AS18" s="518"/>
      <c r="AT18" s="518"/>
      <c r="AU18" s="518"/>
      <c r="AV18" s="518"/>
      <c r="AW18" s="518"/>
      <c r="AX18" s="518"/>
      <c r="AY18" s="518"/>
      <c r="AZ18" s="518"/>
      <c r="BA18" s="518"/>
      <c r="BB18" s="518"/>
    </row>
    <row r="19" spans="1:54" s="1" customFormat="1" ht="45">
      <c r="A19" s="136">
        <f t="shared" si="2"/>
        <v>12</v>
      </c>
      <c r="B19" s="255" t="s">
        <v>2302</v>
      </c>
      <c r="C19" s="845">
        <v>630</v>
      </c>
      <c r="D19" s="846" t="str">
        <f t="shared" si="0"/>
        <v>12.02.</v>
      </c>
      <c r="E19" s="836"/>
      <c r="F19" s="847" t="str">
        <f t="shared" si="1"/>
        <v>12.02.</v>
      </c>
      <c r="G19" s="848" t="str">
        <f>"B. SALDOS EN EL PATRIMONIO POR DERIVADOS
     FINANCIEROS AL CIERRE DE "&amp;IF(TRIM=1,"MARZO",IF(TRIM=2,"JUNIO",IF(TRIM=3,"SETIEMBRE","DICIEMBRE")))</f>
        <v>B. SALDOS EN EL PATRIMONIO POR DERIVADOS
     FINANCIEROS AL CIERRE DE SETIEMBRE</v>
      </c>
      <c r="H19" s="1093">
        <f>SUM(H20:H21)</f>
        <v>0</v>
      </c>
      <c r="I19" s="411"/>
      <c r="J19" s="518"/>
      <c r="K19" s="518"/>
      <c r="L19" s="518"/>
      <c r="M19" s="518"/>
      <c r="N19" s="518"/>
      <c r="O19" s="518"/>
      <c r="P19" s="518"/>
      <c r="Q19" s="518"/>
      <c r="R19" s="518"/>
      <c r="S19" s="518"/>
      <c r="T19" s="518"/>
      <c r="U19" s="518"/>
      <c r="V19" s="518"/>
      <c r="W19" s="518"/>
      <c r="X19" s="518"/>
      <c r="Y19" s="518"/>
      <c r="Z19" s="518"/>
      <c r="AA19" s="518"/>
      <c r="AB19" s="518"/>
      <c r="AC19" s="518"/>
      <c r="AD19" s="518"/>
      <c r="AE19" s="518"/>
      <c r="AF19" s="518"/>
      <c r="AG19" s="518"/>
      <c r="AH19" s="518"/>
      <c r="AI19" s="518"/>
      <c r="AJ19" s="518"/>
      <c r="AK19" s="518"/>
      <c r="AL19" s="518"/>
      <c r="AM19" s="518"/>
      <c r="AN19" s="518"/>
      <c r="AO19" s="518"/>
      <c r="AP19" s="518"/>
      <c r="AQ19" s="518"/>
      <c r="AR19" s="518"/>
      <c r="AS19" s="518"/>
      <c r="AT19" s="518"/>
      <c r="AU19" s="518"/>
      <c r="AV19" s="518"/>
      <c r="AW19" s="518"/>
      <c r="AX19" s="518"/>
      <c r="AY19" s="518"/>
      <c r="AZ19" s="518"/>
      <c r="BA19" s="518"/>
      <c r="BB19" s="518"/>
    </row>
    <row r="20" spans="1:54" s="1" customFormat="1" ht="31.5" customHeight="1">
      <c r="A20" s="136">
        <f t="shared" si="2"/>
        <v>12</v>
      </c>
      <c r="B20" s="255" t="s">
        <v>2326</v>
      </c>
      <c r="C20" s="849">
        <v>631</v>
      </c>
      <c r="D20" s="850" t="str">
        <f t="shared" si="0"/>
        <v>12.02.01.</v>
      </c>
      <c r="E20" s="836"/>
      <c r="F20" s="843" t="str">
        <f t="shared" si="1"/>
        <v>12.02.01.</v>
      </c>
      <c r="G20" s="844" t="s">
        <v>2620</v>
      </c>
      <c r="H20" s="1092"/>
      <c r="I20" s="411"/>
      <c r="J20" s="518"/>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518"/>
      <c r="AK20" s="518"/>
      <c r="AL20" s="518"/>
      <c r="AM20" s="518"/>
      <c r="AN20" s="518"/>
      <c r="AO20" s="518"/>
      <c r="AP20" s="518"/>
      <c r="AQ20" s="518"/>
      <c r="AR20" s="518"/>
      <c r="AS20" s="518"/>
      <c r="AT20" s="518"/>
      <c r="AU20" s="518"/>
      <c r="AV20" s="518"/>
      <c r="AW20" s="518"/>
      <c r="AX20" s="518"/>
      <c r="AY20" s="518"/>
      <c r="AZ20" s="518"/>
      <c r="BA20" s="518"/>
      <c r="BB20" s="518"/>
    </row>
    <row r="21" spans="1:54" s="1" customFormat="1" ht="31.5" customHeight="1">
      <c r="A21" s="136">
        <f t="shared" si="2"/>
        <v>12</v>
      </c>
      <c r="B21" s="255" t="s">
        <v>2328</v>
      </c>
      <c r="C21" s="1667">
        <v>632</v>
      </c>
      <c r="D21" s="1668" t="str">
        <f t="shared" si="0"/>
        <v>12.02.02.</v>
      </c>
      <c r="E21" s="836"/>
      <c r="F21" s="1661" t="str">
        <f t="shared" si="1"/>
        <v>12.02.02.</v>
      </c>
      <c r="G21" s="1662" t="s">
        <v>2621</v>
      </c>
      <c r="H21" s="1663"/>
      <c r="I21" s="411"/>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518"/>
      <c r="AK21" s="518"/>
      <c r="AL21" s="518"/>
      <c r="AM21" s="518"/>
      <c r="AN21" s="518"/>
      <c r="AO21" s="518"/>
      <c r="AP21" s="518"/>
      <c r="AQ21" s="518"/>
      <c r="AR21" s="518"/>
      <c r="AS21" s="518"/>
      <c r="AT21" s="518"/>
      <c r="AU21" s="518"/>
      <c r="AV21" s="518"/>
      <c r="AW21" s="518"/>
      <c r="AX21" s="518"/>
      <c r="AY21" s="518"/>
      <c r="AZ21" s="518"/>
      <c r="BA21" s="518"/>
      <c r="BB21" s="518"/>
    </row>
    <row r="22" spans="1:54" s="1" customFormat="1" ht="53.25" customHeight="1">
      <c r="A22" s="136">
        <f t="shared" si="2"/>
        <v>12</v>
      </c>
      <c r="B22" s="255" t="s">
        <v>2439</v>
      </c>
      <c r="C22" s="845">
        <v>640</v>
      </c>
      <c r="D22" s="846" t="str">
        <f t="shared" si="0"/>
        <v>12.03.</v>
      </c>
      <c r="E22" s="836"/>
      <c r="F22" s="847" t="str">
        <f t="shared" si="1"/>
        <v>12.03.</v>
      </c>
      <c r="G22" s="848" t="str">
        <f>"C. FLUJOS DURANTE EL PERIODO EN EL ESTADO DE RESULTADOS POR
     DERIVADOS FINANCIEROS "&amp;Menu!E4&amp;" "&amp;D30&amp;"/"</f>
        <v>C. FLUJOS DURANTE EL PERIODO EN EL ESTADO DE RESULTADOS POR
     DERIVADOS FINANCIEROS (JUL - SET) 3/</v>
      </c>
      <c r="H22" s="1093">
        <f>SUM(H23:H24)</f>
        <v>0</v>
      </c>
      <c r="I22" s="411"/>
      <c r="J22" s="518"/>
      <c r="K22" s="518"/>
      <c r="L22" s="518"/>
      <c r="M22" s="518"/>
      <c r="N22" s="518"/>
      <c r="O22" s="518"/>
      <c r="P22" s="518"/>
      <c r="Q22" s="518"/>
      <c r="R22" s="518"/>
      <c r="S22" s="518"/>
      <c r="T22" s="518"/>
      <c r="U22" s="518"/>
      <c r="V22" s="518"/>
      <c r="W22" s="518"/>
      <c r="X22" s="518"/>
      <c r="Y22" s="518"/>
      <c r="Z22" s="518"/>
      <c r="AA22" s="518"/>
      <c r="AB22" s="518"/>
      <c r="AC22" s="518"/>
      <c r="AD22" s="518"/>
      <c r="AE22" s="518"/>
      <c r="AF22" s="518"/>
      <c r="AG22" s="518"/>
      <c r="AH22" s="518"/>
      <c r="AI22" s="518"/>
      <c r="AJ22" s="518"/>
      <c r="AK22" s="518"/>
      <c r="AL22" s="518"/>
      <c r="AM22" s="518"/>
      <c r="AN22" s="518"/>
      <c r="AO22" s="518"/>
      <c r="AP22" s="518"/>
      <c r="AQ22" s="518"/>
      <c r="AR22" s="518"/>
      <c r="AS22" s="518"/>
      <c r="AT22" s="518"/>
      <c r="AU22" s="518"/>
      <c r="AV22" s="518"/>
      <c r="AW22" s="518"/>
      <c r="AX22" s="518"/>
      <c r="AY22" s="518"/>
      <c r="AZ22" s="518"/>
      <c r="BA22" s="518"/>
      <c r="BB22" s="518"/>
    </row>
    <row r="23" spans="1:54" s="1" customFormat="1" ht="31.5" customHeight="1">
      <c r="A23" s="136">
        <f t="shared" si="2"/>
        <v>12</v>
      </c>
      <c r="B23" s="255" t="s">
        <v>2440</v>
      </c>
      <c r="C23" s="849">
        <v>641</v>
      </c>
      <c r="D23" s="850" t="str">
        <f t="shared" si="0"/>
        <v>12.03.00.01.</v>
      </c>
      <c r="E23" s="836"/>
      <c r="F23" s="843" t="str">
        <f t="shared" si="1"/>
        <v>12.03.00.01.</v>
      </c>
      <c r="G23" s="844" t="s">
        <v>2614</v>
      </c>
      <c r="H23" s="1092"/>
      <c r="I23" s="411"/>
      <c r="J23" s="518"/>
      <c r="K23" s="518"/>
      <c r="L23" s="518"/>
      <c r="M23" s="518"/>
      <c r="N23" s="518"/>
      <c r="O23" s="518"/>
      <c r="P23" s="518"/>
      <c r="Q23" s="518"/>
      <c r="R23" s="518"/>
      <c r="S23" s="518"/>
      <c r="T23" s="518"/>
      <c r="U23" s="518"/>
      <c r="V23" s="518"/>
      <c r="W23" s="518"/>
      <c r="X23" s="518"/>
      <c r="Y23" s="518"/>
      <c r="Z23" s="518"/>
      <c r="AA23" s="518"/>
      <c r="AB23" s="518"/>
      <c r="AC23" s="518"/>
      <c r="AD23" s="518"/>
      <c r="AE23" s="518"/>
      <c r="AF23" s="518"/>
      <c r="AG23" s="518"/>
      <c r="AH23" s="518"/>
      <c r="AI23" s="518"/>
      <c r="AJ23" s="518"/>
      <c r="AK23" s="518"/>
      <c r="AL23" s="518"/>
      <c r="AM23" s="518"/>
      <c r="AN23" s="518"/>
      <c r="AO23" s="518"/>
      <c r="AP23" s="518"/>
      <c r="AQ23" s="518"/>
      <c r="AR23" s="518"/>
      <c r="AS23" s="518"/>
      <c r="AT23" s="518"/>
      <c r="AU23" s="518"/>
      <c r="AV23" s="518"/>
      <c r="AW23" s="518"/>
      <c r="AX23" s="518"/>
      <c r="AY23" s="518"/>
      <c r="AZ23" s="518"/>
      <c r="BA23" s="518"/>
      <c r="BB23" s="518"/>
    </row>
    <row r="24" spans="1:54" s="1" customFormat="1" ht="31.5" customHeight="1" thickBot="1">
      <c r="A24" s="136">
        <f t="shared" si="2"/>
        <v>12</v>
      </c>
      <c r="B24" s="255" t="s">
        <v>2441</v>
      </c>
      <c r="C24" s="1669">
        <v>642</v>
      </c>
      <c r="D24" s="1670" t="str">
        <f t="shared" si="0"/>
        <v>12.03.00.02.</v>
      </c>
      <c r="E24" s="836"/>
      <c r="F24" s="1671" t="str">
        <f t="shared" si="1"/>
        <v>12.03.00.02.</v>
      </c>
      <c r="G24" s="1672" t="s">
        <v>2616</v>
      </c>
      <c r="H24" s="1673"/>
      <c r="I24" s="411"/>
      <c r="J24" s="518"/>
      <c r="K24" s="518"/>
      <c r="L24" s="518"/>
      <c r="M24" s="518"/>
      <c r="N24" s="518"/>
      <c r="O24" s="518"/>
      <c r="P24" s="518"/>
      <c r="Q24" s="518"/>
      <c r="R24" s="518"/>
      <c r="S24" s="518"/>
      <c r="T24" s="518"/>
      <c r="U24" s="518"/>
      <c r="V24" s="518"/>
      <c r="W24" s="518"/>
      <c r="X24" s="518"/>
      <c r="Y24" s="518"/>
      <c r="Z24" s="518"/>
      <c r="AA24" s="518"/>
      <c r="AB24" s="518"/>
      <c r="AC24" s="518"/>
      <c r="AD24" s="518"/>
      <c r="AE24" s="518"/>
      <c r="AF24" s="518"/>
      <c r="AG24" s="518"/>
      <c r="AH24" s="518"/>
      <c r="AI24" s="518"/>
      <c r="AJ24" s="518"/>
      <c r="AK24" s="518"/>
      <c r="AL24" s="518"/>
      <c r="AM24" s="518"/>
      <c r="AN24" s="518"/>
      <c r="AO24" s="518"/>
      <c r="AP24" s="518"/>
      <c r="AQ24" s="518"/>
      <c r="AR24" s="518"/>
      <c r="AS24" s="518"/>
      <c r="AT24" s="518"/>
      <c r="AU24" s="518"/>
      <c r="AV24" s="518"/>
      <c r="AW24" s="518"/>
      <c r="AX24" s="518"/>
      <c r="AY24" s="518"/>
      <c r="AZ24" s="518"/>
      <c r="BA24" s="518"/>
      <c r="BB24" s="518"/>
    </row>
    <row r="25" spans="1:54" s="1" customFormat="1" ht="11.25" customHeight="1">
      <c r="C25" s="528"/>
      <c r="D25" s="528"/>
      <c r="E25" s="836"/>
      <c r="F25" s="851"/>
      <c r="G25" s="852"/>
      <c r="H25" s="853"/>
      <c r="I25" s="518"/>
      <c r="J25" s="518"/>
      <c r="K25" s="518"/>
      <c r="L25" s="518"/>
      <c r="M25" s="518"/>
      <c r="N25" s="518"/>
      <c r="O25" s="518"/>
      <c r="P25" s="518"/>
      <c r="Q25" s="518"/>
      <c r="R25" s="518"/>
      <c r="S25" s="518"/>
      <c r="T25" s="518"/>
      <c r="U25" s="518"/>
      <c r="V25" s="518"/>
      <c r="W25" s="518"/>
      <c r="X25" s="518"/>
      <c r="Y25" s="518"/>
      <c r="Z25" s="518"/>
      <c r="AA25" s="518"/>
      <c r="AB25" s="518"/>
      <c r="AC25" s="518"/>
      <c r="AD25" s="518"/>
      <c r="AE25" s="518"/>
      <c r="AF25" s="518"/>
      <c r="AG25" s="518"/>
      <c r="AH25" s="518"/>
      <c r="AI25" s="518"/>
      <c r="AJ25" s="518"/>
      <c r="AK25" s="518"/>
      <c r="AL25" s="518"/>
      <c r="AM25" s="518"/>
      <c r="AN25" s="518"/>
      <c r="AO25" s="518"/>
      <c r="AP25" s="518"/>
      <c r="AQ25" s="518"/>
      <c r="AR25" s="518"/>
      <c r="AS25" s="518"/>
      <c r="AT25" s="518"/>
      <c r="AU25" s="518"/>
      <c r="AV25" s="518"/>
      <c r="AW25" s="518"/>
      <c r="AX25" s="518"/>
      <c r="AY25" s="518"/>
      <c r="AZ25" s="518"/>
      <c r="BA25" s="518"/>
      <c r="BB25" s="518"/>
    </row>
    <row r="26" spans="1:54" s="1" customFormat="1" ht="11.25" customHeight="1" thickBot="1">
      <c r="C26" s="528"/>
      <c r="D26" s="528"/>
      <c r="E26" s="836"/>
      <c r="F26" s="851"/>
      <c r="G26" s="852"/>
      <c r="H26" s="853"/>
      <c r="I26" s="518"/>
      <c r="J26" s="518"/>
      <c r="K26" s="518"/>
      <c r="L26" s="518"/>
      <c r="M26" s="518"/>
      <c r="N26" s="518"/>
      <c r="O26" s="518"/>
      <c r="P26" s="518"/>
      <c r="Q26" s="518"/>
      <c r="R26" s="518"/>
      <c r="S26" s="518"/>
      <c r="T26" s="518"/>
      <c r="U26" s="518"/>
      <c r="V26" s="518"/>
      <c r="W26" s="518"/>
      <c r="X26" s="518"/>
      <c r="Y26" s="518"/>
      <c r="Z26" s="518"/>
      <c r="AA26" s="518"/>
      <c r="AB26" s="518"/>
      <c r="AC26" s="518"/>
      <c r="AD26" s="518"/>
      <c r="AE26" s="518"/>
      <c r="AF26" s="518"/>
      <c r="AG26" s="518"/>
      <c r="AH26" s="518"/>
      <c r="AI26" s="518"/>
      <c r="AJ26" s="518"/>
      <c r="AK26" s="518"/>
      <c r="AL26" s="518"/>
      <c r="AM26" s="518"/>
      <c r="AN26" s="518"/>
      <c r="AO26" s="518"/>
      <c r="AP26" s="518"/>
      <c r="AQ26" s="518"/>
      <c r="AR26" s="518"/>
      <c r="AS26" s="518"/>
      <c r="AT26" s="518"/>
      <c r="AU26" s="518"/>
      <c r="AV26" s="518"/>
      <c r="AW26" s="518"/>
      <c r="AX26" s="518"/>
      <c r="AY26" s="518"/>
      <c r="AZ26" s="518"/>
      <c r="BA26" s="518"/>
      <c r="BB26" s="518"/>
    </row>
    <row r="27" spans="1:54" s="96" customFormat="1" ht="24" customHeight="1" thickTop="1">
      <c r="D27" s="854"/>
      <c r="F27" s="201" t="s">
        <v>2446</v>
      </c>
      <c r="G27" s="855"/>
      <c r="H27" s="856"/>
    </row>
    <row r="28" spans="1:54" s="1" customFormat="1" ht="26.25" customHeight="1">
      <c r="D28" s="854">
        <v>1</v>
      </c>
      <c r="E28" s="518"/>
      <c r="F28" s="828" t="s">
        <v>2622</v>
      </c>
      <c r="G28" s="857"/>
      <c r="H28" s="963"/>
      <c r="I28" s="518"/>
      <c r="J28" s="518"/>
      <c r="K28" s="518"/>
      <c r="L28" s="518"/>
      <c r="M28" s="518"/>
      <c r="N28" s="518"/>
      <c r="O28" s="518"/>
      <c r="P28" s="518"/>
      <c r="Q28" s="518"/>
      <c r="R28" s="518"/>
      <c r="S28" s="518"/>
      <c r="T28" s="518"/>
      <c r="U28" s="518"/>
      <c r="V28" s="518"/>
      <c r="W28" s="518"/>
      <c r="X28" s="518"/>
      <c r="Y28" s="518"/>
      <c r="Z28" s="518"/>
      <c r="AA28" s="518"/>
      <c r="AB28" s="518"/>
      <c r="AC28" s="518"/>
      <c r="AD28" s="518"/>
      <c r="AE28" s="518"/>
      <c r="AF28" s="518"/>
      <c r="AG28" s="518"/>
      <c r="AH28" s="518"/>
      <c r="AI28" s="518"/>
      <c r="AJ28" s="518"/>
      <c r="AK28" s="518"/>
      <c r="AL28" s="518"/>
      <c r="AM28" s="518"/>
      <c r="AN28" s="518"/>
      <c r="AO28" s="518"/>
      <c r="AP28" s="518"/>
      <c r="AQ28" s="518"/>
      <c r="AR28" s="518"/>
      <c r="AS28" s="518"/>
      <c r="AT28" s="518"/>
      <c r="AU28" s="518"/>
      <c r="AV28" s="518"/>
      <c r="AW28" s="518"/>
      <c r="AX28" s="518"/>
      <c r="AY28" s="518"/>
      <c r="AZ28" s="518"/>
      <c r="BA28" s="518"/>
      <c r="BB28" s="518"/>
    </row>
    <row r="29" spans="1:54" s="96" customFormat="1" ht="26.25" customHeight="1">
      <c r="D29" s="854">
        <v>2</v>
      </c>
      <c r="F29" s="828" t="s">
        <v>2623</v>
      </c>
      <c r="H29" s="858"/>
    </row>
    <row r="30" spans="1:54" s="96" customFormat="1" ht="26.25" customHeight="1" thickBot="1">
      <c r="D30" s="526">
        <v>3</v>
      </c>
      <c r="F30" s="829" t="s">
        <v>2624</v>
      </c>
      <c r="G30" s="859"/>
      <c r="H30" s="860"/>
    </row>
    <row r="31" spans="1:54" s="96" customFormat="1" ht="13.5" thickTop="1"/>
    <row r="32" spans="1:54" s="96" customFormat="1"/>
    <row r="33" s="96" customFormat="1"/>
    <row r="34" s="96" customFormat="1"/>
    <row r="35" s="96" customFormat="1"/>
    <row r="36" s="96" customFormat="1"/>
    <row r="37" s="96" customFormat="1"/>
    <row r="38" s="96" customFormat="1"/>
  </sheetData>
  <sheetProtection algorithmName="SHA-512" hashValue="y0VJc+pTK11cqZxsvRzqyzlnHFE0+GrCUXVQW7bRzNLUxyj8IOi+tCfQjuFxhp+sZRLesD2Rit3hzUfr+Y9nVw==" saltValue="XF+5IxALFrZO1VZFk2oMCQ==" spinCount="100000" sheet="1" objects="1" scenarios="1"/>
  <mergeCells count="3">
    <mergeCell ref="C9:D9"/>
    <mergeCell ref="F9:G10"/>
    <mergeCell ref="F8:H8"/>
  </mergeCells>
  <phoneticPr fontId="0" type="noConversion"/>
  <dataValidations disablePrompts="1" count="1">
    <dataValidation type="whole" allowBlank="1" showErrorMessage="1" errorTitle="INGRESE VALORES ENTEROS" error="Redondee si es necesario." sqref="H25:H27" xr:uid="{00000000-0002-0000-1100-000000000000}">
      <formula1>-99999999999999900000</formula1>
      <formula2>99999999999999900000</formula2>
    </dataValidation>
  </dataValidations>
  <printOptions horizontalCentered="1" headings="1"/>
  <pageMargins left="0.43307086614173229" right="0.31496062992125984" top="0.74803149606299213" bottom="0.55118110236220474" header="0.31496062992125984" footer="0.31496062992125984"/>
  <pageSetup paperSize="9" scale="63" orientation="landscape" r:id="rId1"/>
  <headerFooter>
    <oddFooter>&amp;L&amp;"Arial,Negrita"&amp;14&amp;D   &amp;T&amp;C&amp;"Arial,Negrita"&amp;14&amp;F&amp;R&amp;"Arial,Negrita"&amp;14&amp;A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51">
    <tabColor rgb="FF002060"/>
    <pageSetUpPr fitToPage="1"/>
  </sheetPr>
  <dimension ref="A1:BL101"/>
  <sheetViews>
    <sheetView showGridLines="0" topLeftCell="E3" zoomScale="40" zoomScaleNormal="40" workbookViewId="0">
      <pane xSplit="1" ySplit="4" topLeftCell="F7" activePane="bottomRight" state="frozen"/>
      <selection activeCell="H11" sqref="H11:XFD11"/>
      <selection pane="topRight" activeCell="H11" sqref="H11:XFD11"/>
      <selection pane="bottomLeft" activeCell="H11" sqref="H11:XFD11"/>
      <selection pane="bottomRight" activeCell="T26" sqref="T26"/>
    </sheetView>
  </sheetViews>
  <sheetFormatPr baseColWidth="10" defaultColWidth="11.42578125" defaultRowHeight="21"/>
  <cols>
    <col min="1" max="1" width="20.5703125" style="1006" hidden="1" customWidth="1"/>
    <col min="2" max="2" width="28.42578125" style="861" hidden="1" customWidth="1"/>
    <col min="3" max="3" width="21.42578125" hidden="1" customWidth="1"/>
    <col min="4" max="4" width="27.42578125" hidden="1" customWidth="1"/>
    <col min="5" max="5" width="4.85546875" style="96" customWidth="1"/>
    <col min="6" max="6" width="29.28515625" style="96" customWidth="1"/>
    <col min="7" max="7" width="129.7109375" style="96" customWidth="1"/>
    <col min="8" max="13" width="36.7109375" customWidth="1"/>
  </cols>
  <sheetData>
    <row r="1" spans="1:64" ht="23.25">
      <c r="F1" s="862" t="s">
        <v>2253</v>
      </c>
      <c r="G1" s="862"/>
      <c r="H1" s="311" t="s">
        <v>2254</v>
      </c>
      <c r="I1" s="311" t="s">
        <v>2255</v>
      </c>
      <c r="J1" s="311" t="s">
        <v>2256</v>
      </c>
      <c r="K1" s="311" t="s">
        <v>2257</v>
      </c>
      <c r="L1" s="311" t="s">
        <v>2258</v>
      </c>
      <c r="M1" s="311" t="s">
        <v>2259</v>
      </c>
    </row>
    <row r="2" spans="1:64" s="96" customFormat="1">
      <c r="A2" s="1007"/>
      <c r="B2" s="863"/>
    </row>
    <row r="3" spans="1:64" s="97" customFormat="1" ht="17.25" customHeight="1">
      <c r="A3" s="1008"/>
      <c r="B3" s="864"/>
      <c r="C3" s="98"/>
      <c r="D3" s="98"/>
      <c r="E3" s="98"/>
      <c r="F3" s="178"/>
      <c r="G3" s="178"/>
      <c r="H3" s="178"/>
      <c r="I3" s="178"/>
      <c r="J3" s="179"/>
      <c r="K3" s="180"/>
      <c r="L3" s="180"/>
      <c r="M3" s="178"/>
    </row>
    <row r="4" spans="1:64" s="97" customFormat="1" ht="35.25">
      <c r="A4" s="1008"/>
      <c r="B4" s="864"/>
      <c r="C4" s="98"/>
      <c r="D4" s="98"/>
      <c r="E4" s="98"/>
      <c r="F4" s="162" t="str">
        <f ca="1">$C$8&amp;" Derivados financieros: tenencias y transacciones entre residentes y no residentes"</f>
        <v>Tabla IV.2. Derivados financieros: tenencias y transacciones entre residentes y no residentes</v>
      </c>
      <c r="G4" s="162"/>
      <c r="H4" s="162"/>
      <c r="I4" s="160"/>
      <c r="J4" s="160"/>
      <c r="K4" s="161"/>
      <c r="L4" s="160"/>
      <c r="M4" s="160"/>
    </row>
    <row r="5" spans="1:64" s="97" customFormat="1" ht="38.25">
      <c r="A5" s="1008"/>
      <c r="B5" s="864"/>
      <c r="C5" s="98"/>
      <c r="D5" s="98"/>
      <c r="E5" s="98"/>
      <c r="F5" s="1138" t="s">
        <v>2625</v>
      </c>
      <c r="G5" s="169"/>
      <c r="H5" s="169"/>
      <c r="I5" s="160"/>
      <c r="J5" s="160"/>
      <c r="K5" s="161"/>
      <c r="L5" s="160"/>
      <c r="M5" s="160"/>
    </row>
    <row r="6" spans="1:64" s="97" customFormat="1" ht="54" customHeight="1">
      <c r="A6" s="1008"/>
      <c r="B6" s="864"/>
      <c r="C6" s="98"/>
      <c r="D6" s="98"/>
      <c r="E6" s="98"/>
      <c r="F6" s="2300" t="s">
        <v>2520</v>
      </c>
      <c r="G6" s="2300"/>
      <c r="H6" s="2300"/>
      <c r="I6" s="2300"/>
      <c r="J6" s="2300"/>
      <c r="K6" s="2300"/>
      <c r="L6" s="2300"/>
      <c r="M6" s="2300"/>
    </row>
    <row r="7" spans="1:64" ht="17.25" customHeight="1">
      <c r="H7" s="96"/>
      <c r="I7" s="96"/>
      <c r="J7" s="96"/>
      <c r="K7" s="96"/>
      <c r="L7" s="96"/>
      <c r="M7" s="96"/>
      <c r="N7" s="96"/>
      <c r="O7" s="96"/>
      <c r="P7" s="96"/>
      <c r="Q7" s="96"/>
      <c r="R7" s="96"/>
      <c r="S7" s="96"/>
      <c r="T7" s="96"/>
      <c r="U7" s="96"/>
      <c r="V7" s="96"/>
      <c r="W7" s="96"/>
      <c r="X7" s="96"/>
      <c r="Y7" s="96"/>
      <c r="Z7" s="96"/>
      <c r="AA7" s="96"/>
      <c r="AB7" s="96"/>
      <c r="AC7" s="96"/>
      <c r="AD7" s="96"/>
      <c r="AE7" s="96"/>
      <c r="AF7" s="96"/>
    </row>
    <row r="8" spans="1:64" s="1" customFormat="1" ht="46.5" customHeight="1" thickBot="1">
      <c r="A8" s="1006"/>
      <c r="B8" s="861"/>
      <c r="C8" s="130" t="str">
        <f ca="1">RIGHT(CELL("nombrearchivo",$A$2),LEN(CELL("nombrearchivo",$A$2))-SEARCH("]",CELL("nombrearchivo",$A$2)))</f>
        <v>Tabla IV.2.</v>
      </c>
      <c r="E8" s="518"/>
      <c r="F8" s="1078" t="str">
        <f>"Parte A. Flujos y posiciones del "&amp;Menu!D3&amp;"T"&amp;Menu!C3</f>
        <v>Parte A. Flujos y posiciones del 3T2025</v>
      </c>
      <c r="G8" s="1079"/>
      <c r="H8" s="1079"/>
      <c r="I8" s="1080"/>
      <c r="J8" s="1081"/>
      <c r="K8" s="1081"/>
      <c r="L8" s="1081"/>
      <c r="M8" s="1081"/>
      <c r="N8" s="518"/>
      <c r="O8" s="518"/>
      <c r="P8" s="518"/>
      <c r="Q8" s="518"/>
      <c r="R8" s="518"/>
      <c r="S8" s="518"/>
      <c r="T8" s="518"/>
      <c r="U8" s="518"/>
      <c r="V8" s="518"/>
      <c r="W8" s="518"/>
      <c r="X8" s="518"/>
      <c r="Y8" s="518"/>
      <c r="Z8" s="518"/>
      <c r="AA8" s="518"/>
      <c r="AB8" s="518"/>
      <c r="AC8" s="518"/>
      <c r="AD8" s="518"/>
      <c r="AE8" s="518"/>
      <c r="AF8" s="518"/>
      <c r="AG8" s="518"/>
      <c r="AH8" s="518"/>
      <c r="AI8" s="518"/>
      <c r="AJ8" s="518"/>
      <c r="AK8" s="518"/>
      <c r="AL8" s="518"/>
      <c r="AM8" s="518"/>
      <c r="AN8" s="518"/>
      <c r="AO8" s="518"/>
      <c r="AP8" s="518"/>
      <c r="AQ8" s="518"/>
      <c r="AR8" s="518"/>
      <c r="AS8" s="518"/>
      <c r="AT8" s="518"/>
      <c r="AU8" s="518"/>
      <c r="AV8" s="518"/>
      <c r="AW8" s="518"/>
      <c r="AX8" s="518"/>
      <c r="AY8" s="518"/>
      <c r="AZ8" s="518"/>
      <c r="BA8" s="518"/>
      <c r="BB8" s="518"/>
      <c r="BC8" s="518"/>
      <c r="BD8" s="518"/>
      <c r="BE8" s="518"/>
      <c r="BF8" s="518"/>
      <c r="BG8" s="518"/>
      <c r="BH8" s="518"/>
      <c r="BI8" s="518"/>
      <c r="BJ8" s="518"/>
      <c r="BK8" s="518"/>
      <c r="BL8" s="518"/>
    </row>
    <row r="9" spans="1:64" s="1" customFormat="1" ht="40.5" customHeight="1" thickTop="1" thickBot="1">
      <c r="A9" s="1006"/>
      <c r="B9" s="861"/>
      <c r="C9" s="2373" t="str">
        <f ca="1">RIGHT(CELL("nombrearchivo",$A$2),LEN(CELL("nombrearchivo",$A$2))-SEARCH("]",CELL("nombrearchivo",$A$2)))</f>
        <v>Tabla IV.2.</v>
      </c>
      <c r="D9" s="2374"/>
      <c r="E9" s="518"/>
      <c r="F9" s="1071" t="s">
        <v>2626</v>
      </c>
      <c r="G9" s="882"/>
      <c r="I9" s="865"/>
      <c r="J9" s="865"/>
      <c r="K9" s="865"/>
      <c r="L9" s="865"/>
      <c r="M9" s="865"/>
      <c r="N9" s="518"/>
      <c r="O9" s="518"/>
      <c r="P9" s="518"/>
      <c r="Q9" s="518"/>
      <c r="R9" s="518"/>
      <c r="S9" s="518"/>
      <c r="T9" s="518"/>
      <c r="U9" s="518"/>
      <c r="V9" s="518"/>
      <c r="W9" s="518"/>
      <c r="X9" s="518"/>
      <c r="Y9" s="518"/>
      <c r="Z9" s="518"/>
      <c r="AA9" s="518"/>
      <c r="AB9" s="518"/>
      <c r="AC9" s="518"/>
      <c r="AD9" s="518"/>
      <c r="AE9" s="518"/>
      <c r="AF9" s="518"/>
      <c r="AG9" s="518"/>
      <c r="AH9" s="518"/>
      <c r="AI9" s="518"/>
      <c r="AJ9" s="518"/>
      <c r="AK9" s="518"/>
      <c r="AL9" s="518"/>
      <c r="AM9" s="518"/>
      <c r="AN9" s="518"/>
      <c r="AO9" s="518"/>
      <c r="AP9" s="518"/>
      <c r="AQ9" s="518"/>
      <c r="AR9" s="518"/>
      <c r="AS9" s="518"/>
      <c r="AT9" s="518"/>
      <c r="AU9" s="518"/>
      <c r="AV9" s="518"/>
      <c r="AW9" s="518"/>
      <c r="AX9" s="518"/>
      <c r="AY9" s="518"/>
      <c r="AZ9" s="518"/>
      <c r="BA9" s="518"/>
      <c r="BB9" s="518"/>
      <c r="BC9" s="518"/>
      <c r="BD9" s="518"/>
      <c r="BE9" s="518"/>
      <c r="BF9" s="518"/>
      <c r="BG9" s="518"/>
      <c r="BH9" s="518"/>
      <c r="BI9" s="518"/>
      <c r="BJ9" s="518"/>
      <c r="BK9" s="518"/>
      <c r="BL9" s="518"/>
    </row>
    <row r="10" spans="1:64" s="523" customFormat="1" ht="119.25" customHeight="1" thickTop="1" thickBot="1">
      <c r="A10" s="871" t="s">
        <v>2261</v>
      </c>
      <c r="B10" s="872" t="s">
        <v>2262</v>
      </c>
      <c r="C10" s="806" t="s">
        <v>2171</v>
      </c>
      <c r="D10" s="807" t="s">
        <v>2172</v>
      </c>
      <c r="E10" s="522"/>
      <c r="F10" s="1068"/>
      <c r="G10" s="963"/>
      <c r="H10" s="2388" t="str">
        <f>"Transacciones del período "&amp;Menu!E4</f>
        <v>Transacciones del período (JUL - SET)</v>
      </c>
      <c r="I10" s="2389"/>
      <c r="J10" s="2380" t="str">
        <f>"Ingresos / Pagos en efectivo al momento de ejercer opciones que solo se liquidan en efectivo durante el periodo "&amp; Menu!E4</f>
        <v>Ingresos / Pagos en efectivo al momento de ejercer opciones que solo se liquidan en efectivo durante el periodo (JUL - SET)</v>
      </c>
      <c r="K10" s="2381"/>
      <c r="L10" s="2380" t="str">
        <f>"Posiciones pendientes al final 
del periodo al cierre de "&amp;IF(TRIM=1,"MARZO",IF(TRIM=2,"JUNIO",IF(TRIM=3,"SETIEMBRE","DICIEMBRE")))</f>
        <v>Posiciones pendientes al final 
del periodo al cierre de SETIEMBRE</v>
      </c>
      <c r="M10" s="2381"/>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2"/>
      <c r="BD10" s="522"/>
      <c r="BE10" s="522"/>
      <c r="BF10" s="522"/>
      <c r="BG10" s="522"/>
      <c r="BH10" s="522"/>
      <c r="BI10" s="522"/>
      <c r="BJ10" s="522"/>
      <c r="BK10" s="522"/>
      <c r="BL10" s="522"/>
    </row>
    <row r="11" spans="1:64" s="1" customFormat="1" ht="33.75" thickBot="1">
      <c r="A11" s="1006"/>
      <c r="B11" s="1015"/>
      <c r="C11" s="867"/>
      <c r="D11" s="867"/>
      <c r="E11" s="836"/>
      <c r="F11" s="1069"/>
      <c r="G11" s="1067"/>
      <c r="H11" s="868" t="s">
        <v>2627</v>
      </c>
      <c r="I11" s="869" t="s">
        <v>2628</v>
      </c>
      <c r="J11" s="868" t="s">
        <v>2140</v>
      </c>
      <c r="K11" s="870" t="s">
        <v>2629</v>
      </c>
      <c r="L11" s="868" t="s">
        <v>2630</v>
      </c>
      <c r="M11" s="870" t="s">
        <v>2631</v>
      </c>
      <c r="N11" s="518"/>
      <c r="O11" s="518"/>
      <c r="P11" s="518"/>
      <c r="Q11" s="518"/>
      <c r="R11" s="518"/>
      <c r="S11" s="518"/>
      <c r="T11" s="518"/>
      <c r="U11" s="518"/>
      <c r="V11" s="518"/>
      <c r="W11" s="518"/>
      <c r="X11" s="518"/>
      <c r="Y11" s="518"/>
      <c r="Z11" s="518"/>
      <c r="AA11" s="518"/>
      <c r="AB11" s="518"/>
      <c r="AC11" s="518"/>
      <c r="AD11" s="518"/>
      <c r="AE11" s="518"/>
      <c r="AF11" s="518"/>
      <c r="AG11" s="518"/>
      <c r="AH11" s="518"/>
      <c r="AI11" s="518"/>
      <c r="AJ11" s="518"/>
      <c r="AK11" s="518"/>
      <c r="AL11" s="518"/>
      <c r="AM11" s="518"/>
      <c r="AN11" s="518"/>
      <c r="AO11" s="518"/>
      <c r="AP11" s="518"/>
      <c r="AQ11" s="518"/>
      <c r="AR11" s="518"/>
      <c r="AS11" s="518"/>
      <c r="AT11" s="518"/>
      <c r="AU11" s="518"/>
      <c r="AV11" s="518"/>
      <c r="AW11" s="518"/>
      <c r="AX11" s="518"/>
      <c r="AY11" s="518"/>
      <c r="AZ11" s="518"/>
      <c r="BA11" s="518"/>
      <c r="BB11" s="518"/>
      <c r="BC11" s="518"/>
      <c r="BD11" s="518"/>
      <c r="BE11" s="518"/>
      <c r="BF11" s="518"/>
      <c r="BG11" s="518"/>
      <c r="BH11" s="518"/>
      <c r="BI11" s="518"/>
      <c r="BJ11" s="518"/>
      <c r="BK11" s="518"/>
      <c r="BL11" s="518"/>
    </row>
    <row r="12" spans="1:64" s="1" customFormat="1" ht="32.25" thickTop="1" thickBot="1">
      <c r="B12" s="1016"/>
      <c r="C12" s="874"/>
      <c r="D12" s="874"/>
      <c r="E12" s="836"/>
      <c r="F12" s="1010" t="s">
        <v>2169</v>
      </c>
      <c r="G12" s="1009" t="s">
        <v>2632</v>
      </c>
      <c r="H12" s="876" t="s">
        <v>2266</v>
      </c>
      <c r="I12" s="877" t="s">
        <v>2267</v>
      </c>
      <c r="J12" s="876" t="s">
        <v>2268</v>
      </c>
      <c r="K12" s="878" t="s">
        <v>2269</v>
      </c>
      <c r="L12" s="876" t="s">
        <v>2270</v>
      </c>
      <c r="M12" s="878" t="s">
        <v>2271</v>
      </c>
      <c r="N12" s="518"/>
      <c r="O12" s="518"/>
      <c r="P12" s="518"/>
      <c r="Q12" s="518"/>
      <c r="R12" s="518"/>
      <c r="S12" s="518"/>
      <c r="T12" s="518"/>
      <c r="U12" s="518"/>
      <c r="V12" s="518"/>
      <c r="W12" s="518"/>
      <c r="X12" s="518"/>
      <c r="Y12" s="518"/>
      <c r="Z12" s="518"/>
      <c r="AA12" s="518"/>
      <c r="AB12" s="518"/>
      <c r="AC12" s="518"/>
      <c r="AD12" s="518"/>
      <c r="AE12" s="518"/>
      <c r="AF12" s="518"/>
      <c r="AG12" s="518"/>
      <c r="AH12" s="518"/>
      <c r="AI12" s="518"/>
      <c r="AJ12" s="518"/>
      <c r="AK12" s="518"/>
      <c r="AL12" s="518"/>
      <c r="AM12" s="518"/>
      <c r="AN12" s="518"/>
      <c r="AO12" s="518"/>
      <c r="AP12" s="518"/>
      <c r="AQ12" s="518"/>
      <c r="AR12" s="518"/>
      <c r="AS12" s="518"/>
      <c r="AT12" s="518"/>
      <c r="AU12" s="518"/>
      <c r="AV12" s="518"/>
      <c r="AW12" s="518"/>
      <c r="AX12" s="518"/>
      <c r="AY12" s="518"/>
      <c r="AZ12" s="518"/>
      <c r="BA12" s="518"/>
      <c r="BB12" s="518"/>
      <c r="BC12" s="518"/>
      <c r="BD12" s="518"/>
      <c r="BE12" s="518"/>
      <c r="BF12" s="518"/>
      <c r="BG12" s="518"/>
      <c r="BH12" s="518"/>
      <c r="BI12" s="518"/>
      <c r="BJ12" s="518"/>
      <c r="BK12" s="518"/>
      <c r="BL12" s="518"/>
    </row>
    <row r="13" spans="1:64" s="1" customFormat="1" ht="37.5" customHeight="1" thickTop="1">
      <c r="A13" s="1011">
        <f>+'Tabla IV.1.'!A24+1</f>
        <v>13</v>
      </c>
      <c r="B13" s="1012" t="s">
        <v>2272</v>
      </c>
      <c r="C13" s="1014">
        <v>620</v>
      </c>
      <c r="D13" s="1013" t="str">
        <f t="shared" ref="D13:D18" si="0">CONCATENATE(A13,B13)</f>
        <v>13.01.</v>
      </c>
      <c r="E13" s="836"/>
      <c r="F13" s="1026" t="str">
        <f t="shared" ref="F13:F18" si="1">+D13</f>
        <v>13.01.</v>
      </c>
      <c r="G13" s="1044" t="s">
        <v>2633</v>
      </c>
      <c r="H13" s="1114">
        <f t="shared" ref="H13:M13" si="2">SUM(H14:H15)</f>
        <v>0</v>
      </c>
      <c r="I13" s="1115">
        <f t="shared" si="2"/>
        <v>0</v>
      </c>
      <c r="J13" s="1114">
        <f t="shared" si="2"/>
        <v>0</v>
      </c>
      <c r="K13" s="1115">
        <f t="shared" si="2"/>
        <v>0</v>
      </c>
      <c r="L13" s="1114">
        <f t="shared" si="2"/>
        <v>0</v>
      </c>
      <c r="M13" s="1116">
        <f t="shared" si="2"/>
        <v>0</v>
      </c>
      <c r="N13" s="518"/>
      <c r="O13" s="518"/>
      <c r="P13" s="518"/>
      <c r="Q13" s="518"/>
      <c r="R13" s="518"/>
      <c r="S13" s="518"/>
      <c r="T13" s="518"/>
      <c r="U13" s="518"/>
      <c r="V13" s="518"/>
      <c r="W13" s="518"/>
      <c r="X13" s="518"/>
      <c r="Y13" s="518"/>
      <c r="Z13" s="518"/>
      <c r="AA13" s="518"/>
      <c r="AB13" s="518"/>
      <c r="AC13" s="518"/>
      <c r="AD13" s="518"/>
      <c r="AE13" s="518"/>
      <c r="AF13" s="518"/>
      <c r="AG13" s="518"/>
      <c r="AH13" s="518"/>
      <c r="AI13" s="518"/>
      <c r="AJ13" s="518"/>
      <c r="AK13" s="518"/>
      <c r="AL13" s="518"/>
      <c r="AM13" s="518"/>
      <c r="AN13" s="518"/>
      <c r="AO13" s="518"/>
      <c r="AP13" s="518"/>
      <c r="AQ13" s="518"/>
      <c r="AR13" s="518"/>
      <c r="AS13" s="518"/>
      <c r="AT13" s="518"/>
      <c r="AU13" s="518"/>
      <c r="AV13" s="518"/>
      <c r="AW13" s="518"/>
      <c r="AX13" s="518"/>
      <c r="AY13" s="518"/>
      <c r="AZ13" s="518"/>
      <c r="BA13" s="518"/>
      <c r="BB13" s="518"/>
      <c r="BC13" s="518"/>
      <c r="BD13" s="518"/>
      <c r="BE13" s="518"/>
      <c r="BF13" s="518"/>
      <c r="BG13" s="518"/>
      <c r="BH13" s="518"/>
      <c r="BI13" s="518"/>
      <c r="BJ13" s="518"/>
      <c r="BK13" s="518"/>
      <c r="BL13" s="518"/>
    </row>
    <row r="14" spans="1:64" s="1" customFormat="1" ht="37.5" customHeight="1">
      <c r="A14" s="1674">
        <f>+A13</f>
        <v>13</v>
      </c>
      <c r="B14" s="1675" t="s">
        <v>2320</v>
      </c>
      <c r="C14" s="1675"/>
      <c r="D14" s="1676" t="str">
        <f t="shared" si="0"/>
        <v>13.01.01.</v>
      </c>
      <c r="E14" s="836"/>
      <c r="F14" s="1677" t="str">
        <f t="shared" si="1"/>
        <v>13.01.01.</v>
      </c>
      <c r="G14" s="1045" t="s">
        <v>2634</v>
      </c>
      <c r="H14" s="1678"/>
      <c r="I14" s="1679"/>
      <c r="J14" s="1678"/>
      <c r="K14" s="1679"/>
      <c r="L14" s="1678"/>
      <c r="M14" s="1680"/>
      <c r="N14" s="518"/>
      <c r="P14" s="518"/>
      <c r="Q14" s="518"/>
      <c r="R14" s="518"/>
      <c r="S14" s="518"/>
      <c r="T14" s="518"/>
      <c r="U14" s="518"/>
      <c r="V14" s="518"/>
      <c r="W14" s="518"/>
      <c r="X14" s="518"/>
      <c r="Y14" s="518"/>
      <c r="Z14" s="518"/>
      <c r="AA14" s="518"/>
      <c r="AB14" s="518"/>
      <c r="AC14" s="518"/>
      <c r="AD14" s="518"/>
      <c r="AE14" s="518"/>
      <c r="AF14" s="518"/>
      <c r="AG14" s="518"/>
      <c r="AH14" s="518"/>
      <c r="AI14" s="518"/>
      <c r="AJ14" s="518"/>
      <c r="AK14" s="518"/>
      <c r="AL14" s="518"/>
      <c r="AM14" s="518"/>
      <c r="AN14" s="518"/>
      <c r="AO14" s="518"/>
      <c r="AP14" s="518"/>
      <c r="AQ14" s="518"/>
      <c r="AR14" s="518"/>
      <c r="AS14" s="518"/>
      <c r="AT14" s="518"/>
      <c r="AU14" s="518"/>
      <c r="AV14" s="518"/>
      <c r="AW14" s="518"/>
      <c r="AX14" s="518"/>
      <c r="AY14" s="518"/>
      <c r="AZ14" s="518"/>
      <c r="BA14" s="518"/>
      <c r="BB14" s="518"/>
      <c r="BC14" s="518"/>
      <c r="BD14" s="518"/>
      <c r="BE14" s="518"/>
      <c r="BF14" s="518"/>
      <c r="BG14" s="518"/>
      <c r="BH14" s="518"/>
      <c r="BI14" s="518"/>
      <c r="BJ14" s="518"/>
      <c r="BK14" s="518"/>
      <c r="BL14" s="518"/>
    </row>
    <row r="15" spans="1:64" s="1" customFormat="1" ht="37.5" customHeight="1">
      <c r="A15" s="1674">
        <f>+A14</f>
        <v>13</v>
      </c>
      <c r="B15" s="1675" t="s">
        <v>2325</v>
      </c>
      <c r="C15" s="1675"/>
      <c r="D15" s="1676" t="str">
        <f t="shared" si="0"/>
        <v>13.01.02.</v>
      </c>
      <c r="E15" s="836"/>
      <c r="F15" s="1677" t="str">
        <f t="shared" si="1"/>
        <v>13.01.02.</v>
      </c>
      <c r="G15" s="1045" t="s">
        <v>2635</v>
      </c>
      <c r="H15" s="1678"/>
      <c r="I15" s="1679"/>
      <c r="J15" s="1678"/>
      <c r="K15" s="1679"/>
      <c r="L15" s="1678"/>
      <c r="M15" s="1680"/>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8"/>
      <c r="AO15" s="518"/>
      <c r="AP15" s="518"/>
      <c r="AQ15" s="518"/>
      <c r="AR15" s="518"/>
      <c r="AS15" s="518"/>
      <c r="AT15" s="518"/>
      <c r="AU15" s="518"/>
      <c r="AV15" s="518"/>
      <c r="AW15" s="518"/>
      <c r="AX15" s="518"/>
      <c r="AY15" s="518"/>
      <c r="AZ15" s="518"/>
      <c r="BA15" s="518"/>
      <c r="BB15" s="518"/>
      <c r="BC15" s="518"/>
      <c r="BD15" s="518"/>
      <c r="BE15" s="518"/>
      <c r="BF15" s="518"/>
      <c r="BG15" s="518"/>
      <c r="BH15" s="518"/>
      <c r="BI15" s="518"/>
      <c r="BJ15" s="518"/>
      <c r="BK15" s="518"/>
      <c r="BL15" s="518"/>
    </row>
    <row r="16" spans="1:64" s="1" customFormat="1" ht="37.5" customHeight="1">
      <c r="A16" s="1674">
        <f>+A15</f>
        <v>13</v>
      </c>
      <c r="B16" s="1675" t="s">
        <v>2459</v>
      </c>
      <c r="C16" s="1676"/>
      <c r="D16" s="1676" t="str">
        <f t="shared" si="0"/>
        <v>13.01.03.</v>
      </c>
      <c r="E16" s="836"/>
      <c r="F16" s="1681" t="str">
        <f t="shared" si="1"/>
        <v>13.01.03.</v>
      </c>
      <c r="G16" s="1682" t="s">
        <v>2636</v>
      </c>
      <c r="H16" s="1683">
        <f t="shared" ref="H16:M16" si="3">SUM(H17:H18)</f>
        <v>0</v>
      </c>
      <c r="I16" s="1684">
        <f t="shared" si="3"/>
        <v>0</v>
      </c>
      <c r="J16" s="1683">
        <f t="shared" si="3"/>
        <v>0</v>
      </c>
      <c r="K16" s="1684">
        <f t="shared" si="3"/>
        <v>0</v>
      </c>
      <c r="L16" s="1683">
        <f t="shared" si="3"/>
        <v>0</v>
      </c>
      <c r="M16" s="1685">
        <f t="shared" si="3"/>
        <v>0</v>
      </c>
      <c r="N16" s="518"/>
      <c r="O16" s="518"/>
      <c r="P16" s="518"/>
      <c r="Q16" s="518"/>
      <c r="R16" s="518"/>
      <c r="S16" s="518"/>
      <c r="T16" s="518"/>
      <c r="U16" s="518"/>
      <c r="V16" s="518"/>
      <c r="W16" s="518"/>
      <c r="X16" s="518"/>
      <c r="Y16" s="518"/>
      <c r="Z16" s="518"/>
      <c r="AA16" s="518"/>
      <c r="AB16" s="518"/>
      <c r="AC16" s="518"/>
      <c r="AD16" s="518"/>
      <c r="AE16" s="518"/>
      <c r="AF16" s="518"/>
      <c r="AG16" s="518"/>
      <c r="AH16" s="518"/>
      <c r="AI16" s="518"/>
      <c r="AJ16" s="518"/>
      <c r="AK16" s="518"/>
      <c r="AL16" s="518"/>
      <c r="AM16" s="518"/>
      <c r="AN16" s="518"/>
      <c r="AO16" s="518"/>
      <c r="AP16" s="518"/>
      <c r="AQ16" s="518"/>
      <c r="AR16" s="518"/>
      <c r="AS16" s="518"/>
      <c r="AT16" s="518"/>
      <c r="AU16" s="518"/>
      <c r="AV16" s="518"/>
      <c r="AW16" s="518"/>
      <c r="AX16" s="518"/>
      <c r="AY16" s="518"/>
      <c r="AZ16" s="518"/>
      <c r="BA16" s="518"/>
      <c r="BB16" s="518"/>
      <c r="BC16" s="518"/>
      <c r="BD16" s="518"/>
      <c r="BE16" s="518"/>
      <c r="BF16" s="518"/>
      <c r="BG16" s="518"/>
      <c r="BH16" s="518"/>
      <c r="BI16" s="518"/>
      <c r="BJ16" s="518"/>
      <c r="BK16" s="518"/>
      <c r="BL16" s="518"/>
    </row>
    <row r="17" spans="1:64" s="1" customFormat="1" ht="37.5" customHeight="1">
      <c r="A17" s="1674">
        <f>+A16</f>
        <v>13</v>
      </c>
      <c r="B17" s="1675" t="s">
        <v>2460</v>
      </c>
      <c r="C17" s="1676"/>
      <c r="D17" s="1676" t="str">
        <f t="shared" si="0"/>
        <v>13.01.03.01.</v>
      </c>
      <c r="E17" s="836"/>
      <c r="F17" s="1677" t="str">
        <f t="shared" si="1"/>
        <v>13.01.03.01.</v>
      </c>
      <c r="G17" s="1686" t="s">
        <v>2637</v>
      </c>
      <c r="H17" s="1678"/>
      <c r="I17" s="1679"/>
      <c r="J17" s="1678"/>
      <c r="K17" s="1679"/>
      <c r="L17" s="1678"/>
      <c r="M17" s="1680"/>
      <c r="N17" s="518"/>
      <c r="P17" s="518"/>
      <c r="Q17" s="518"/>
      <c r="R17" s="518"/>
      <c r="S17" s="518"/>
      <c r="T17" s="518"/>
      <c r="U17" s="518"/>
      <c r="V17" s="518"/>
      <c r="W17" s="518"/>
      <c r="X17" s="518"/>
      <c r="Y17" s="518"/>
      <c r="Z17" s="518"/>
      <c r="AA17" s="518"/>
      <c r="AB17" s="518"/>
      <c r="AC17" s="518"/>
      <c r="AD17" s="518"/>
      <c r="AE17" s="518"/>
      <c r="AF17" s="518"/>
      <c r="AG17" s="518"/>
      <c r="AH17" s="518"/>
      <c r="AI17" s="518"/>
      <c r="AJ17" s="518"/>
      <c r="AK17" s="518"/>
      <c r="AL17" s="518"/>
      <c r="AM17" s="518"/>
      <c r="AN17" s="518"/>
      <c r="AO17" s="518"/>
      <c r="AP17" s="518"/>
      <c r="AQ17" s="518"/>
      <c r="AR17" s="518"/>
      <c r="AS17" s="518"/>
      <c r="AT17" s="518"/>
      <c r="AU17" s="518"/>
      <c r="AV17" s="518"/>
      <c r="AW17" s="518"/>
      <c r="AX17" s="518"/>
      <c r="AY17" s="518"/>
      <c r="AZ17" s="518"/>
      <c r="BA17" s="518"/>
      <c r="BB17" s="518"/>
      <c r="BC17" s="518"/>
      <c r="BD17" s="518"/>
      <c r="BE17" s="518"/>
      <c r="BF17" s="518"/>
      <c r="BG17" s="518"/>
      <c r="BH17" s="518"/>
      <c r="BI17" s="518"/>
      <c r="BJ17" s="518"/>
      <c r="BK17" s="518"/>
      <c r="BL17" s="518"/>
    </row>
    <row r="18" spans="1:64" s="1" customFormat="1" ht="37.5" customHeight="1" thickBot="1">
      <c r="A18" s="1687">
        <f>+A17</f>
        <v>13</v>
      </c>
      <c r="B18" s="1688" t="s">
        <v>2461</v>
      </c>
      <c r="C18" s="1689"/>
      <c r="D18" s="1689" t="str">
        <f t="shared" si="0"/>
        <v>13.01.03.02.</v>
      </c>
      <c r="E18" s="836"/>
      <c r="F18" s="1690" t="str">
        <f t="shared" si="1"/>
        <v>13.01.03.02.</v>
      </c>
      <c r="G18" s="1140" t="s">
        <v>2638</v>
      </c>
      <c r="H18" s="1691"/>
      <c r="I18" s="1692"/>
      <c r="J18" s="1691"/>
      <c r="K18" s="1692"/>
      <c r="L18" s="1691"/>
      <c r="M18" s="1693"/>
      <c r="N18" s="518"/>
      <c r="P18" s="518"/>
      <c r="Q18" s="518"/>
      <c r="R18" s="518"/>
      <c r="S18" s="518"/>
      <c r="T18" s="518"/>
      <c r="U18" s="518"/>
      <c r="V18" s="518"/>
      <c r="W18" s="518"/>
      <c r="X18" s="518"/>
      <c r="Y18" s="518"/>
      <c r="Z18" s="518"/>
      <c r="AA18" s="518"/>
      <c r="AB18" s="518"/>
      <c r="AC18" s="518"/>
      <c r="AD18" s="518"/>
      <c r="AE18" s="518"/>
      <c r="AF18" s="518"/>
      <c r="AG18" s="518"/>
      <c r="AH18" s="518"/>
      <c r="AI18" s="518"/>
      <c r="AJ18" s="518"/>
      <c r="AK18" s="518"/>
      <c r="AL18" s="518"/>
      <c r="AM18" s="518"/>
      <c r="AN18" s="518"/>
      <c r="AO18" s="518"/>
      <c r="AP18" s="518"/>
      <c r="AQ18" s="518"/>
      <c r="AR18" s="518"/>
      <c r="AS18" s="518"/>
      <c r="AT18" s="518"/>
      <c r="AU18" s="518"/>
      <c r="AV18" s="518"/>
      <c r="AW18" s="518"/>
      <c r="AX18" s="518"/>
      <c r="AY18" s="518"/>
      <c r="AZ18" s="518"/>
      <c r="BA18" s="518"/>
      <c r="BB18" s="518"/>
      <c r="BC18" s="518"/>
      <c r="BD18" s="518"/>
      <c r="BE18" s="518"/>
      <c r="BF18" s="518"/>
      <c r="BG18" s="518"/>
      <c r="BH18" s="518"/>
      <c r="BI18" s="518"/>
      <c r="BJ18" s="518"/>
      <c r="BK18" s="518"/>
      <c r="BL18" s="518"/>
    </row>
    <row r="19" spans="1:64" s="1" customFormat="1" ht="20.25" customHeight="1" thickTop="1">
      <c r="A19" s="1006"/>
      <c r="B19" s="861"/>
      <c r="C19" s="528"/>
      <c r="D19" s="528"/>
      <c r="E19" s="836"/>
      <c r="F19" s="836"/>
      <c r="G19" s="836"/>
      <c r="H19" s="880"/>
      <c r="I19" s="880"/>
      <c r="J19" s="880"/>
      <c r="K19" s="880"/>
      <c r="L19" s="880"/>
      <c r="M19" s="880"/>
      <c r="N19" s="518"/>
      <c r="P19" s="518"/>
      <c r="Q19" s="518"/>
      <c r="R19" s="518"/>
      <c r="S19" s="518"/>
      <c r="T19" s="518"/>
      <c r="U19" s="518"/>
      <c r="V19" s="518"/>
      <c r="W19" s="518"/>
      <c r="X19" s="518"/>
      <c r="Y19" s="518"/>
      <c r="Z19" s="518"/>
      <c r="AA19" s="518"/>
      <c r="AB19" s="518"/>
      <c r="AC19" s="518"/>
      <c r="AD19" s="518"/>
      <c r="AE19" s="518"/>
      <c r="AF19" s="518"/>
      <c r="AG19" s="518"/>
      <c r="AH19" s="518"/>
      <c r="AI19" s="518"/>
      <c r="AJ19" s="518"/>
      <c r="AK19" s="518"/>
      <c r="AL19" s="518"/>
      <c r="AM19" s="518"/>
      <c r="AN19" s="518"/>
      <c r="AO19" s="518"/>
      <c r="AP19" s="518"/>
      <c r="AQ19" s="518"/>
      <c r="AR19" s="518"/>
      <c r="AS19" s="518"/>
      <c r="AT19" s="518"/>
      <c r="AU19" s="518"/>
      <c r="AV19" s="518"/>
      <c r="AW19" s="518"/>
      <c r="AX19" s="518"/>
      <c r="AY19" s="518"/>
      <c r="AZ19" s="518"/>
      <c r="BA19" s="518"/>
      <c r="BB19" s="518"/>
      <c r="BC19" s="518"/>
      <c r="BD19" s="518"/>
      <c r="BE19" s="518"/>
      <c r="BF19" s="518"/>
      <c r="BG19" s="518"/>
      <c r="BH19" s="518"/>
      <c r="BI19" s="518"/>
      <c r="BJ19" s="518"/>
      <c r="BK19" s="518"/>
      <c r="BL19" s="518"/>
    </row>
    <row r="20" spans="1:64" s="1" customFormat="1" ht="18.75" customHeight="1">
      <c r="A20" s="1006"/>
      <c r="B20" s="861"/>
      <c r="C20" s="528"/>
      <c r="D20" s="528"/>
      <c r="E20" s="836"/>
      <c r="F20" s="881"/>
      <c r="G20" s="881"/>
      <c r="H20" s="881"/>
      <c r="I20" s="881"/>
      <c r="J20" s="881"/>
      <c r="K20" s="881"/>
      <c r="L20" s="881"/>
      <c r="M20" s="881"/>
      <c r="N20" s="518"/>
      <c r="P20" s="518"/>
      <c r="Q20" s="518"/>
      <c r="R20" s="518"/>
      <c r="S20" s="518"/>
      <c r="T20" s="518"/>
      <c r="U20" s="518"/>
      <c r="V20" s="518"/>
      <c r="W20" s="518"/>
      <c r="X20" s="518"/>
      <c r="Y20" s="518"/>
      <c r="Z20" s="518"/>
      <c r="AA20" s="518"/>
      <c r="AB20" s="518"/>
      <c r="AC20" s="518"/>
      <c r="AD20" s="518"/>
      <c r="AE20" s="518"/>
      <c r="AF20" s="518"/>
      <c r="AG20" s="518"/>
      <c r="AH20" s="518"/>
      <c r="AI20" s="518"/>
      <c r="AJ20" s="518"/>
      <c r="AK20" s="518"/>
      <c r="AL20" s="518"/>
      <c r="AM20" s="518"/>
      <c r="AN20" s="518"/>
      <c r="AO20" s="518"/>
      <c r="AP20" s="518"/>
      <c r="AQ20" s="518"/>
      <c r="AR20" s="518"/>
      <c r="AS20" s="518"/>
      <c r="AT20" s="518"/>
      <c r="AU20" s="518"/>
      <c r="AV20" s="518"/>
      <c r="AW20" s="518"/>
      <c r="AX20" s="518"/>
      <c r="AY20" s="518"/>
      <c r="AZ20" s="518"/>
      <c r="BA20" s="518"/>
      <c r="BB20" s="518"/>
      <c r="BC20" s="518"/>
      <c r="BD20" s="518"/>
      <c r="BE20" s="518"/>
      <c r="BF20" s="518"/>
      <c r="BG20" s="518"/>
      <c r="BH20" s="518"/>
      <c r="BI20" s="518"/>
      <c r="BJ20" s="518"/>
      <c r="BK20" s="518"/>
      <c r="BL20" s="518"/>
    </row>
    <row r="21" spans="1:64" s="1" customFormat="1" ht="24" customHeight="1" thickBot="1">
      <c r="A21" s="1006"/>
      <c r="B21" s="861"/>
      <c r="C21" s="528"/>
      <c r="D21" s="528"/>
      <c r="E21" s="836"/>
      <c r="F21" s="836"/>
      <c r="G21" s="836"/>
      <c r="H21" s="880"/>
      <c r="I21" s="880"/>
      <c r="J21" s="880"/>
      <c r="K21" s="880"/>
      <c r="L21" s="880"/>
      <c r="M21" s="880"/>
      <c r="N21" s="518"/>
      <c r="P21" s="518"/>
      <c r="Q21" s="518"/>
      <c r="R21" s="518"/>
      <c r="S21" s="518"/>
      <c r="T21" s="518"/>
      <c r="U21" s="518"/>
      <c r="V21" s="518"/>
      <c r="W21" s="518"/>
      <c r="X21" s="518"/>
      <c r="Y21" s="518"/>
      <c r="Z21" s="518"/>
      <c r="AA21" s="518"/>
      <c r="AB21" s="518"/>
      <c r="AC21" s="518"/>
      <c r="AD21" s="518"/>
      <c r="AE21" s="518"/>
      <c r="AF21" s="518"/>
      <c r="AG21" s="518"/>
      <c r="AH21" s="518"/>
      <c r="AI21" s="518"/>
      <c r="AJ21" s="518"/>
      <c r="AK21" s="518"/>
      <c r="AL21" s="518"/>
      <c r="AM21" s="518"/>
      <c r="AN21" s="518"/>
      <c r="AO21" s="518"/>
      <c r="AP21" s="518"/>
      <c r="AQ21" s="518"/>
      <c r="AR21" s="518"/>
      <c r="AS21" s="518"/>
      <c r="AT21" s="518"/>
      <c r="AU21" s="518"/>
      <c r="AV21" s="518"/>
      <c r="AW21" s="518"/>
      <c r="AX21" s="518"/>
      <c r="AY21" s="518"/>
      <c r="AZ21" s="518"/>
      <c r="BA21" s="518"/>
      <c r="BB21" s="518"/>
      <c r="BC21" s="518"/>
      <c r="BD21" s="518"/>
      <c r="BE21" s="518"/>
      <c r="BF21" s="518"/>
      <c r="BG21" s="518"/>
      <c r="BH21" s="518"/>
      <c r="BI21" s="518"/>
      <c r="BJ21" s="518"/>
      <c r="BK21" s="518"/>
      <c r="BL21" s="518"/>
    </row>
    <row r="22" spans="1:64" s="1" customFormat="1" ht="39" customHeight="1" thickTop="1" thickBot="1">
      <c r="A22" s="1006"/>
      <c r="B22" s="861"/>
      <c r="C22" s="643"/>
      <c r="D22" s="643"/>
      <c r="E22" s="836"/>
      <c r="F22" s="1071" t="s">
        <v>2639</v>
      </c>
      <c r="G22" s="882"/>
      <c r="J22" s="883"/>
      <c r="K22" s="883"/>
      <c r="L22" s="883"/>
      <c r="M22" s="883"/>
      <c r="N22" s="518"/>
      <c r="O22" s="518"/>
      <c r="P22" s="518"/>
      <c r="Q22" s="518"/>
      <c r="R22" s="518"/>
      <c r="S22" s="518"/>
      <c r="T22" s="518"/>
      <c r="U22" s="518"/>
      <c r="V22" s="518"/>
      <c r="W22" s="518"/>
      <c r="X22" s="518"/>
      <c r="Y22" s="518"/>
      <c r="Z22" s="518"/>
      <c r="AA22" s="518"/>
      <c r="AB22" s="518"/>
      <c r="AC22" s="518"/>
      <c r="AD22" s="518"/>
      <c r="AE22" s="518"/>
      <c r="AF22" s="518"/>
      <c r="AG22" s="518"/>
      <c r="AH22" s="518"/>
      <c r="AI22" s="518"/>
      <c r="AJ22" s="518"/>
      <c r="AK22" s="518"/>
      <c r="AL22" s="518"/>
      <c r="AM22" s="518"/>
      <c r="AN22" s="518"/>
      <c r="AO22" s="518"/>
      <c r="AP22" s="518"/>
      <c r="AQ22" s="518"/>
      <c r="AR22" s="518"/>
      <c r="AS22" s="518"/>
      <c r="AT22" s="518"/>
      <c r="AU22" s="518"/>
      <c r="AV22" s="518"/>
      <c r="AW22" s="518"/>
      <c r="AX22" s="518"/>
      <c r="AY22" s="518"/>
      <c r="AZ22" s="518"/>
      <c r="BA22" s="518"/>
      <c r="BB22" s="518"/>
      <c r="BC22" s="518"/>
      <c r="BD22" s="518"/>
      <c r="BE22" s="518"/>
      <c r="BF22" s="518"/>
      <c r="BG22" s="518"/>
      <c r="BH22" s="518"/>
      <c r="BI22" s="518"/>
      <c r="BJ22" s="518"/>
      <c r="BK22" s="518"/>
      <c r="BL22" s="518"/>
    </row>
    <row r="23" spans="1:64" s="1" customFormat="1" ht="105" customHeight="1" thickTop="1" thickBot="1">
      <c r="A23" s="1006"/>
      <c r="B23" s="861"/>
      <c r="C23" s="2373" t="str">
        <f ca="1">RIGHT(CELL("nombrearchivo",$A$2),LEN(CELL("nombrearchivo",$A$2))-SEARCH("]",CELL("nombrearchivo",$A$2)))</f>
        <v>Tabla IV.2.</v>
      </c>
      <c r="D23" s="2374"/>
      <c r="E23" s="836"/>
      <c r="F23" s="1064"/>
      <c r="G23" s="1065"/>
      <c r="H23" s="2380" t="str">
        <f>"Ingresos / pagos acumulados durante el período como resultado 
de la variación del valor de los contratos de futuros y contratos a término, 
y por liquidaciones finales en efectivo durante el periodo "&amp;Menu!E4</f>
        <v>Ingresos / pagos acumulados durante el período como resultado 
de la variación del valor de los contratos de futuros y contratos a término, 
y por liquidaciones finales en efectivo durante el periodo (JUL - SET)</v>
      </c>
      <c r="I23" s="2390"/>
      <c r="J23" s="2390"/>
      <c r="K23" s="2381"/>
      <c r="L23" s="2403" t="str">
        <f>"Posiciones pendientes al 
final del periodo al cierre de "&amp;IF(TRIM=1,"MARZO",IF(TRIM=2,"JUNIO",IF(TRIM=3,"SETIEMBRE","DICIEMBRE")))</f>
        <v>Posiciones pendientes al 
final del periodo al cierre de SETIEMBRE</v>
      </c>
      <c r="M23" s="2381"/>
      <c r="N23" s="518"/>
      <c r="O23" s="518"/>
      <c r="P23" s="518"/>
      <c r="Q23" s="518"/>
      <c r="R23" s="518"/>
      <c r="S23" s="518"/>
      <c r="T23" s="518"/>
      <c r="U23" s="518"/>
      <c r="V23" s="518"/>
      <c r="W23" s="518"/>
      <c r="X23" s="518"/>
      <c r="Y23" s="518"/>
      <c r="Z23" s="518"/>
      <c r="AA23" s="518"/>
      <c r="AB23" s="518"/>
      <c r="AC23" s="518"/>
      <c r="AD23" s="518"/>
      <c r="AE23" s="518"/>
      <c r="AF23" s="518"/>
      <c r="AG23" s="518"/>
      <c r="AH23" s="518"/>
      <c r="AI23" s="518"/>
      <c r="AJ23" s="518"/>
      <c r="AK23" s="518"/>
      <c r="AL23" s="518"/>
      <c r="AM23" s="518"/>
      <c r="AN23" s="518"/>
      <c r="AO23" s="518"/>
      <c r="AP23" s="518"/>
      <c r="AQ23" s="518"/>
      <c r="AR23" s="518"/>
      <c r="AS23" s="518"/>
      <c r="AT23" s="518"/>
      <c r="AU23" s="518"/>
      <c r="AV23" s="518"/>
      <c r="AW23" s="518"/>
      <c r="AX23" s="518"/>
      <c r="AY23" s="518"/>
      <c r="AZ23" s="518"/>
      <c r="BA23" s="518"/>
      <c r="BB23" s="518"/>
      <c r="BC23" s="518"/>
      <c r="BD23" s="518"/>
      <c r="BE23" s="518"/>
      <c r="BF23" s="518"/>
      <c r="BG23" s="518"/>
      <c r="BH23" s="518"/>
      <c r="BI23" s="518"/>
      <c r="BJ23" s="518"/>
      <c r="BK23" s="518"/>
      <c r="BL23" s="518"/>
    </row>
    <row r="24" spans="1:64" s="1" customFormat="1" ht="31.5" customHeight="1" thickBot="1">
      <c r="A24" s="871" t="s">
        <v>2261</v>
      </c>
      <c r="B24" s="871" t="s">
        <v>2262</v>
      </c>
      <c r="C24" s="806" t="s">
        <v>2171</v>
      </c>
      <c r="D24" s="807" t="s">
        <v>2172</v>
      </c>
      <c r="E24" s="836"/>
      <c r="F24" s="1066"/>
      <c r="G24" s="1063"/>
      <c r="H24" s="2414" t="s">
        <v>2140</v>
      </c>
      <c r="I24" s="2415"/>
      <c r="J24" s="2384" t="s">
        <v>2629</v>
      </c>
      <c r="K24" s="2385"/>
      <c r="L24" s="1019" t="s">
        <v>2630</v>
      </c>
      <c r="M24" s="1003" t="s">
        <v>2631</v>
      </c>
      <c r="N24" s="518"/>
      <c r="O24" s="518"/>
      <c r="P24" s="518"/>
      <c r="Q24" s="518"/>
      <c r="R24" s="518"/>
      <c r="S24" s="518"/>
      <c r="T24" s="518"/>
      <c r="U24" s="518"/>
      <c r="V24" s="518"/>
      <c r="W24" s="518"/>
      <c r="X24" s="518"/>
      <c r="Y24" s="518"/>
      <c r="Z24" s="518"/>
      <c r="AA24" s="518"/>
      <c r="AB24" s="518"/>
      <c r="AC24" s="518"/>
      <c r="AD24" s="518"/>
      <c r="AE24" s="518"/>
      <c r="AF24" s="518"/>
      <c r="AG24" s="518"/>
      <c r="AH24" s="518"/>
      <c r="AI24" s="518"/>
      <c r="AJ24" s="518"/>
      <c r="AK24" s="518"/>
      <c r="AL24" s="518"/>
      <c r="AM24" s="518"/>
      <c r="AN24" s="518"/>
      <c r="AO24" s="518"/>
      <c r="AP24" s="518"/>
      <c r="AQ24" s="518"/>
      <c r="AR24" s="518"/>
      <c r="AS24" s="518"/>
      <c r="AT24" s="518"/>
      <c r="AU24" s="518"/>
      <c r="AV24" s="518"/>
      <c r="AW24" s="518"/>
      <c r="AX24" s="518"/>
      <c r="AY24" s="518"/>
      <c r="AZ24" s="518"/>
      <c r="BA24" s="518"/>
      <c r="BB24" s="518"/>
      <c r="BC24" s="518"/>
      <c r="BD24" s="518"/>
      <c r="BE24" s="518"/>
      <c r="BF24" s="518"/>
      <c r="BG24" s="518"/>
      <c r="BH24" s="518"/>
      <c r="BI24" s="518"/>
      <c r="BJ24" s="518"/>
      <c r="BK24" s="518"/>
      <c r="BL24" s="518"/>
    </row>
    <row r="25" spans="1:64" s="1" customFormat="1" ht="31.5" customHeight="1" thickTop="1" thickBot="1">
      <c r="A25" s="1006"/>
      <c r="B25" s="861"/>
      <c r="C25" s="1017"/>
      <c r="D25" s="1018"/>
      <c r="E25" s="836"/>
      <c r="F25" s="875" t="s">
        <v>2169</v>
      </c>
      <c r="G25" s="1009" t="str">
        <f t="shared" ref="G25:G31" si="4">G12</f>
        <v xml:space="preserve">UNIDAD DECLARANTE RESIDENTE Y TIPO DE OPERACIÓN </v>
      </c>
      <c r="H25" s="2386" t="s">
        <v>2266</v>
      </c>
      <c r="I25" s="2387"/>
      <c r="J25" s="2416" t="s">
        <v>2267</v>
      </c>
      <c r="K25" s="2417"/>
      <c r="L25" s="876" t="s">
        <v>2268</v>
      </c>
      <c r="M25" s="1004" t="s">
        <v>2269</v>
      </c>
      <c r="N25" s="518"/>
      <c r="O25" s="518"/>
      <c r="P25" s="518"/>
      <c r="Q25" s="518"/>
      <c r="R25" s="518"/>
      <c r="S25" s="518"/>
      <c r="T25" s="518"/>
      <c r="U25" s="518"/>
      <c r="V25" s="518"/>
      <c r="W25" s="518"/>
      <c r="X25" s="518"/>
      <c r="Y25" s="518"/>
      <c r="Z25" s="518"/>
      <c r="AA25" s="518"/>
      <c r="AB25" s="518"/>
      <c r="AC25" s="518"/>
      <c r="AD25" s="518"/>
      <c r="AE25" s="518"/>
      <c r="AF25" s="518"/>
      <c r="AG25" s="518"/>
      <c r="AH25" s="518"/>
      <c r="AI25" s="518"/>
      <c r="AJ25" s="518"/>
      <c r="AK25" s="518"/>
      <c r="AL25" s="518"/>
      <c r="AM25" s="518"/>
      <c r="AN25" s="518"/>
      <c r="AO25" s="518"/>
      <c r="AP25" s="518"/>
      <c r="AQ25" s="518"/>
      <c r="AR25" s="518"/>
      <c r="AS25" s="518"/>
      <c r="AT25" s="518"/>
      <c r="AU25" s="518"/>
      <c r="AV25" s="518"/>
      <c r="AW25" s="518"/>
      <c r="AX25" s="518"/>
      <c r="AY25" s="518"/>
      <c r="AZ25" s="518"/>
      <c r="BA25" s="518"/>
      <c r="BB25" s="518"/>
      <c r="BC25" s="518"/>
      <c r="BD25" s="518"/>
      <c r="BE25" s="518"/>
      <c r="BF25" s="518"/>
      <c r="BG25" s="518"/>
      <c r="BH25" s="518"/>
      <c r="BI25" s="518"/>
      <c r="BJ25" s="518"/>
      <c r="BK25" s="518"/>
      <c r="BL25" s="518"/>
    </row>
    <row r="26" spans="1:64" s="1" customFormat="1" ht="37.5" customHeight="1" thickTop="1">
      <c r="A26" s="1020">
        <f>+A13</f>
        <v>13</v>
      </c>
      <c r="B26" s="1021" t="s">
        <v>2302</v>
      </c>
      <c r="C26" s="1022">
        <v>620</v>
      </c>
      <c r="D26" s="1023" t="str">
        <f t="shared" ref="D26:D31" si="5">CONCATENATE(A26,B26)</f>
        <v>13.02.</v>
      </c>
      <c r="E26" s="836"/>
      <c r="F26" s="1025" t="str">
        <f t="shared" ref="F26:F31" si="6">+D26</f>
        <v>13.02.</v>
      </c>
      <c r="G26" s="1044" t="str">
        <f t="shared" si="4"/>
        <v>Empresa bancaria como contraparte frente a no residentes</v>
      </c>
      <c r="H26" s="2382">
        <f>SUM(H27:H28)</f>
        <v>0</v>
      </c>
      <c r="I26" s="2383"/>
      <c r="J26" s="2404">
        <f>SUM(J27:J28)</f>
        <v>0</v>
      </c>
      <c r="K26" s="2405"/>
      <c r="L26" s="1113">
        <f>SUM(L27:L28)</f>
        <v>0</v>
      </c>
      <c r="M26" s="1202">
        <f>SUM(M27:M28)</f>
        <v>0</v>
      </c>
      <c r="N26" s="411"/>
      <c r="O26" s="518"/>
      <c r="P26" s="518"/>
      <c r="Q26" s="518"/>
      <c r="R26" s="518"/>
      <c r="S26" s="518"/>
      <c r="T26" s="518"/>
      <c r="U26" s="518"/>
      <c r="V26" s="518"/>
      <c r="W26" s="518"/>
      <c r="X26" s="518"/>
      <c r="Y26" s="518"/>
      <c r="Z26" s="518"/>
      <c r="AA26" s="518"/>
      <c r="AB26" s="518"/>
      <c r="AC26" s="518"/>
      <c r="AD26" s="518"/>
      <c r="AE26" s="518"/>
      <c r="AF26" s="518"/>
      <c r="AG26" s="518"/>
      <c r="AH26" s="518"/>
      <c r="AI26" s="518"/>
      <c r="AJ26" s="518"/>
      <c r="AK26" s="518"/>
      <c r="AL26" s="518"/>
      <c r="AM26" s="518"/>
      <c r="AN26" s="518"/>
      <c r="AO26" s="518"/>
      <c r="AP26" s="518"/>
      <c r="AQ26" s="518"/>
      <c r="AR26" s="518"/>
      <c r="AS26" s="518"/>
      <c r="AT26" s="518"/>
      <c r="AU26" s="518"/>
      <c r="AV26" s="518"/>
      <c r="AW26" s="518"/>
      <c r="AX26" s="518"/>
      <c r="AY26" s="518"/>
      <c r="AZ26" s="518"/>
      <c r="BA26" s="518"/>
      <c r="BB26" s="518"/>
      <c r="BC26" s="518"/>
      <c r="BD26" s="518"/>
      <c r="BE26" s="518"/>
      <c r="BF26" s="518"/>
      <c r="BG26" s="518"/>
      <c r="BH26" s="518"/>
      <c r="BI26" s="518"/>
      <c r="BJ26" s="518"/>
      <c r="BK26" s="518"/>
      <c r="BL26" s="518"/>
    </row>
    <row r="27" spans="1:64" s="1" customFormat="1" ht="37.5" customHeight="1">
      <c r="A27" s="1694">
        <f>+A26</f>
        <v>13</v>
      </c>
      <c r="B27" s="1675" t="s">
        <v>2326</v>
      </c>
      <c r="C27" s="1676"/>
      <c r="D27" s="1676" t="str">
        <f t="shared" si="5"/>
        <v>13.02.01.</v>
      </c>
      <c r="E27" s="836"/>
      <c r="F27" s="1677" t="str">
        <f t="shared" si="6"/>
        <v>13.02.01.</v>
      </c>
      <c r="G27" s="1045" t="str">
        <f t="shared" si="4"/>
        <v>Operaciones de negociación</v>
      </c>
      <c r="H27" s="2395"/>
      <c r="I27" s="2396"/>
      <c r="J27" s="2399"/>
      <c r="K27" s="2400"/>
      <c r="L27" s="1696"/>
      <c r="M27" s="1695"/>
      <c r="N27" s="411"/>
      <c r="O27" s="518"/>
      <c r="P27" s="518"/>
      <c r="Q27" s="518"/>
      <c r="R27" s="518"/>
      <c r="S27" s="518"/>
      <c r="T27" s="518"/>
      <c r="U27" s="518"/>
      <c r="V27" s="518"/>
      <c r="W27" s="518"/>
      <c r="X27" s="518"/>
      <c r="Y27" s="518"/>
      <c r="Z27" s="518"/>
      <c r="AA27" s="518"/>
      <c r="AB27" s="518"/>
      <c r="AC27" s="518"/>
      <c r="AD27" s="518"/>
      <c r="AE27" s="518"/>
      <c r="AF27" s="518"/>
      <c r="AG27" s="518"/>
      <c r="AH27" s="518"/>
      <c r="AI27" s="518"/>
      <c r="AJ27" s="518"/>
      <c r="AK27" s="518"/>
      <c r="AL27" s="518"/>
      <c r="AM27" s="518"/>
      <c r="AN27" s="518"/>
      <c r="AO27" s="518"/>
      <c r="AP27" s="518"/>
      <c r="AQ27" s="518"/>
      <c r="AR27" s="518"/>
      <c r="AS27" s="518"/>
      <c r="AT27" s="518"/>
      <c r="AU27" s="518"/>
      <c r="AV27" s="518"/>
      <c r="AW27" s="518"/>
      <c r="AX27" s="518"/>
      <c r="AY27" s="518"/>
      <c r="AZ27" s="518"/>
      <c r="BA27" s="518"/>
      <c r="BB27" s="518"/>
      <c r="BC27" s="518"/>
      <c r="BD27" s="518"/>
      <c r="BE27" s="518"/>
      <c r="BF27" s="518"/>
      <c r="BG27" s="518"/>
      <c r="BH27" s="518"/>
      <c r="BI27" s="518"/>
      <c r="BJ27" s="518"/>
      <c r="BK27" s="518"/>
      <c r="BL27" s="518"/>
    </row>
    <row r="28" spans="1:64" s="1" customFormat="1" ht="37.5" customHeight="1">
      <c r="A28" s="1694">
        <f>+A27</f>
        <v>13</v>
      </c>
      <c r="B28" s="1675" t="s">
        <v>2328</v>
      </c>
      <c r="C28" s="1676"/>
      <c r="D28" s="1676" t="str">
        <f t="shared" si="5"/>
        <v>13.02.02.</v>
      </c>
      <c r="E28" s="836"/>
      <c r="F28" s="1677" t="str">
        <f t="shared" si="6"/>
        <v>13.02.02.</v>
      </c>
      <c r="G28" s="1045" t="str">
        <f t="shared" si="4"/>
        <v>Operaciones no de negociación (incluye operaciones de cobertura)</v>
      </c>
      <c r="H28" s="2406"/>
      <c r="I28" s="2407"/>
      <c r="J28" s="2412"/>
      <c r="K28" s="2413"/>
      <c r="L28" s="1698"/>
      <c r="M28" s="1697"/>
      <c r="N28" s="411"/>
      <c r="O28" s="518"/>
      <c r="P28" s="518"/>
      <c r="Q28" s="518"/>
      <c r="R28" s="518"/>
      <c r="S28" s="518"/>
      <c r="T28" s="518"/>
      <c r="U28" s="518"/>
      <c r="V28" s="518"/>
      <c r="W28" s="518"/>
      <c r="X28" s="518"/>
      <c r="Y28" s="518"/>
      <c r="Z28" s="518"/>
      <c r="AA28" s="518"/>
      <c r="AB28" s="518"/>
      <c r="AC28" s="518"/>
      <c r="AD28" s="518"/>
      <c r="AE28" s="518"/>
      <c r="AF28" s="518"/>
      <c r="AG28" s="518"/>
      <c r="AH28" s="518"/>
      <c r="AI28" s="518"/>
      <c r="AJ28" s="518"/>
      <c r="AK28" s="518"/>
      <c r="AL28" s="518"/>
      <c r="AM28" s="518"/>
      <c r="AN28" s="518"/>
      <c r="AO28" s="518"/>
      <c r="AP28" s="518"/>
      <c r="AQ28" s="518"/>
      <c r="AR28" s="518"/>
      <c r="AS28" s="518"/>
      <c r="AT28" s="518"/>
      <c r="AU28" s="518"/>
      <c r="AV28" s="518"/>
      <c r="AW28" s="518"/>
      <c r="AX28" s="518"/>
      <c r="AY28" s="518"/>
      <c r="AZ28" s="518"/>
      <c r="BA28" s="518"/>
      <c r="BB28" s="518"/>
      <c r="BC28" s="518"/>
      <c r="BD28" s="518"/>
      <c r="BE28" s="518"/>
      <c r="BF28" s="518"/>
      <c r="BG28" s="518"/>
      <c r="BH28" s="518"/>
      <c r="BI28" s="518"/>
      <c r="BJ28" s="518"/>
      <c r="BK28" s="518"/>
      <c r="BL28" s="518"/>
    </row>
    <row r="29" spans="1:64" s="1" customFormat="1" ht="37.5" customHeight="1">
      <c r="A29" s="1694">
        <f>+A28</f>
        <v>13</v>
      </c>
      <c r="B29" s="1675" t="s">
        <v>2640</v>
      </c>
      <c r="C29" s="1676"/>
      <c r="D29" s="1676" t="str">
        <f t="shared" si="5"/>
        <v>13.02.03.</v>
      </c>
      <c r="E29" s="836"/>
      <c r="F29" s="1681" t="str">
        <f t="shared" si="6"/>
        <v>13.02.03.</v>
      </c>
      <c r="G29" s="1682" t="str">
        <f t="shared" si="4"/>
        <v xml:space="preserve">Empresa no bancaria </v>
      </c>
      <c r="H29" s="2408">
        <f>SUM(H30:H31)</f>
        <v>0</v>
      </c>
      <c r="I29" s="2409"/>
      <c r="J29" s="2410">
        <f>SUM(J30:J31)</f>
        <v>0</v>
      </c>
      <c r="K29" s="2411"/>
      <c r="L29" s="1700">
        <f>SUM(L30:L31)</f>
        <v>0</v>
      </c>
      <c r="M29" s="1699">
        <f>SUM(M30:M31)</f>
        <v>0</v>
      </c>
      <c r="N29" s="411"/>
      <c r="O29" s="518"/>
      <c r="P29" s="518"/>
      <c r="Q29" s="518"/>
      <c r="R29" s="518"/>
      <c r="S29" s="518"/>
      <c r="T29" s="518"/>
      <c r="U29" s="518"/>
      <c r="V29" s="518"/>
      <c r="W29" s="518"/>
      <c r="X29" s="518"/>
      <c r="Y29" s="518"/>
      <c r="Z29" s="518"/>
      <c r="AA29" s="518"/>
      <c r="AB29" s="518"/>
      <c r="AC29" s="518"/>
      <c r="AD29" s="518"/>
      <c r="AE29" s="518"/>
      <c r="AF29" s="518"/>
      <c r="AG29" s="518"/>
      <c r="AH29" s="518"/>
      <c r="AI29" s="518"/>
      <c r="AJ29" s="518"/>
      <c r="AK29" s="518"/>
      <c r="AL29" s="518"/>
      <c r="AM29" s="518"/>
      <c r="AN29" s="518"/>
      <c r="AO29" s="518"/>
      <c r="AP29" s="518"/>
      <c r="AQ29" s="518"/>
      <c r="AR29" s="518"/>
      <c r="AS29" s="518"/>
      <c r="AT29" s="518"/>
      <c r="AU29" s="518"/>
      <c r="AV29" s="518"/>
      <c r="AW29" s="518"/>
      <c r="AX29" s="518"/>
      <c r="AY29" s="518"/>
      <c r="AZ29" s="518"/>
      <c r="BA29" s="518"/>
      <c r="BB29" s="518"/>
      <c r="BC29" s="518"/>
      <c r="BD29" s="518"/>
      <c r="BE29" s="518"/>
      <c r="BF29" s="518"/>
      <c r="BG29" s="518"/>
      <c r="BH29" s="518"/>
      <c r="BI29" s="518"/>
      <c r="BJ29" s="518"/>
      <c r="BK29" s="518"/>
      <c r="BL29" s="518"/>
    </row>
    <row r="30" spans="1:64" s="1" customFormat="1" ht="37.5" customHeight="1">
      <c r="A30" s="1694">
        <f>+A29</f>
        <v>13</v>
      </c>
      <c r="B30" s="1675" t="s">
        <v>2641</v>
      </c>
      <c r="C30" s="1676"/>
      <c r="D30" s="1676" t="str">
        <f t="shared" si="5"/>
        <v>13.02.03.01.</v>
      </c>
      <c r="E30" s="836"/>
      <c r="F30" s="1677" t="str">
        <f t="shared" si="6"/>
        <v>13.02.03.01.</v>
      </c>
      <c r="G30" s="1686" t="str">
        <f t="shared" si="4"/>
        <v>Operaciones con contraparte no residente</v>
      </c>
      <c r="H30" s="2395"/>
      <c r="I30" s="2396"/>
      <c r="J30" s="2399"/>
      <c r="K30" s="2400"/>
      <c r="L30" s="1696"/>
      <c r="M30" s="1695"/>
      <c r="N30" s="411"/>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518"/>
      <c r="AL30" s="518"/>
      <c r="AM30" s="518"/>
      <c r="AN30" s="518"/>
      <c r="AO30" s="518"/>
      <c r="AP30" s="518"/>
      <c r="AQ30" s="518"/>
      <c r="AR30" s="518"/>
      <c r="AS30" s="518"/>
      <c r="AT30" s="518"/>
      <c r="AU30" s="518"/>
      <c r="AV30" s="518"/>
      <c r="AW30" s="518"/>
      <c r="AX30" s="518"/>
      <c r="AY30" s="518"/>
      <c r="AZ30" s="518"/>
      <c r="BA30" s="518"/>
      <c r="BB30" s="518"/>
      <c r="BC30" s="518"/>
      <c r="BD30" s="518"/>
      <c r="BE30" s="518"/>
      <c r="BF30" s="518"/>
      <c r="BG30" s="518"/>
      <c r="BH30" s="518"/>
      <c r="BI30" s="518"/>
      <c r="BJ30" s="518"/>
      <c r="BK30" s="518"/>
      <c r="BL30" s="518"/>
    </row>
    <row r="31" spans="1:64" s="1" customFormat="1" ht="37.5" customHeight="1" thickBot="1">
      <c r="A31" s="1701">
        <f>+A30</f>
        <v>13</v>
      </c>
      <c r="B31" s="1702" t="s">
        <v>2642</v>
      </c>
      <c r="C31" s="1703"/>
      <c r="D31" s="1703" t="str">
        <f t="shared" si="5"/>
        <v>13.02.03.02.</v>
      </c>
      <c r="E31" s="836"/>
      <c r="F31" s="1690" t="str">
        <f t="shared" si="6"/>
        <v>13.02.03.02.</v>
      </c>
      <c r="G31" s="1140" t="str">
        <f t="shared" si="4"/>
        <v>Operaciones con contraparte inmediata residente (p.ej. con la banca local)</v>
      </c>
      <c r="H31" s="2397"/>
      <c r="I31" s="2398"/>
      <c r="J31" s="2401"/>
      <c r="K31" s="2402"/>
      <c r="L31" s="1705"/>
      <c r="M31" s="1704"/>
      <c r="N31" s="411"/>
      <c r="O31" s="518"/>
      <c r="P31" s="518"/>
      <c r="Q31" s="518"/>
      <c r="R31" s="518"/>
      <c r="S31" s="518"/>
      <c r="T31" s="518"/>
      <c r="U31" s="518"/>
      <c r="V31" s="518"/>
      <c r="W31" s="518"/>
      <c r="X31" s="518"/>
      <c r="Y31" s="518"/>
      <c r="Z31" s="518"/>
      <c r="AA31" s="518"/>
      <c r="AB31" s="518"/>
      <c r="AC31" s="518"/>
      <c r="AD31" s="518"/>
      <c r="AE31" s="518"/>
      <c r="AF31" s="518"/>
      <c r="AG31" s="518"/>
      <c r="AH31" s="518"/>
      <c r="AI31" s="518"/>
      <c r="AJ31" s="518"/>
      <c r="AK31" s="518"/>
      <c r="AL31" s="518"/>
      <c r="AM31" s="518"/>
      <c r="AN31" s="518"/>
      <c r="AO31" s="518"/>
      <c r="AP31" s="518"/>
      <c r="AQ31" s="518"/>
      <c r="AR31" s="518"/>
      <c r="AS31" s="518"/>
      <c r="AT31" s="518"/>
      <c r="AU31" s="518"/>
      <c r="AV31" s="518"/>
      <c r="AW31" s="518"/>
      <c r="AX31" s="518"/>
      <c r="AY31" s="518"/>
      <c r="AZ31" s="518"/>
      <c r="BA31" s="518"/>
      <c r="BB31" s="518"/>
      <c r="BC31" s="518"/>
      <c r="BD31" s="518"/>
      <c r="BE31" s="518"/>
      <c r="BF31" s="518"/>
      <c r="BG31" s="518"/>
      <c r="BH31" s="518"/>
      <c r="BI31" s="518"/>
      <c r="BJ31" s="518"/>
      <c r="BK31" s="518"/>
      <c r="BL31" s="518"/>
    </row>
    <row r="32" spans="1:64" s="1" customFormat="1" ht="18.75" customHeight="1">
      <c r="A32" s="1006"/>
      <c r="B32" s="861"/>
      <c r="C32" s="528"/>
      <c r="D32" s="528"/>
      <c r="E32" s="836"/>
      <c r="F32" s="836"/>
      <c r="G32" s="836"/>
      <c r="H32" s="880"/>
      <c r="I32" s="880"/>
      <c r="J32" s="880"/>
      <c r="K32" s="880"/>
      <c r="L32" s="880"/>
      <c r="M32" s="880"/>
      <c r="N32" s="411"/>
      <c r="O32" s="518"/>
      <c r="P32" s="518"/>
      <c r="Q32" s="518"/>
      <c r="R32" s="518"/>
      <c r="S32" s="518"/>
      <c r="T32" s="518"/>
      <c r="U32" s="518"/>
      <c r="V32" s="518"/>
      <c r="W32" s="518"/>
      <c r="X32" s="518"/>
      <c r="Y32" s="518"/>
      <c r="Z32" s="518"/>
      <c r="AA32" s="518"/>
      <c r="AB32" s="518"/>
      <c r="AC32" s="518"/>
      <c r="AD32" s="518"/>
      <c r="AE32" s="518"/>
      <c r="AF32" s="518"/>
      <c r="AG32" s="518"/>
      <c r="AH32" s="518"/>
      <c r="AI32" s="518"/>
      <c r="AJ32" s="518"/>
      <c r="AK32" s="518"/>
      <c r="AL32" s="518"/>
      <c r="AM32" s="518"/>
      <c r="AN32" s="518"/>
      <c r="AO32" s="518"/>
      <c r="AP32" s="518"/>
      <c r="AQ32" s="518"/>
      <c r="AR32" s="518"/>
      <c r="AS32" s="518"/>
      <c r="AT32" s="518"/>
      <c r="AU32" s="518"/>
      <c r="AV32" s="518"/>
      <c r="AW32" s="518"/>
      <c r="AX32" s="518"/>
      <c r="AY32" s="518"/>
      <c r="AZ32" s="518"/>
      <c r="BA32" s="518"/>
      <c r="BB32" s="518"/>
      <c r="BC32" s="518"/>
      <c r="BD32" s="518"/>
      <c r="BE32" s="518"/>
      <c r="BF32" s="518"/>
      <c r="BG32" s="518"/>
      <c r="BH32" s="518"/>
      <c r="BI32" s="518"/>
      <c r="BJ32" s="518"/>
      <c r="BK32" s="518"/>
      <c r="BL32" s="518"/>
    </row>
    <row r="33" spans="1:64" s="1" customFormat="1" ht="18.75" customHeight="1">
      <c r="A33" s="1006"/>
      <c r="B33" s="861"/>
      <c r="C33" s="528"/>
      <c r="D33" s="528"/>
      <c r="E33" s="836"/>
      <c r="F33" s="881"/>
      <c r="G33" s="881"/>
      <c r="H33" s="881"/>
      <c r="I33" s="881"/>
      <c r="J33" s="881"/>
      <c r="K33" s="881"/>
      <c r="L33" s="881"/>
      <c r="M33" s="881"/>
      <c r="N33" s="518"/>
      <c r="O33" s="518"/>
      <c r="P33" s="518"/>
      <c r="Q33" s="518"/>
      <c r="R33" s="518"/>
      <c r="S33" s="518"/>
      <c r="T33" s="518"/>
      <c r="U33" s="518"/>
      <c r="V33" s="518"/>
      <c r="W33" s="518"/>
      <c r="X33" s="518"/>
      <c r="Y33" s="518"/>
      <c r="Z33" s="518"/>
      <c r="AA33" s="518"/>
      <c r="AB33" s="518"/>
      <c r="AC33" s="518"/>
      <c r="AD33" s="518"/>
      <c r="AE33" s="518"/>
      <c r="AF33" s="518"/>
      <c r="AG33" s="518"/>
      <c r="AH33" s="518"/>
      <c r="AI33" s="518"/>
      <c r="AJ33" s="518"/>
      <c r="AK33" s="518"/>
      <c r="AL33" s="518"/>
      <c r="AM33" s="518"/>
      <c r="AN33" s="518"/>
      <c r="AO33" s="518"/>
      <c r="AP33" s="518"/>
      <c r="AQ33" s="518"/>
      <c r="AR33" s="518"/>
      <c r="AS33" s="518"/>
      <c r="AT33" s="518"/>
      <c r="AU33" s="518"/>
      <c r="AV33" s="518"/>
      <c r="AW33" s="518"/>
      <c r="AX33" s="518"/>
      <c r="AY33" s="518"/>
      <c r="AZ33" s="518"/>
      <c r="BA33" s="518"/>
      <c r="BB33" s="518"/>
      <c r="BC33" s="518"/>
      <c r="BD33" s="518"/>
      <c r="BE33" s="518"/>
      <c r="BF33" s="518"/>
      <c r="BG33" s="518"/>
      <c r="BH33" s="518"/>
      <c r="BI33" s="518"/>
      <c r="BJ33" s="518"/>
      <c r="BK33" s="518"/>
      <c r="BL33" s="518"/>
    </row>
    <row r="34" spans="1:64" s="1" customFormat="1" ht="19.5" customHeight="1" thickBot="1">
      <c r="A34" s="1006"/>
      <c r="B34" s="861"/>
      <c r="C34" s="528"/>
      <c r="D34" s="528"/>
      <c r="E34" s="836"/>
      <c r="F34" s="836"/>
      <c r="G34" s="836"/>
      <c r="H34" s="880"/>
      <c r="I34" s="880"/>
      <c r="J34" s="880"/>
      <c r="K34" s="880"/>
      <c r="L34" s="880"/>
      <c r="M34" s="880"/>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c r="AN34" s="518"/>
      <c r="AO34" s="518"/>
      <c r="AP34" s="518"/>
      <c r="AQ34" s="518"/>
      <c r="AR34" s="518"/>
      <c r="AS34" s="518"/>
      <c r="AT34" s="518"/>
      <c r="AU34" s="518"/>
      <c r="AV34" s="518"/>
      <c r="AW34" s="518"/>
      <c r="AX34" s="518"/>
      <c r="AY34" s="518"/>
      <c r="AZ34" s="518"/>
      <c r="BA34" s="518"/>
      <c r="BB34" s="518"/>
      <c r="BC34" s="518"/>
      <c r="BD34" s="518"/>
      <c r="BE34" s="518"/>
      <c r="BF34" s="518"/>
      <c r="BG34" s="518"/>
      <c r="BH34" s="518"/>
      <c r="BI34" s="518"/>
      <c r="BJ34" s="518"/>
      <c r="BK34" s="518"/>
      <c r="BL34" s="518"/>
    </row>
    <row r="35" spans="1:64" s="1" customFormat="1" ht="44.25" customHeight="1" thickTop="1" thickBot="1">
      <c r="A35" s="1006"/>
      <c r="B35" s="861"/>
      <c r="C35" s="528"/>
      <c r="D35" s="528"/>
      <c r="E35" s="836"/>
      <c r="F35" s="1071" t="s">
        <v>2643</v>
      </c>
      <c r="G35" s="882"/>
      <c r="I35" s="883"/>
      <c r="J35" s="883"/>
      <c r="K35" s="883"/>
      <c r="L35" s="883"/>
      <c r="M35" s="883"/>
      <c r="N35" s="518"/>
      <c r="O35" s="518"/>
      <c r="P35" s="518"/>
      <c r="Q35" s="518"/>
      <c r="R35" s="518"/>
      <c r="S35" s="518"/>
      <c r="T35" s="518"/>
      <c r="U35" s="518"/>
      <c r="V35" s="518"/>
      <c r="W35" s="518"/>
      <c r="X35" s="518"/>
      <c r="Y35" s="518"/>
      <c r="Z35" s="518"/>
      <c r="AA35" s="518"/>
      <c r="AB35" s="518"/>
      <c r="AC35" s="518"/>
      <c r="AD35" s="518"/>
      <c r="AE35" s="518"/>
      <c r="AF35" s="518"/>
      <c r="AG35" s="518"/>
      <c r="AH35" s="518"/>
      <c r="AI35" s="518"/>
      <c r="AJ35" s="518"/>
      <c r="AK35" s="518"/>
      <c r="AL35" s="518"/>
      <c r="AM35" s="518"/>
      <c r="AN35" s="518"/>
      <c r="AO35" s="518"/>
      <c r="AP35" s="518"/>
      <c r="AQ35" s="518"/>
      <c r="AR35" s="518"/>
      <c r="AS35" s="518"/>
      <c r="AT35" s="518"/>
      <c r="AU35" s="518"/>
      <c r="AV35" s="518"/>
      <c r="AW35" s="518"/>
      <c r="AX35" s="518"/>
      <c r="AY35" s="518"/>
      <c r="AZ35" s="518"/>
      <c r="BA35" s="518"/>
      <c r="BB35" s="518"/>
      <c r="BC35" s="518"/>
      <c r="BD35" s="518"/>
      <c r="BE35" s="518"/>
      <c r="BF35" s="518"/>
      <c r="BG35" s="518"/>
      <c r="BH35" s="518"/>
      <c r="BI35" s="518"/>
      <c r="BJ35" s="518"/>
      <c r="BK35" s="518"/>
      <c r="BL35" s="518"/>
    </row>
    <row r="36" spans="1:64" s="1" customFormat="1" ht="105" customHeight="1" thickTop="1" thickBot="1">
      <c r="A36" s="1006"/>
      <c r="B36" s="861"/>
      <c r="C36" s="2373" t="str">
        <f ca="1">RIGHT(CELL("nombrearchivo",$A$2),LEN(CELL("nombrearchivo",$A$2))-SEARCH("]",CELL("nombrearchivo",$A$2)))</f>
        <v>Tabla IV.2.</v>
      </c>
      <c r="D36" s="2374"/>
      <c r="E36" s="836"/>
      <c r="F36" s="1070"/>
      <c r="G36" s="1062"/>
      <c r="H36" s="2391" t="str">
        <f>"Monto neto de efectivo recibido / pagado al momento del vencimiento 
o la finalización, y todos los pagos periódicos de liquidaciones 
en efectivo netos durante el período "&amp;Menu!E4</f>
        <v>Monto neto de efectivo recibido / pagado al momento del vencimiento 
o la finalización, y todos los pagos periódicos de liquidaciones 
en efectivo netos durante el período (JUL - SET)</v>
      </c>
      <c r="I36" s="2392"/>
      <c r="J36" s="2392"/>
      <c r="K36" s="2393"/>
      <c r="L36" s="2394" t="str">
        <f>"Posiciones pendientes al 
final del periodo al cierre de "&amp;IF(TRIM=1,"MARZO",IF(TRIM=2,"JUNIO",IF(TRIM=3,"SETIEMBRE","DICIEMBRE")))</f>
        <v>Posiciones pendientes al 
final del periodo al cierre de SETIEMBRE</v>
      </c>
      <c r="M36" s="2393"/>
      <c r="N36" s="518"/>
      <c r="O36" s="518"/>
      <c r="P36" s="518"/>
      <c r="Q36" s="518"/>
      <c r="R36" s="518"/>
      <c r="S36" s="518"/>
      <c r="T36" s="518"/>
      <c r="U36" s="518"/>
      <c r="V36" s="518"/>
      <c r="W36" s="518"/>
      <c r="X36" s="518"/>
      <c r="Y36" s="518"/>
      <c r="Z36" s="518"/>
      <c r="AA36" s="518"/>
      <c r="AB36" s="518"/>
      <c r="AC36" s="518"/>
      <c r="AD36" s="518"/>
      <c r="AE36" s="518"/>
      <c r="AF36" s="518"/>
      <c r="AG36" s="518"/>
      <c r="AH36" s="518"/>
      <c r="AI36" s="518"/>
      <c r="AJ36" s="518"/>
      <c r="AK36" s="518"/>
      <c r="AL36" s="518"/>
      <c r="AM36" s="518"/>
      <c r="AN36" s="518"/>
      <c r="AO36" s="518"/>
      <c r="AP36" s="518"/>
      <c r="AQ36" s="518"/>
      <c r="AR36" s="518"/>
      <c r="AS36" s="518"/>
      <c r="AT36" s="518"/>
      <c r="AU36" s="518"/>
      <c r="AV36" s="518"/>
      <c r="AW36" s="518"/>
      <c r="AX36" s="518"/>
      <c r="AY36" s="518"/>
      <c r="AZ36" s="518"/>
      <c r="BA36" s="518"/>
      <c r="BB36" s="518"/>
      <c r="BC36" s="518"/>
      <c r="BD36" s="518"/>
      <c r="BE36" s="518"/>
      <c r="BF36" s="518"/>
      <c r="BG36" s="518"/>
      <c r="BH36" s="518"/>
      <c r="BI36" s="518"/>
      <c r="BJ36" s="518"/>
      <c r="BK36" s="518"/>
      <c r="BL36" s="518"/>
    </row>
    <row r="37" spans="1:64" s="1" customFormat="1" ht="31.5" customHeight="1" thickTop="1" thickBot="1">
      <c r="A37" s="871" t="s">
        <v>2261</v>
      </c>
      <c r="B37" s="871" t="s">
        <v>2262</v>
      </c>
      <c r="C37" s="806" t="s">
        <v>2171</v>
      </c>
      <c r="D37" s="807" t="s">
        <v>2172</v>
      </c>
      <c r="E37" s="836"/>
      <c r="F37" s="1066"/>
      <c r="G37" s="1063"/>
      <c r="H37" s="2445" t="s">
        <v>2140</v>
      </c>
      <c r="I37" s="2446"/>
      <c r="J37" s="2447" t="s">
        <v>2629</v>
      </c>
      <c r="K37" s="2448"/>
      <c r="L37" s="884" t="s">
        <v>2630</v>
      </c>
      <c r="M37" s="885" t="s">
        <v>2631</v>
      </c>
      <c r="N37" s="518"/>
      <c r="O37" s="518"/>
      <c r="P37" s="518"/>
      <c r="Q37" s="518"/>
      <c r="R37" s="518"/>
      <c r="S37" s="518"/>
      <c r="T37" s="518"/>
      <c r="U37" s="518"/>
      <c r="V37" s="518"/>
      <c r="W37" s="518"/>
      <c r="X37" s="518"/>
      <c r="Y37" s="518"/>
      <c r="Z37" s="518"/>
      <c r="AA37" s="518"/>
      <c r="AB37" s="518"/>
      <c r="AC37" s="518"/>
      <c r="AD37" s="518"/>
      <c r="AE37" s="518"/>
      <c r="AF37" s="518"/>
      <c r="AG37" s="518"/>
      <c r="AH37" s="518"/>
      <c r="AI37" s="518"/>
      <c r="AJ37" s="518"/>
      <c r="AK37" s="518"/>
      <c r="AL37" s="518"/>
      <c r="AM37" s="518"/>
      <c r="AN37" s="518"/>
      <c r="AO37" s="518"/>
      <c r="AP37" s="518"/>
      <c r="AQ37" s="518"/>
      <c r="AR37" s="518"/>
      <c r="AS37" s="518"/>
      <c r="AT37" s="518"/>
      <c r="AU37" s="518"/>
      <c r="AV37" s="518"/>
      <c r="AW37" s="518"/>
      <c r="AX37" s="518"/>
      <c r="AY37" s="518"/>
      <c r="AZ37" s="518"/>
      <c r="BA37" s="518"/>
      <c r="BB37" s="518"/>
      <c r="BC37" s="518"/>
      <c r="BD37" s="518"/>
      <c r="BE37" s="518"/>
      <c r="BF37" s="518"/>
      <c r="BG37" s="518"/>
      <c r="BH37" s="518"/>
      <c r="BI37" s="518"/>
      <c r="BJ37" s="518"/>
      <c r="BK37" s="518"/>
      <c r="BL37" s="518"/>
    </row>
    <row r="38" spans="1:64" s="1" customFormat="1" ht="31.5" customHeight="1" thickTop="1" thickBot="1">
      <c r="A38" s="1006"/>
      <c r="B38" s="861"/>
      <c r="C38" s="528"/>
      <c r="D38" s="528"/>
      <c r="E38" s="836"/>
      <c r="F38" s="875" t="s">
        <v>2169</v>
      </c>
      <c r="G38" s="1009" t="str">
        <f t="shared" ref="G38:G44" si="7">G12</f>
        <v xml:space="preserve">UNIDAD DECLARANTE RESIDENTE Y TIPO DE OPERACIÓN </v>
      </c>
      <c r="H38" s="2452" t="s">
        <v>2266</v>
      </c>
      <c r="I38" s="2452"/>
      <c r="J38" s="2422" t="s">
        <v>2267</v>
      </c>
      <c r="K38" s="2423"/>
      <c r="L38" s="886" t="s">
        <v>2268</v>
      </c>
      <c r="M38" s="1005" t="s">
        <v>2269</v>
      </c>
      <c r="N38" s="518"/>
      <c r="O38" s="518"/>
      <c r="P38" s="518"/>
      <c r="Q38" s="518"/>
      <c r="R38" s="518"/>
      <c r="S38" s="518"/>
      <c r="T38" s="518"/>
      <c r="U38" s="518"/>
      <c r="V38" s="518"/>
      <c r="W38" s="518"/>
      <c r="X38" s="518"/>
      <c r="Y38" s="518"/>
      <c r="Z38" s="518"/>
      <c r="AA38" s="518"/>
      <c r="AB38" s="518"/>
      <c r="AC38" s="518"/>
      <c r="AD38" s="518"/>
      <c r="AE38" s="518"/>
      <c r="AF38" s="518"/>
      <c r="AG38" s="518"/>
      <c r="AH38" s="518"/>
      <c r="AI38" s="518"/>
      <c r="AJ38" s="518"/>
      <c r="AK38" s="518"/>
      <c r="AL38" s="518"/>
      <c r="AM38" s="518"/>
      <c r="AN38" s="518"/>
      <c r="AO38" s="518"/>
      <c r="AP38" s="518"/>
      <c r="AQ38" s="518"/>
      <c r="AR38" s="518"/>
      <c r="AS38" s="518"/>
      <c r="AT38" s="518"/>
      <c r="AU38" s="518"/>
      <c r="AV38" s="518"/>
      <c r="AW38" s="518"/>
      <c r="AX38" s="518"/>
      <c r="AY38" s="518"/>
      <c r="AZ38" s="518"/>
      <c r="BA38" s="518"/>
      <c r="BB38" s="518"/>
      <c r="BC38" s="518"/>
      <c r="BD38" s="518"/>
      <c r="BE38" s="518"/>
      <c r="BF38" s="518"/>
      <c r="BG38" s="518"/>
      <c r="BH38" s="518"/>
      <c r="BI38" s="518"/>
      <c r="BJ38" s="518"/>
      <c r="BK38" s="518"/>
      <c r="BL38" s="518"/>
    </row>
    <row r="39" spans="1:64" s="1" customFormat="1" ht="37.5" customHeight="1" thickTop="1">
      <c r="A39" s="1020">
        <f>+A26</f>
        <v>13</v>
      </c>
      <c r="B39" s="1021" t="s">
        <v>2439</v>
      </c>
      <c r="C39" s="1022">
        <v>620</v>
      </c>
      <c r="D39" s="1023" t="str">
        <f t="shared" ref="D39:D44" si="8">CONCATENATE(A39,B39)</f>
        <v>13.03.</v>
      </c>
      <c r="E39" s="836"/>
      <c r="F39" s="1025" t="str">
        <f t="shared" ref="F39:F44" si="9">+D39</f>
        <v>13.03.</v>
      </c>
      <c r="G39" s="1044" t="str">
        <f t="shared" si="7"/>
        <v>Empresa bancaria como contraparte frente a no residentes</v>
      </c>
      <c r="H39" s="2449">
        <f>SUM(H40:I41)</f>
        <v>0</v>
      </c>
      <c r="I39" s="2449"/>
      <c r="J39" s="2450">
        <f>SUM(J40:K41)</f>
        <v>0</v>
      </c>
      <c r="K39" s="2451"/>
      <c r="L39" s="1112">
        <f>SUM(L40:L41)</f>
        <v>0</v>
      </c>
      <c r="M39" s="1201">
        <f>SUM(M40:M41)</f>
        <v>0</v>
      </c>
      <c r="N39" s="518"/>
      <c r="O39" s="518"/>
      <c r="P39" s="518"/>
      <c r="Q39" s="518"/>
      <c r="R39" s="518"/>
      <c r="S39" s="518"/>
      <c r="T39" s="518"/>
      <c r="U39" s="518"/>
      <c r="V39" s="518"/>
      <c r="W39" s="518"/>
      <c r="X39" s="518"/>
      <c r="Y39" s="518"/>
      <c r="Z39" s="518"/>
      <c r="AA39" s="518"/>
      <c r="AB39" s="518"/>
      <c r="AC39" s="518"/>
      <c r="AD39" s="518"/>
      <c r="AE39" s="518"/>
      <c r="AF39" s="518"/>
      <c r="AG39" s="518"/>
      <c r="AH39" s="518"/>
      <c r="AI39" s="518"/>
      <c r="AJ39" s="518"/>
      <c r="AK39" s="518"/>
      <c r="AL39" s="518"/>
      <c r="AM39" s="518"/>
      <c r="AN39" s="518"/>
      <c r="AO39" s="518"/>
      <c r="AP39" s="518"/>
      <c r="AQ39" s="518"/>
      <c r="AR39" s="518"/>
      <c r="AS39" s="518"/>
      <c r="AT39" s="518"/>
      <c r="AU39" s="518"/>
      <c r="AV39" s="518"/>
      <c r="AW39" s="518"/>
      <c r="AX39" s="518"/>
      <c r="AY39" s="518"/>
      <c r="AZ39" s="518"/>
      <c r="BA39" s="518"/>
      <c r="BB39" s="518"/>
      <c r="BC39" s="518"/>
      <c r="BD39" s="518"/>
      <c r="BE39" s="518"/>
      <c r="BF39" s="518"/>
      <c r="BG39" s="518"/>
      <c r="BH39" s="518"/>
      <c r="BI39" s="518"/>
      <c r="BJ39" s="518"/>
      <c r="BK39" s="518"/>
      <c r="BL39" s="518"/>
    </row>
    <row r="40" spans="1:64" s="1" customFormat="1" ht="37.5" customHeight="1">
      <c r="A40" s="1694">
        <f>+A39</f>
        <v>13</v>
      </c>
      <c r="B40" s="1675" t="s">
        <v>2467</v>
      </c>
      <c r="C40" s="1676"/>
      <c r="D40" s="1676" t="str">
        <f t="shared" si="8"/>
        <v>13.03.01.</v>
      </c>
      <c r="E40" s="836"/>
      <c r="F40" s="1677" t="str">
        <f t="shared" si="9"/>
        <v>13.03.01.</v>
      </c>
      <c r="G40" s="1045" t="str">
        <f t="shared" si="7"/>
        <v>Operaciones de negociación</v>
      </c>
      <c r="H40" s="2424"/>
      <c r="I40" s="2425"/>
      <c r="J40" s="2418"/>
      <c r="K40" s="2419"/>
      <c r="L40" s="1707"/>
      <c r="M40" s="1706"/>
      <c r="N40" s="518"/>
      <c r="O40" s="518"/>
      <c r="P40" s="518"/>
      <c r="Q40" s="518"/>
      <c r="R40" s="518"/>
      <c r="S40" s="518"/>
      <c r="T40" s="518"/>
      <c r="U40" s="518"/>
      <c r="V40" s="518"/>
      <c r="W40" s="518"/>
      <c r="X40" s="518"/>
      <c r="Y40" s="518"/>
      <c r="Z40" s="518"/>
      <c r="AA40" s="518"/>
      <c r="AB40" s="518"/>
      <c r="AC40" s="518"/>
      <c r="AD40" s="518"/>
      <c r="AE40" s="518"/>
      <c r="AF40" s="518"/>
      <c r="AG40" s="518"/>
      <c r="AH40" s="518"/>
      <c r="AI40" s="518"/>
      <c r="AJ40" s="518"/>
      <c r="AK40" s="518"/>
      <c r="AL40" s="518"/>
      <c r="AM40" s="518"/>
      <c r="AN40" s="518"/>
      <c r="AO40" s="518"/>
      <c r="AP40" s="518"/>
      <c r="AQ40" s="518"/>
      <c r="AR40" s="518"/>
      <c r="AS40" s="518"/>
      <c r="AT40" s="518"/>
      <c r="AU40" s="518"/>
      <c r="AV40" s="518"/>
      <c r="AW40" s="518"/>
      <c r="AX40" s="518"/>
      <c r="AY40" s="518"/>
      <c r="AZ40" s="518"/>
      <c r="BA40" s="518"/>
      <c r="BB40" s="518"/>
      <c r="BC40" s="518"/>
      <c r="BD40" s="518"/>
      <c r="BE40" s="518"/>
      <c r="BF40" s="518"/>
      <c r="BG40" s="518"/>
      <c r="BH40" s="518"/>
      <c r="BI40" s="518"/>
      <c r="BJ40" s="518"/>
      <c r="BK40" s="518"/>
      <c r="BL40" s="518"/>
    </row>
    <row r="41" spans="1:64" s="1" customFormat="1" ht="37.5" customHeight="1">
      <c r="A41" s="1694">
        <f>+A40</f>
        <v>13</v>
      </c>
      <c r="B41" s="1675" t="s">
        <v>2503</v>
      </c>
      <c r="C41" s="1676"/>
      <c r="D41" s="1676" t="str">
        <f t="shared" si="8"/>
        <v>13.03.02.</v>
      </c>
      <c r="E41" s="836"/>
      <c r="F41" s="1677" t="str">
        <f t="shared" si="9"/>
        <v>13.03.02.</v>
      </c>
      <c r="G41" s="1045" t="str">
        <f t="shared" si="7"/>
        <v>Operaciones no de negociación (incluye operaciones de cobertura)</v>
      </c>
      <c r="H41" s="2424"/>
      <c r="I41" s="2425"/>
      <c r="J41" s="2418"/>
      <c r="K41" s="2419"/>
      <c r="L41" s="1707"/>
      <c r="M41" s="1706"/>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518"/>
      <c r="AM41" s="518"/>
      <c r="AN41" s="518"/>
      <c r="AO41" s="518"/>
      <c r="AP41" s="518"/>
      <c r="AQ41" s="518"/>
      <c r="AR41" s="518"/>
      <c r="AS41" s="518"/>
      <c r="AT41" s="518"/>
      <c r="AU41" s="518"/>
      <c r="AV41" s="518"/>
      <c r="AW41" s="518"/>
      <c r="AX41" s="518"/>
      <c r="AY41" s="518"/>
      <c r="AZ41" s="518"/>
      <c r="BA41" s="518"/>
      <c r="BB41" s="518"/>
      <c r="BC41" s="518"/>
      <c r="BD41" s="518"/>
      <c r="BE41" s="518"/>
      <c r="BF41" s="518"/>
      <c r="BG41" s="518"/>
      <c r="BH41" s="518"/>
      <c r="BI41" s="518"/>
      <c r="BJ41" s="518"/>
      <c r="BK41" s="518"/>
      <c r="BL41" s="518"/>
    </row>
    <row r="42" spans="1:64" s="1" customFormat="1" ht="37.5" customHeight="1">
      <c r="A42" s="1694">
        <f>+A41</f>
        <v>13</v>
      </c>
      <c r="B42" s="1675" t="s">
        <v>2644</v>
      </c>
      <c r="C42" s="1676"/>
      <c r="D42" s="1676" t="str">
        <f t="shared" si="8"/>
        <v>13.03.03.</v>
      </c>
      <c r="E42" s="836"/>
      <c r="F42" s="1681" t="str">
        <f t="shared" si="9"/>
        <v>13.03.03.</v>
      </c>
      <c r="G42" s="1682" t="str">
        <f t="shared" si="7"/>
        <v xml:space="preserve">Empresa no bancaria </v>
      </c>
      <c r="H42" s="2453">
        <f>SUM(H43:I44)</f>
        <v>0</v>
      </c>
      <c r="I42" s="2454"/>
      <c r="J42" s="2455">
        <f>SUM(J43:K44)</f>
        <v>0</v>
      </c>
      <c r="K42" s="2456"/>
      <c r="L42" s="1709">
        <f>SUM(L43:L44)</f>
        <v>0</v>
      </c>
      <c r="M42" s="1708">
        <f>SUM(M43:M44)</f>
        <v>0</v>
      </c>
      <c r="N42" s="518"/>
      <c r="O42" s="518"/>
      <c r="P42" s="518"/>
      <c r="Q42" s="518"/>
      <c r="R42" s="518"/>
      <c r="S42" s="518"/>
      <c r="T42" s="518"/>
      <c r="U42" s="518"/>
      <c r="V42" s="518"/>
      <c r="W42" s="518"/>
      <c r="X42" s="518"/>
      <c r="Y42" s="518"/>
      <c r="Z42" s="518"/>
      <c r="AA42" s="518"/>
      <c r="AB42" s="518"/>
      <c r="AC42" s="518"/>
      <c r="AD42" s="518"/>
      <c r="AE42" s="518"/>
      <c r="AF42" s="518"/>
      <c r="AG42" s="518"/>
      <c r="AH42" s="518"/>
      <c r="AI42" s="518"/>
      <c r="AJ42" s="518"/>
      <c r="AK42" s="518"/>
      <c r="AL42" s="518"/>
      <c r="AM42" s="518"/>
      <c r="AN42" s="518"/>
      <c r="AO42" s="518"/>
      <c r="AP42" s="518"/>
      <c r="AQ42" s="518"/>
      <c r="AR42" s="518"/>
      <c r="AS42" s="518"/>
      <c r="AT42" s="518"/>
      <c r="AU42" s="518"/>
      <c r="AV42" s="518"/>
      <c r="AW42" s="518"/>
      <c r="AX42" s="518"/>
      <c r="AY42" s="518"/>
      <c r="AZ42" s="518"/>
      <c r="BA42" s="518"/>
      <c r="BB42" s="518"/>
      <c r="BC42" s="518"/>
      <c r="BD42" s="518"/>
      <c r="BE42" s="518"/>
      <c r="BF42" s="518"/>
      <c r="BG42" s="518"/>
      <c r="BH42" s="518"/>
      <c r="BI42" s="518"/>
      <c r="BJ42" s="518"/>
      <c r="BK42" s="518"/>
      <c r="BL42" s="518"/>
    </row>
    <row r="43" spans="1:64" s="1" customFormat="1" ht="37.5" customHeight="1">
      <c r="A43" s="1694">
        <f>+A42</f>
        <v>13</v>
      </c>
      <c r="B43" s="1675" t="s">
        <v>2645</v>
      </c>
      <c r="C43" s="1676"/>
      <c r="D43" s="1676" t="str">
        <f t="shared" si="8"/>
        <v>13.03.03.01.</v>
      </c>
      <c r="E43" s="836"/>
      <c r="F43" s="1677" t="str">
        <f t="shared" si="9"/>
        <v>13.03.03.01.</v>
      </c>
      <c r="G43" s="1686" t="str">
        <f t="shared" si="7"/>
        <v>Operaciones con contraparte no residente</v>
      </c>
      <c r="H43" s="2424"/>
      <c r="I43" s="2425"/>
      <c r="J43" s="2418"/>
      <c r="K43" s="2419"/>
      <c r="L43" s="1707"/>
      <c r="M43" s="1706"/>
      <c r="N43" s="518"/>
      <c r="O43" s="518"/>
      <c r="P43" s="518"/>
      <c r="Q43" s="518"/>
      <c r="R43" s="518"/>
      <c r="S43" s="518"/>
      <c r="T43" s="518"/>
      <c r="U43" s="518"/>
      <c r="V43" s="518"/>
      <c r="W43" s="518"/>
      <c r="X43" s="518"/>
      <c r="Y43" s="518"/>
      <c r="Z43" s="518"/>
      <c r="AA43" s="518"/>
      <c r="AB43" s="518"/>
      <c r="AC43" s="518"/>
      <c r="AD43" s="518"/>
      <c r="AE43" s="518"/>
      <c r="AF43" s="518"/>
      <c r="AG43" s="518"/>
      <c r="AH43" s="518"/>
      <c r="AI43" s="518"/>
      <c r="AJ43" s="518"/>
      <c r="AK43" s="518"/>
      <c r="AL43" s="518"/>
      <c r="AM43" s="518"/>
      <c r="AN43" s="518"/>
      <c r="AO43" s="518"/>
      <c r="AP43" s="518"/>
      <c r="AQ43" s="518"/>
      <c r="AR43" s="518"/>
      <c r="AS43" s="518"/>
      <c r="AT43" s="518"/>
      <c r="AU43" s="518"/>
      <c r="AV43" s="518"/>
      <c r="AW43" s="518"/>
      <c r="AX43" s="518"/>
      <c r="AY43" s="518"/>
      <c r="AZ43" s="518"/>
      <c r="BA43" s="518"/>
      <c r="BB43" s="518"/>
      <c r="BC43" s="518"/>
      <c r="BD43" s="518"/>
      <c r="BE43" s="518"/>
      <c r="BF43" s="518"/>
      <c r="BG43" s="518"/>
      <c r="BH43" s="518"/>
      <c r="BI43" s="518"/>
      <c r="BJ43" s="518"/>
      <c r="BK43" s="518"/>
      <c r="BL43" s="518"/>
    </row>
    <row r="44" spans="1:64" s="1" customFormat="1" ht="37.5" customHeight="1" thickBot="1">
      <c r="A44" s="1701">
        <f>+A43</f>
        <v>13</v>
      </c>
      <c r="B44" s="1702" t="s">
        <v>2646</v>
      </c>
      <c r="C44" s="1703"/>
      <c r="D44" s="1703" t="str">
        <f t="shared" si="8"/>
        <v>13.03.03.02.</v>
      </c>
      <c r="E44" s="836"/>
      <c r="F44" s="1690" t="str">
        <f t="shared" si="9"/>
        <v>13.03.03.02.</v>
      </c>
      <c r="G44" s="1140" t="str">
        <f t="shared" si="7"/>
        <v>Operaciones con contraparte inmediata residente (p.ej. con la banca local)</v>
      </c>
      <c r="H44" s="2443"/>
      <c r="I44" s="2444"/>
      <c r="J44" s="2420"/>
      <c r="K44" s="2421"/>
      <c r="L44" s="1094"/>
      <c r="M44" s="1095"/>
      <c r="N44" s="518"/>
      <c r="O44" s="518"/>
      <c r="P44" s="518"/>
      <c r="Q44" s="518"/>
      <c r="R44" s="518"/>
      <c r="S44" s="518"/>
      <c r="T44" s="518"/>
      <c r="U44" s="518"/>
      <c r="V44" s="518"/>
      <c r="W44" s="518"/>
      <c r="X44" s="518"/>
      <c r="Y44" s="518"/>
      <c r="Z44" s="518"/>
      <c r="AA44" s="518"/>
      <c r="AB44" s="518"/>
      <c r="AC44" s="518"/>
      <c r="AD44" s="518"/>
      <c r="AE44" s="518"/>
      <c r="AF44" s="518"/>
      <c r="AG44" s="518"/>
      <c r="AH44" s="518"/>
      <c r="AI44" s="518"/>
      <c r="AJ44" s="518"/>
      <c r="AK44" s="518"/>
      <c r="AL44" s="518"/>
      <c r="AM44" s="518"/>
      <c r="AN44" s="518"/>
      <c r="AO44" s="518"/>
      <c r="AP44" s="518"/>
      <c r="AQ44" s="518"/>
      <c r="AR44" s="518"/>
      <c r="AS44" s="518"/>
      <c r="AT44" s="518"/>
      <c r="AU44" s="518"/>
      <c r="AV44" s="518"/>
      <c r="AW44" s="518"/>
      <c r="AX44" s="518"/>
      <c r="AY44" s="518"/>
      <c r="AZ44" s="518"/>
      <c r="BA44" s="518"/>
      <c r="BB44" s="518"/>
      <c r="BC44" s="518"/>
      <c r="BD44" s="518"/>
      <c r="BE44" s="518"/>
      <c r="BF44" s="518"/>
      <c r="BG44" s="518"/>
      <c r="BH44" s="518"/>
      <c r="BI44" s="518"/>
      <c r="BJ44" s="518"/>
      <c r="BK44" s="518"/>
      <c r="BL44" s="518"/>
    </row>
    <row r="45" spans="1:64" s="1" customFormat="1" ht="19.5" customHeight="1">
      <c r="A45" s="1006"/>
      <c r="B45" s="861"/>
      <c r="C45" s="528"/>
      <c r="D45" s="528"/>
      <c r="E45" s="836"/>
      <c r="F45" s="836"/>
      <c r="G45" s="836"/>
      <c r="H45" s="1046"/>
      <c r="I45" s="1046"/>
      <c r="J45" s="880"/>
      <c r="K45" s="880"/>
      <c r="L45" s="880"/>
      <c r="M45" s="880"/>
      <c r="N45" s="518"/>
      <c r="O45" s="518"/>
      <c r="P45" s="518"/>
      <c r="Q45" s="518"/>
      <c r="R45" s="518"/>
      <c r="S45" s="518"/>
      <c r="T45" s="518"/>
      <c r="U45" s="518"/>
      <c r="V45" s="518"/>
      <c r="W45" s="518"/>
      <c r="X45" s="518"/>
      <c r="Y45" s="518"/>
      <c r="Z45" s="518"/>
      <c r="AA45" s="518"/>
      <c r="AB45" s="518"/>
      <c r="AC45" s="518"/>
      <c r="AD45" s="518"/>
      <c r="AE45" s="518"/>
      <c r="AF45" s="518"/>
      <c r="AG45" s="518"/>
      <c r="AH45" s="518"/>
      <c r="AI45" s="518"/>
      <c r="AJ45" s="518"/>
      <c r="AK45" s="518"/>
      <c r="AL45" s="518"/>
      <c r="AM45" s="518"/>
      <c r="AN45" s="518"/>
      <c r="AO45" s="518"/>
      <c r="AP45" s="518"/>
      <c r="AQ45" s="518"/>
      <c r="AR45" s="518"/>
      <c r="AS45" s="518"/>
      <c r="AT45" s="518"/>
      <c r="AU45" s="518"/>
      <c r="AV45" s="518"/>
      <c r="AW45" s="518"/>
      <c r="AX45" s="518"/>
      <c r="AY45" s="518"/>
      <c r="AZ45" s="518"/>
      <c r="BA45" s="518"/>
      <c r="BB45" s="518"/>
      <c r="BC45" s="518"/>
      <c r="BD45" s="518"/>
      <c r="BE45" s="518"/>
      <c r="BF45" s="518"/>
      <c r="BG45" s="518"/>
      <c r="BH45" s="518"/>
      <c r="BI45" s="518"/>
      <c r="BJ45" s="518"/>
      <c r="BK45" s="518"/>
      <c r="BL45" s="518"/>
    </row>
    <row r="46" spans="1:64" s="1" customFormat="1" ht="18.75" customHeight="1">
      <c r="A46" s="1006"/>
      <c r="B46" s="861"/>
      <c r="C46" s="528"/>
      <c r="D46" s="528"/>
      <c r="E46" s="836"/>
      <c r="F46" s="881"/>
      <c r="G46" s="881"/>
      <c r="H46" s="881"/>
      <c r="I46" s="881"/>
      <c r="J46" s="881"/>
      <c r="K46" s="881"/>
      <c r="L46" s="881"/>
      <c r="M46" s="881"/>
      <c r="N46" s="518"/>
      <c r="O46" s="518"/>
      <c r="P46" s="518"/>
      <c r="Q46" s="518"/>
      <c r="R46" s="518"/>
      <c r="S46" s="518"/>
      <c r="T46" s="518"/>
      <c r="U46" s="518"/>
      <c r="V46" s="518"/>
      <c r="W46" s="518"/>
      <c r="X46" s="518"/>
      <c r="Y46" s="518"/>
      <c r="Z46" s="518"/>
      <c r="AA46" s="518"/>
      <c r="AB46" s="518"/>
      <c r="AC46" s="518"/>
      <c r="AD46" s="518"/>
      <c r="AE46" s="518"/>
      <c r="AF46" s="518"/>
      <c r="AG46" s="518"/>
      <c r="AH46" s="518"/>
      <c r="AI46" s="518"/>
      <c r="AJ46" s="518"/>
      <c r="AK46" s="518"/>
      <c r="AL46" s="518"/>
      <c r="AM46" s="518"/>
      <c r="AN46" s="518"/>
      <c r="AO46" s="518"/>
      <c r="AP46" s="518"/>
      <c r="AQ46" s="518"/>
      <c r="AR46" s="518"/>
      <c r="AS46" s="518"/>
      <c r="AT46" s="518"/>
      <c r="AU46" s="518"/>
      <c r="AV46" s="518"/>
      <c r="AW46" s="518"/>
      <c r="AX46" s="518"/>
      <c r="AY46" s="518"/>
      <c r="AZ46" s="518"/>
      <c r="BA46" s="518"/>
      <c r="BB46" s="518"/>
      <c r="BC46" s="518"/>
      <c r="BD46" s="518"/>
      <c r="BE46" s="518"/>
      <c r="BF46" s="518"/>
      <c r="BG46" s="518"/>
      <c r="BH46" s="518"/>
      <c r="BI46" s="518"/>
      <c r="BJ46" s="518"/>
      <c r="BK46" s="518"/>
      <c r="BL46" s="518"/>
    </row>
    <row r="47" spans="1:64" s="1" customFormat="1" ht="17.25" customHeight="1">
      <c r="A47" s="1006"/>
      <c r="B47" s="861"/>
      <c r="C47" s="528"/>
      <c r="D47" s="528"/>
      <c r="E47" s="836"/>
      <c r="F47" s="836"/>
      <c r="G47" s="836"/>
      <c r="H47" s="880"/>
      <c r="I47" s="880"/>
      <c r="J47" s="880"/>
      <c r="K47" s="880"/>
      <c r="L47" s="880"/>
      <c r="M47" s="880"/>
      <c r="N47" s="518"/>
      <c r="O47" s="518"/>
      <c r="P47" s="518"/>
      <c r="Q47" s="518"/>
      <c r="R47" s="518"/>
      <c r="S47" s="518"/>
      <c r="T47" s="518"/>
      <c r="U47" s="518"/>
      <c r="V47" s="518"/>
      <c r="W47" s="518"/>
      <c r="X47" s="518"/>
      <c r="Y47" s="518"/>
      <c r="Z47" s="518"/>
      <c r="AA47" s="518"/>
      <c r="AB47" s="518"/>
      <c r="AC47" s="518"/>
      <c r="AD47" s="518"/>
      <c r="AE47" s="518"/>
      <c r="AF47" s="518"/>
      <c r="AG47" s="518"/>
      <c r="AH47" s="518"/>
      <c r="AI47" s="518"/>
      <c r="AJ47" s="518"/>
      <c r="AK47" s="518"/>
      <c r="AL47" s="518"/>
      <c r="AM47" s="518"/>
      <c r="AN47" s="518"/>
      <c r="AO47" s="518"/>
      <c r="AP47" s="518"/>
      <c r="AQ47" s="518"/>
      <c r="AR47" s="518"/>
      <c r="AS47" s="518"/>
      <c r="AT47" s="518"/>
      <c r="AU47" s="518"/>
      <c r="AV47" s="518"/>
      <c r="AW47" s="518"/>
      <c r="AX47" s="518"/>
      <c r="AY47" s="518"/>
      <c r="AZ47" s="518"/>
      <c r="BA47" s="518"/>
      <c r="BB47" s="518"/>
      <c r="BC47" s="518"/>
      <c r="BD47" s="518"/>
      <c r="BE47" s="518"/>
      <c r="BF47" s="518"/>
      <c r="BG47" s="518"/>
      <c r="BH47" s="518"/>
      <c r="BI47" s="518"/>
      <c r="BJ47" s="518"/>
      <c r="BK47" s="518"/>
      <c r="BL47" s="518"/>
    </row>
    <row r="48" spans="1:64" s="1" customFormat="1" ht="42">
      <c r="A48" s="1006"/>
      <c r="B48" s="861"/>
      <c r="D48" s="854"/>
      <c r="E48" s="518"/>
      <c r="F48" s="1075" t="str">
        <f>"PARTE B. Posiciones para recibir y pagar moneda extranjera al cierre del "&amp;Menu!D3&amp;"T"&amp;Menu!C3</f>
        <v>PARTE B. Posiciones para recibir y pagar moneda extranjera al cierre del 3T2025</v>
      </c>
      <c r="G48" s="1076"/>
      <c r="H48" s="1076"/>
      <c r="I48" s="1077"/>
      <c r="J48" s="1077"/>
      <c r="K48" s="1077"/>
      <c r="L48" s="1077"/>
      <c r="M48" s="1077"/>
      <c r="N48" s="518"/>
      <c r="O48" s="518"/>
      <c r="P48" s="518"/>
      <c r="Q48" s="518"/>
      <c r="R48" s="518"/>
      <c r="S48" s="518"/>
      <c r="T48" s="518"/>
      <c r="U48" s="518"/>
      <c r="V48" s="518"/>
      <c r="W48" s="518"/>
      <c r="X48" s="518"/>
      <c r="Y48" s="518"/>
      <c r="Z48" s="518"/>
      <c r="AA48" s="518"/>
      <c r="AB48" s="518"/>
      <c r="AC48" s="518"/>
      <c r="AD48" s="518"/>
      <c r="AE48" s="518"/>
      <c r="AF48" s="518"/>
      <c r="AG48" s="518"/>
      <c r="AH48" s="518"/>
      <c r="AI48" s="518"/>
      <c r="AJ48" s="518"/>
      <c r="AK48" s="518"/>
      <c r="AL48" s="518"/>
      <c r="AM48" s="518"/>
      <c r="AN48" s="518"/>
      <c r="AO48" s="518"/>
      <c r="AP48" s="518"/>
      <c r="AQ48" s="518"/>
      <c r="AR48" s="518"/>
      <c r="AS48" s="518"/>
      <c r="AT48" s="518"/>
      <c r="AU48" s="518"/>
      <c r="AV48" s="518"/>
      <c r="AW48" s="518"/>
      <c r="AX48" s="518"/>
      <c r="AY48" s="518"/>
      <c r="AZ48" s="518"/>
      <c r="BA48" s="518"/>
      <c r="BB48" s="518"/>
      <c r="BC48" s="518"/>
      <c r="BD48" s="518"/>
      <c r="BE48" s="518"/>
      <c r="BF48" s="518"/>
      <c r="BG48" s="518"/>
      <c r="BH48" s="518"/>
      <c r="BI48" s="518"/>
      <c r="BJ48" s="518"/>
      <c r="BK48" s="518"/>
      <c r="BL48" s="518"/>
    </row>
    <row r="49" spans="1:64" s="1" customFormat="1" ht="42.75" thickBot="1">
      <c r="A49" s="1006"/>
      <c r="B49" s="861"/>
      <c r="D49" s="854"/>
      <c r="E49" s="518"/>
      <c r="F49" s="1075" t="s">
        <v>2647</v>
      </c>
      <c r="G49" s="1076"/>
      <c r="H49" s="1076"/>
      <c r="I49" s="1077"/>
      <c r="J49" s="1077"/>
      <c r="K49" s="1077"/>
      <c r="L49" s="1077"/>
      <c r="M49" s="1077"/>
      <c r="N49" s="518"/>
      <c r="O49" s="518"/>
      <c r="P49" s="518"/>
      <c r="Q49" s="518"/>
      <c r="R49" s="518"/>
      <c r="S49" s="518"/>
      <c r="T49" s="518"/>
      <c r="U49" s="518"/>
      <c r="V49" s="518"/>
      <c r="W49" s="518"/>
      <c r="X49" s="518"/>
      <c r="Y49" s="518"/>
      <c r="Z49" s="518"/>
      <c r="AA49" s="518"/>
      <c r="AB49" s="518"/>
      <c r="AC49" s="518"/>
      <c r="AD49" s="518"/>
      <c r="AE49" s="518"/>
      <c r="AF49" s="518"/>
      <c r="AG49" s="518"/>
      <c r="AH49" s="518"/>
      <c r="AI49" s="518"/>
      <c r="AJ49" s="518"/>
      <c r="AK49" s="518"/>
      <c r="AL49" s="518"/>
      <c r="AM49" s="518"/>
      <c r="AN49" s="518"/>
      <c r="AO49" s="518"/>
      <c r="AP49" s="518"/>
      <c r="AQ49" s="518"/>
      <c r="AR49" s="518"/>
      <c r="AS49" s="518"/>
      <c r="AT49" s="518"/>
      <c r="AU49" s="518"/>
      <c r="AV49" s="518"/>
      <c r="AW49" s="518"/>
      <c r="AX49" s="518"/>
      <c r="AY49" s="518"/>
      <c r="AZ49" s="518"/>
      <c r="BA49" s="518"/>
      <c r="BB49" s="518"/>
      <c r="BC49" s="518"/>
      <c r="BD49" s="518"/>
      <c r="BE49" s="518"/>
      <c r="BF49" s="518"/>
      <c r="BG49" s="518"/>
      <c r="BH49" s="518"/>
      <c r="BI49" s="518"/>
      <c r="BJ49" s="518"/>
      <c r="BK49" s="518"/>
      <c r="BL49" s="518"/>
    </row>
    <row r="50" spans="1:64" s="1" customFormat="1" ht="39.75" thickTop="1" thickBot="1">
      <c r="A50" s="1006"/>
      <c r="B50" s="861"/>
      <c r="D50" s="854"/>
      <c r="E50" s="518"/>
      <c r="F50" s="1071" t="s">
        <v>2648</v>
      </c>
      <c r="G50" s="887"/>
      <c r="H50" s="887"/>
      <c r="I50" s="887"/>
      <c r="J50" s="882"/>
      <c r="K50" s="883"/>
      <c r="L50" s="883"/>
      <c r="M50" s="883"/>
      <c r="N50" s="518"/>
      <c r="O50" s="518"/>
      <c r="P50" s="518"/>
      <c r="Q50" s="518"/>
      <c r="R50" s="518"/>
      <c r="S50" s="518"/>
      <c r="T50" s="518"/>
      <c r="U50" s="518"/>
      <c r="V50" s="518"/>
      <c r="W50" s="518"/>
      <c r="X50" s="518"/>
      <c r="Y50" s="518"/>
      <c r="Z50" s="518"/>
      <c r="AA50" s="518"/>
      <c r="AB50" s="518"/>
      <c r="AC50" s="518"/>
      <c r="AD50" s="518"/>
      <c r="AE50" s="518"/>
      <c r="AF50" s="518"/>
      <c r="AG50" s="518"/>
      <c r="AH50" s="518"/>
      <c r="AI50" s="518"/>
      <c r="AJ50" s="518"/>
      <c r="AK50" s="518"/>
      <c r="AL50" s="518"/>
      <c r="AM50" s="518"/>
      <c r="AN50" s="518"/>
      <c r="AO50" s="518"/>
      <c r="AP50" s="518"/>
      <c r="AQ50" s="518"/>
      <c r="AR50" s="518"/>
      <c r="AS50" s="518"/>
      <c r="AT50" s="518"/>
      <c r="AU50" s="518"/>
      <c r="AV50" s="518"/>
      <c r="AW50" s="518"/>
      <c r="AX50" s="518"/>
      <c r="AY50" s="518"/>
      <c r="AZ50" s="518"/>
      <c r="BA50" s="518"/>
      <c r="BB50" s="518"/>
      <c r="BC50" s="518"/>
      <c r="BD50" s="518"/>
      <c r="BE50" s="518"/>
      <c r="BF50" s="518"/>
      <c r="BG50" s="518"/>
      <c r="BH50" s="518"/>
      <c r="BI50" s="518"/>
      <c r="BJ50" s="518"/>
      <c r="BK50" s="518"/>
      <c r="BL50" s="518"/>
    </row>
    <row r="51" spans="1:64" s="96" customFormat="1" ht="63" customHeight="1" thickTop="1" thickBot="1">
      <c r="A51" s="1007"/>
      <c r="B51" s="863"/>
      <c r="C51" s="2373" t="str">
        <f ca="1">RIGHT(CELL("nombrearchivo",$A$2),LEN(CELL("nombrearchivo",$A$2))-SEARCH("]",CELL("nombrearchivo",$A$2)))</f>
        <v>Tabla IV.2.</v>
      </c>
      <c r="D51" s="2374"/>
      <c r="F51" s="1074"/>
      <c r="G51" s="1072"/>
      <c r="H51" s="1072"/>
      <c r="I51" s="1072"/>
      <c r="J51" s="1073"/>
      <c r="K51" s="2438" t="str">
        <f>"POSICIONES PENDIENTES 
AL FINAL DE "&amp;IF(TRIM=1,"MARZO",IF(TRIM=2,"JUNIO",IF(TRIM=3,"SETIEMBRE","DICIEMBRE")))&amp;" "&amp;Menu!C3</f>
        <v>POSICIONES PENDIENTES 
AL FINAL DE SETIEMBRE 2025</v>
      </c>
      <c r="L51" s="2438"/>
      <c r="M51" s="2439"/>
    </row>
    <row r="52" spans="1:64" s="96" customFormat="1" ht="37.5" customHeight="1" thickTop="1" thickBot="1">
      <c r="A52" s="871" t="s">
        <v>2261</v>
      </c>
      <c r="B52" s="871" t="s">
        <v>2262</v>
      </c>
      <c r="C52" s="806" t="s">
        <v>2171</v>
      </c>
      <c r="D52" s="807" t="s">
        <v>2172</v>
      </c>
      <c r="F52" s="875" t="s">
        <v>2169</v>
      </c>
      <c r="G52" s="2440" t="s">
        <v>2649</v>
      </c>
      <c r="H52" s="2441"/>
      <c r="I52" s="2441"/>
      <c r="J52" s="2442"/>
      <c r="K52" s="2430" t="s">
        <v>2591</v>
      </c>
      <c r="L52" s="2431"/>
      <c r="M52" s="2432"/>
    </row>
    <row r="53" spans="1:64" s="96" customFormat="1" ht="37.5" customHeight="1" thickTop="1">
      <c r="A53" s="1020">
        <f>+A39+1</f>
        <v>14</v>
      </c>
      <c r="B53" s="1021" t="s">
        <v>2272</v>
      </c>
      <c r="C53" s="866"/>
      <c r="D53" s="888" t="str">
        <f t="shared" ref="D53:D66" si="10">CONCATENATE(A53,B53)</f>
        <v>14.01.</v>
      </c>
      <c r="F53" s="889" t="str">
        <f t="shared" ref="F53:F66" si="11">+D53</f>
        <v>14.01.</v>
      </c>
      <c r="G53" s="1061" t="str">
        <f>+G14</f>
        <v>Operaciones de negociación</v>
      </c>
      <c r="H53" s="1024"/>
      <c r="I53" s="890"/>
      <c r="J53" s="891"/>
      <c r="K53" s="2433">
        <f>+K54+K57</f>
        <v>0</v>
      </c>
      <c r="L53" s="2434"/>
      <c r="M53" s="2435"/>
    </row>
    <row r="54" spans="1:64" s="96" customFormat="1" ht="37.5" customHeight="1">
      <c r="A54" s="1694">
        <f>+A53</f>
        <v>14</v>
      </c>
      <c r="B54" s="1675" t="s">
        <v>2320</v>
      </c>
      <c r="C54" s="1710"/>
      <c r="D54" s="1711" t="str">
        <f t="shared" si="10"/>
        <v>14.01.01.</v>
      </c>
      <c r="F54" s="1111" t="str">
        <f t="shared" si="11"/>
        <v>14.01.01.</v>
      </c>
      <c r="G54" s="1712" t="s">
        <v>2650</v>
      </c>
      <c r="H54" s="1713"/>
      <c r="I54" s="1714"/>
      <c r="J54" s="1715"/>
      <c r="K54" s="2408">
        <f>SUM(K55:M56)</f>
        <v>0</v>
      </c>
      <c r="L54" s="2410"/>
      <c r="M54" s="2411"/>
    </row>
    <row r="55" spans="1:64" s="96" customFormat="1" ht="37.5" customHeight="1">
      <c r="A55" s="1694">
        <f>+A54</f>
        <v>14</v>
      </c>
      <c r="B55" s="1675" t="s">
        <v>2321</v>
      </c>
      <c r="C55" s="1710"/>
      <c r="D55" s="1711" t="str">
        <f t="shared" si="10"/>
        <v>14.01.01.01.</v>
      </c>
      <c r="F55" s="892" t="str">
        <f t="shared" si="11"/>
        <v>14.01.01.01.</v>
      </c>
      <c r="G55" s="1716" t="s">
        <v>2651</v>
      </c>
      <c r="H55" s="1717"/>
      <c r="I55" s="1718"/>
      <c r="J55" s="1719"/>
      <c r="K55" s="2395"/>
      <c r="L55" s="2426"/>
      <c r="M55" s="2400"/>
    </row>
    <row r="56" spans="1:64" s="96" customFormat="1" ht="37.5" customHeight="1">
      <c r="A56" s="1720">
        <f t="shared" ref="A56:A66" si="12">+A55</f>
        <v>14</v>
      </c>
      <c r="B56" s="1675" t="s">
        <v>2323</v>
      </c>
      <c r="C56" s="1710"/>
      <c r="D56" s="1711" t="str">
        <f t="shared" si="10"/>
        <v>14.01.01.02.</v>
      </c>
      <c r="F56" s="1721" t="str">
        <f t="shared" si="11"/>
        <v>14.01.01.02.</v>
      </c>
      <c r="G56" s="1716" t="s">
        <v>2652</v>
      </c>
      <c r="H56" s="1717"/>
      <c r="I56" s="1718"/>
      <c r="J56" s="1719"/>
      <c r="K56" s="2395"/>
      <c r="L56" s="2426"/>
      <c r="M56" s="2400"/>
    </row>
    <row r="57" spans="1:64" s="96" customFormat="1" ht="37.5" customHeight="1">
      <c r="A57" s="1720">
        <f t="shared" si="12"/>
        <v>14</v>
      </c>
      <c r="B57" s="1675" t="s">
        <v>2325</v>
      </c>
      <c r="C57" s="1710"/>
      <c r="D57" s="1711" t="str">
        <f t="shared" si="10"/>
        <v>14.01.02.</v>
      </c>
      <c r="F57" s="1111" t="str">
        <f t="shared" si="11"/>
        <v>14.01.02.</v>
      </c>
      <c r="G57" s="1712" t="s">
        <v>2653</v>
      </c>
      <c r="H57" s="1713"/>
      <c r="I57" s="1714"/>
      <c r="J57" s="1715"/>
      <c r="K57" s="2408">
        <f>SUM(K58:M59)</f>
        <v>0</v>
      </c>
      <c r="L57" s="2410"/>
      <c r="M57" s="2411"/>
    </row>
    <row r="58" spans="1:64" s="96" customFormat="1" ht="37.5" customHeight="1">
      <c r="A58" s="1720">
        <f t="shared" si="12"/>
        <v>14</v>
      </c>
      <c r="B58" s="1675" t="s">
        <v>2618</v>
      </c>
      <c r="C58" s="1710"/>
      <c r="D58" s="1711" t="str">
        <f t="shared" si="10"/>
        <v>14.01.02.01</v>
      </c>
      <c r="F58" s="1721" t="str">
        <f t="shared" si="11"/>
        <v>14.01.02.01</v>
      </c>
      <c r="G58" s="1716" t="s">
        <v>2651</v>
      </c>
      <c r="H58" s="1717"/>
      <c r="I58" s="1718"/>
      <c r="J58" s="1719"/>
      <c r="K58" s="2395"/>
      <c r="L58" s="2426"/>
      <c r="M58" s="2400"/>
    </row>
    <row r="59" spans="1:64" s="96" customFormat="1" ht="37.5" customHeight="1">
      <c r="A59" s="1720">
        <f t="shared" si="12"/>
        <v>14</v>
      </c>
      <c r="B59" s="1675" t="s">
        <v>2619</v>
      </c>
      <c r="C59" s="1710"/>
      <c r="D59" s="1711" t="str">
        <f t="shared" si="10"/>
        <v>14.01.02.02</v>
      </c>
      <c r="F59" s="1721" t="str">
        <f t="shared" si="11"/>
        <v>14.01.02.02</v>
      </c>
      <c r="G59" s="1716" t="s">
        <v>2652</v>
      </c>
      <c r="H59" s="1717"/>
      <c r="I59" s="1722"/>
      <c r="J59" s="1723"/>
      <c r="K59" s="2406"/>
      <c r="L59" s="2437"/>
      <c r="M59" s="2413"/>
    </row>
    <row r="60" spans="1:64" s="96" customFormat="1" ht="37.5" customHeight="1">
      <c r="A60" s="1720">
        <f t="shared" si="12"/>
        <v>14</v>
      </c>
      <c r="B60" s="1675" t="s">
        <v>2302</v>
      </c>
      <c r="C60" s="1710"/>
      <c r="D60" s="1711" t="str">
        <f t="shared" si="10"/>
        <v>14.02.</v>
      </c>
      <c r="F60" s="1055" t="str">
        <f t="shared" si="11"/>
        <v>14.02.</v>
      </c>
      <c r="G60" s="1061" t="str">
        <f>+G15</f>
        <v>Operaciones no de negociación (incluye operaciones de cobertura)</v>
      </c>
      <c r="H60" s="1024"/>
      <c r="I60" s="890"/>
      <c r="J60" s="891"/>
      <c r="K60" s="2427">
        <f>+K61+K64</f>
        <v>0</v>
      </c>
      <c r="L60" s="2428"/>
      <c r="M60" s="2429"/>
    </row>
    <row r="61" spans="1:64" s="96" customFormat="1" ht="37.5" customHeight="1">
      <c r="A61" s="1720">
        <f t="shared" si="12"/>
        <v>14</v>
      </c>
      <c r="B61" s="1675" t="s">
        <v>2326</v>
      </c>
      <c r="C61" s="1710"/>
      <c r="D61" s="1711" t="str">
        <f t="shared" si="10"/>
        <v>14.02.01.</v>
      </c>
      <c r="F61" s="1111" t="str">
        <f t="shared" si="11"/>
        <v>14.02.01.</v>
      </c>
      <c r="G61" s="1712" t="s">
        <v>2650</v>
      </c>
      <c r="H61" s="1713"/>
      <c r="I61" s="1714"/>
      <c r="J61" s="1715"/>
      <c r="K61" s="2408">
        <f>SUM(K62:M63)</f>
        <v>0</v>
      </c>
      <c r="L61" s="2410"/>
      <c r="M61" s="2411"/>
    </row>
    <row r="62" spans="1:64" s="96" customFormat="1" ht="37.5" customHeight="1">
      <c r="A62" s="1720">
        <f t="shared" si="12"/>
        <v>14</v>
      </c>
      <c r="B62" s="1675" t="s">
        <v>2463</v>
      </c>
      <c r="C62" s="1710"/>
      <c r="D62" s="1711" t="str">
        <f t="shared" si="10"/>
        <v>14.02.01.01.</v>
      </c>
      <c r="F62" s="892" t="str">
        <f t="shared" si="11"/>
        <v>14.02.01.01.</v>
      </c>
      <c r="G62" s="1716" t="s">
        <v>2651</v>
      </c>
      <c r="H62" s="1717"/>
      <c r="I62" s="1718"/>
      <c r="J62" s="1719"/>
      <c r="K62" s="2395"/>
      <c r="L62" s="2426"/>
      <c r="M62" s="2400"/>
    </row>
    <row r="63" spans="1:64" s="96" customFormat="1" ht="37.5" customHeight="1">
      <c r="A63" s="1720">
        <f t="shared" si="12"/>
        <v>14</v>
      </c>
      <c r="B63" s="1675" t="s">
        <v>2465</v>
      </c>
      <c r="C63" s="1710"/>
      <c r="D63" s="1711" t="str">
        <f t="shared" si="10"/>
        <v>14.02.01.02.</v>
      </c>
      <c r="F63" s="1721" t="str">
        <f t="shared" si="11"/>
        <v>14.02.01.02.</v>
      </c>
      <c r="G63" s="1716" t="s">
        <v>2652</v>
      </c>
      <c r="H63" s="1717"/>
      <c r="I63" s="1718"/>
      <c r="J63" s="1719"/>
      <c r="K63" s="2395"/>
      <c r="L63" s="2426"/>
      <c r="M63" s="2400"/>
    </row>
    <row r="64" spans="1:64" s="96" customFormat="1" ht="37.5" customHeight="1">
      <c r="A64" s="1720">
        <f t="shared" si="12"/>
        <v>14</v>
      </c>
      <c r="B64" s="1675" t="s">
        <v>2328</v>
      </c>
      <c r="C64" s="1710"/>
      <c r="D64" s="1711" t="str">
        <f t="shared" si="10"/>
        <v>14.02.02.</v>
      </c>
      <c r="F64" s="1111" t="str">
        <f t="shared" si="11"/>
        <v>14.02.02.</v>
      </c>
      <c r="G64" s="1712" t="s">
        <v>2653</v>
      </c>
      <c r="H64" s="1713"/>
      <c r="I64" s="1714"/>
      <c r="J64" s="1715"/>
      <c r="K64" s="2408">
        <f>SUM(K65:M66)</f>
        <v>0</v>
      </c>
      <c r="L64" s="2410"/>
      <c r="M64" s="2411"/>
    </row>
    <row r="65" spans="1:13" s="96" customFormat="1" ht="37.5" customHeight="1">
      <c r="A65" s="1720">
        <f t="shared" si="12"/>
        <v>14</v>
      </c>
      <c r="B65" s="1675" t="s">
        <v>2654</v>
      </c>
      <c r="C65" s="1710"/>
      <c r="D65" s="1711" t="str">
        <f t="shared" si="10"/>
        <v>14.02.02.01</v>
      </c>
      <c r="F65" s="1721" t="str">
        <f t="shared" si="11"/>
        <v>14.02.02.01</v>
      </c>
      <c r="G65" s="1716" t="s">
        <v>2651</v>
      </c>
      <c r="H65" s="1717"/>
      <c r="I65" s="1718"/>
      <c r="J65" s="1719"/>
      <c r="K65" s="2395"/>
      <c r="L65" s="2426"/>
      <c r="M65" s="2400"/>
    </row>
    <row r="66" spans="1:13" s="96" customFormat="1" ht="37.5" customHeight="1" thickBot="1">
      <c r="A66" s="1724">
        <f t="shared" si="12"/>
        <v>14</v>
      </c>
      <c r="B66" s="1702" t="s">
        <v>2655</v>
      </c>
      <c r="C66" s="1725"/>
      <c r="D66" s="1726" t="str">
        <f t="shared" si="10"/>
        <v>14.02.02.02</v>
      </c>
      <c r="F66" s="1727" t="str">
        <f t="shared" si="11"/>
        <v>14.02.02.02</v>
      </c>
      <c r="G66" s="1728" t="s">
        <v>2652</v>
      </c>
      <c r="H66" s="1729"/>
      <c r="I66" s="1730"/>
      <c r="J66" s="1731"/>
      <c r="K66" s="2397"/>
      <c r="L66" s="2436"/>
      <c r="M66" s="2402"/>
    </row>
    <row r="67" spans="1:13" s="96" customFormat="1" ht="18" customHeight="1">
      <c r="A67" s="1006"/>
      <c r="B67" s="879"/>
      <c r="C67" s="643"/>
      <c r="D67" s="1056"/>
      <c r="F67" s="1057"/>
      <c r="G67" s="1058"/>
      <c r="H67" s="1059"/>
      <c r="I67" s="880"/>
      <c r="J67" s="880"/>
      <c r="K67" s="1060"/>
      <c r="L67" s="1060"/>
      <c r="M67" s="1060"/>
    </row>
    <row r="68" spans="1:13" s="96" customFormat="1" ht="12" customHeight="1">
      <c r="A68" s="1006"/>
      <c r="B68" s="879"/>
      <c r="C68" s="643"/>
      <c r="D68" s="1056"/>
      <c r="F68" s="881"/>
      <c r="G68" s="881"/>
      <c r="H68" s="881"/>
      <c r="I68" s="881"/>
      <c r="J68" s="881"/>
      <c r="K68" s="881"/>
      <c r="L68" s="881"/>
      <c r="M68" s="881"/>
    </row>
    <row r="69" spans="1:13" s="96" customFormat="1" ht="19.5" customHeight="1" thickBot="1">
      <c r="A69" s="1006"/>
      <c r="B69" s="879"/>
      <c r="C69" s="643"/>
      <c r="D69" s="1056"/>
      <c r="F69" s="1057"/>
      <c r="G69" s="1058"/>
      <c r="H69" s="1059"/>
      <c r="I69" s="880"/>
      <c r="J69" s="880"/>
      <c r="K69" s="1060"/>
      <c r="L69" s="1060"/>
      <c r="M69" s="1060"/>
    </row>
    <row r="70" spans="1:13" s="96" customFormat="1" ht="37.5" customHeight="1" thickTop="1" thickBot="1">
      <c r="A70" s="1006"/>
      <c r="B70" s="879"/>
      <c r="C70" s="1"/>
      <c r="D70" s="854"/>
      <c r="F70" s="1071" t="s">
        <v>2656</v>
      </c>
      <c r="G70" s="887"/>
      <c r="H70" s="887"/>
      <c r="I70" s="887"/>
      <c r="J70" s="882"/>
      <c r="K70" s="883"/>
      <c r="L70" s="883"/>
      <c r="M70" s="883"/>
    </row>
    <row r="71" spans="1:13" s="96" customFormat="1" ht="72" customHeight="1" thickTop="1" thickBot="1">
      <c r="A71" s="1006"/>
      <c r="B71" s="879"/>
      <c r="C71" s="2373" t="str">
        <f ca="1">RIGHT(CELL("nombrearchivo",$A$2),LEN(CELL("nombrearchivo",$A$2))-SEARCH("]",CELL("nombrearchivo",$A$2)))</f>
        <v>Tabla IV.2.</v>
      </c>
      <c r="D71" s="2374"/>
      <c r="F71" s="1074"/>
      <c r="G71" s="1072"/>
      <c r="H71" s="1072"/>
      <c r="I71" s="1072"/>
      <c r="J71" s="1073"/>
      <c r="K71" s="2438" t="str">
        <f>"POSICIONES PENDIENTES 
AL FINAL DE "&amp;IF(TRIM=1,"MARZO",IF(TRIM=2,"JUNIO",IF(TRIM=3,"SETIEMBRE","DICIEMBRE")))&amp;" "&amp;Menu!C3</f>
        <v>POSICIONES PENDIENTES 
AL FINAL DE SETIEMBRE 2025</v>
      </c>
      <c r="L71" s="2438"/>
      <c r="M71" s="2439"/>
    </row>
    <row r="72" spans="1:13" s="96" customFormat="1" ht="37.5" customHeight="1" thickTop="1" thickBot="1">
      <c r="A72" s="871" t="s">
        <v>2261</v>
      </c>
      <c r="B72" s="871" t="s">
        <v>2262</v>
      </c>
      <c r="C72" s="806" t="s">
        <v>2171</v>
      </c>
      <c r="D72" s="807" t="s">
        <v>2172</v>
      </c>
      <c r="F72" s="875" t="s">
        <v>2169</v>
      </c>
      <c r="G72" s="2440" t="s">
        <v>2649</v>
      </c>
      <c r="H72" s="2441"/>
      <c r="I72" s="2441"/>
      <c r="J72" s="2442"/>
      <c r="K72" s="2430" t="s">
        <v>2591</v>
      </c>
      <c r="L72" s="2431"/>
      <c r="M72" s="2432"/>
    </row>
    <row r="73" spans="1:13" s="96" customFormat="1" ht="37.5" customHeight="1" thickTop="1">
      <c r="A73" s="1020">
        <f>+A59+1</f>
        <v>15</v>
      </c>
      <c r="B73" s="1021" t="s">
        <v>2272</v>
      </c>
      <c r="C73" s="866"/>
      <c r="D73" s="888" t="str">
        <f t="shared" ref="D73:D86" si="13">CONCATENATE(A73,B73)</f>
        <v>15.01.</v>
      </c>
      <c r="F73" s="889" t="str">
        <f t="shared" ref="F73:F86" si="14">+D73</f>
        <v>15.01.</v>
      </c>
      <c r="G73" s="1061" t="str">
        <f>+G17</f>
        <v>Operaciones con contraparte no residente</v>
      </c>
      <c r="H73" s="1024"/>
      <c r="I73" s="890"/>
      <c r="J73" s="891"/>
      <c r="K73" s="2433">
        <f>+K74+K77</f>
        <v>0</v>
      </c>
      <c r="L73" s="2434"/>
      <c r="M73" s="2435"/>
    </row>
    <row r="74" spans="1:13" s="96" customFormat="1" ht="37.5" customHeight="1">
      <c r="A74" s="1694">
        <f>+A73</f>
        <v>15</v>
      </c>
      <c r="B74" s="1675" t="s">
        <v>2320</v>
      </c>
      <c r="C74" s="1710"/>
      <c r="D74" s="1711" t="str">
        <f t="shared" si="13"/>
        <v>15.01.01.</v>
      </c>
      <c r="F74" s="1111" t="str">
        <f t="shared" si="14"/>
        <v>15.01.01.</v>
      </c>
      <c r="G74" s="1712" t="s">
        <v>2657</v>
      </c>
      <c r="H74" s="1713"/>
      <c r="I74" s="1714"/>
      <c r="J74" s="1715"/>
      <c r="K74" s="2408">
        <f>SUM(K75:M76)</f>
        <v>0</v>
      </c>
      <c r="L74" s="2410"/>
      <c r="M74" s="2411"/>
    </row>
    <row r="75" spans="1:13" s="96" customFormat="1" ht="37.5" customHeight="1">
      <c r="A75" s="1694">
        <f>+A74</f>
        <v>15</v>
      </c>
      <c r="B75" s="1675" t="s">
        <v>2321</v>
      </c>
      <c r="C75" s="1710"/>
      <c r="D75" s="1711" t="str">
        <f t="shared" si="13"/>
        <v>15.01.01.01.</v>
      </c>
      <c r="F75" s="892" t="str">
        <f t="shared" si="14"/>
        <v>15.01.01.01.</v>
      </c>
      <c r="G75" s="1716" t="s">
        <v>2651</v>
      </c>
      <c r="H75" s="1717"/>
      <c r="I75" s="1718"/>
      <c r="J75" s="1719"/>
      <c r="K75" s="2395"/>
      <c r="L75" s="2426"/>
      <c r="M75" s="2400"/>
    </row>
    <row r="76" spans="1:13" s="96" customFormat="1" ht="37.5" customHeight="1">
      <c r="A76" s="1720">
        <f t="shared" ref="A76:A86" si="15">+A75</f>
        <v>15</v>
      </c>
      <c r="B76" s="1675" t="s">
        <v>2323</v>
      </c>
      <c r="C76" s="1710"/>
      <c r="D76" s="1711" t="str">
        <f t="shared" si="13"/>
        <v>15.01.01.02.</v>
      </c>
      <c r="F76" s="1721" t="str">
        <f t="shared" si="14"/>
        <v>15.01.01.02.</v>
      </c>
      <c r="G76" s="1716" t="s">
        <v>2652</v>
      </c>
      <c r="H76" s="1717"/>
      <c r="I76" s="1718"/>
      <c r="J76" s="1719"/>
      <c r="K76" s="2395"/>
      <c r="L76" s="2426"/>
      <c r="M76" s="2400"/>
    </row>
    <row r="77" spans="1:13" s="96" customFormat="1" ht="37.5" customHeight="1">
      <c r="A77" s="1720">
        <f t="shared" si="15"/>
        <v>15</v>
      </c>
      <c r="B77" s="1675" t="s">
        <v>2325</v>
      </c>
      <c r="C77" s="1710"/>
      <c r="D77" s="1711" t="str">
        <f t="shared" si="13"/>
        <v>15.01.02.</v>
      </c>
      <c r="F77" s="1111" t="str">
        <f t="shared" si="14"/>
        <v>15.01.02.</v>
      </c>
      <c r="G77" s="1712" t="s">
        <v>2658</v>
      </c>
      <c r="H77" s="1713"/>
      <c r="I77" s="1714"/>
      <c r="J77" s="1715"/>
      <c r="K77" s="2408">
        <f>SUM(K78:M79)</f>
        <v>0</v>
      </c>
      <c r="L77" s="2410"/>
      <c r="M77" s="2411"/>
    </row>
    <row r="78" spans="1:13" s="96" customFormat="1" ht="37.5" customHeight="1">
      <c r="A78" s="1720">
        <f t="shared" si="15"/>
        <v>15</v>
      </c>
      <c r="B78" s="1675" t="s">
        <v>2618</v>
      </c>
      <c r="C78" s="1710"/>
      <c r="D78" s="1711" t="str">
        <f t="shared" si="13"/>
        <v>15.01.02.01</v>
      </c>
      <c r="F78" s="1721" t="str">
        <f t="shared" si="14"/>
        <v>15.01.02.01</v>
      </c>
      <c r="G78" s="1716" t="s">
        <v>2651</v>
      </c>
      <c r="H78" s="1717"/>
      <c r="I78" s="1718"/>
      <c r="J78" s="1719"/>
      <c r="K78" s="2395"/>
      <c r="L78" s="2426"/>
      <c r="M78" s="2400"/>
    </row>
    <row r="79" spans="1:13" s="96" customFormat="1" ht="37.5" customHeight="1">
      <c r="A79" s="1720">
        <f t="shared" si="15"/>
        <v>15</v>
      </c>
      <c r="B79" s="1675" t="s">
        <v>2619</v>
      </c>
      <c r="C79" s="1710"/>
      <c r="D79" s="1711" t="str">
        <f t="shared" si="13"/>
        <v>15.01.02.02</v>
      </c>
      <c r="F79" s="1721" t="str">
        <f t="shared" si="14"/>
        <v>15.01.02.02</v>
      </c>
      <c r="G79" s="1716" t="s">
        <v>2652</v>
      </c>
      <c r="H79" s="1717"/>
      <c r="I79" s="1722"/>
      <c r="J79" s="1723"/>
      <c r="K79" s="2406"/>
      <c r="L79" s="2437"/>
      <c r="M79" s="2413"/>
    </row>
    <row r="80" spans="1:13" s="96" customFormat="1" ht="37.5" customHeight="1">
      <c r="A80" s="1720">
        <f t="shared" si="15"/>
        <v>15</v>
      </c>
      <c r="B80" s="1675" t="s">
        <v>2302</v>
      </c>
      <c r="C80" s="1710"/>
      <c r="D80" s="1711" t="str">
        <f t="shared" si="13"/>
        <v>15.02.</v>
      </c>
      <c r="F80" s="1055" t="str">
        <f t="shared" si="14"/>
        <v>15.02.</v>
      </c>
      <c r="G80" s="1061" t="str">
        <f>+G18</f>
        <v>Operaciones con contraparte inmediata residente (p.ej. con la banca local)</v>
      </c>
      <c r="H80" s="1024"/>
      <c r="I80" s="890"/>
      <c r="J80" s="891"/>
      <c r="K80" s="2427">
        <f>+K81+K84</f>
        <v>0</v>
      </c>
      <c r="L80" s="2428"/>
      <c r="M80" s="2429"/>
    </row>
    <row r="81" spans="1:13" s="96" customFormat="1" ht="37.5" customHeight="1">
      <c r="A81" s="1720">
        <f t="shared" si="15"/>
        <v>15</v>
      </c>
      <c r="B81" s="1675" t="s">
        <v>2326</v>
      </c>
      <c r="C81" s="1710"/>
      <c r="D81" s="1711" t="str">
        <f t="shared" si="13"/>
        <v>15.02.01.</v>
      </c>
      <c r="F81" s="1111" t="str">
        <f t="shared" si="14"/>
        <v>15.02.01.</v>
      </c>
      <c r="G81" s="1712" t="s">
        <v>2659</v>
      </c>
      <c r="H81" s="1713"/>
      <c r="I81" s="1714"/>
      <c r="J81" s="1715"/>
      <c r="K81" s="2408">
        <f>SUM(K82:M83)</f>
        <v>0</v>
      </c>
      <c r="L81" s="2410"/>
      <c r="M81" s="2411"/>
    </row>
    <row r="82" spans="1:13" s="96" customFormat="1" ht="37.5" customHeight="1">
      <c r="A82" s="1720">
        <f t="shared" si="15"/>
        <v>15</v>
      </c>
      <c r="B82" s="1675" t="s">
        <v>2463</v>
      </c>
      <c r="C82" s="1710"/>
      <c r="D82" s="1711" t="str">
        <f t="shared" si="13"/>
        <v>15.02.01.01.</v>
      </c>
      <c r="F82" s="892" t="str">
        <f t="shared" si="14"/>
        <v>15.02.01.01.</v>
      </c>
      <c r="G82" s="1716" t="s">
        <v>2651</v>
      </c>
      <c r="H82" s="1717"/>
      <c r="I82" s="1718"/>
      <c r="J82" s="1719"/>
      <c r="K82" s="2395"/>
      <c r="L82" s="2426"/>
      <c r="M82" s="2400"/>
    </row>
    <row r="83" spans="1:13" s="96" customFormat="1" ht="37.5" customHeight="1">
      <c r="A83" s="1720">
        <f t="shared" si="15"/>
        <v>15</v>
      </c>
      <c r="B83" s="1675" t="s">
        <v>2465</v>
      </c>
      <c r="C83" s="1710"/>
      <c r="D83" s="1711" t="str">
        <f t="shared" si="13"/>
        <v>15.02.01.02.</v>
      </c>
      <c r="F83" s="1721" t="str">
        <f t="shared" si="14"/>
        <v>15.02.01.02.</v>
      </c>
      <c r="G83" s="1716" t="s">
        <v>2652</v>
      </c>
      <c r="H83" s="1717"/>
      <c r="I83" s="1718"/>
      <c r="J83" s="1719"/>
      <c r="K83" s="2395"/>
      <c r="L83" s="2426"/>
      <c r="M83" s="2400"/>
    </row>
    <row r="84" spans="1:13" s="96" customFormat="1" ht="37.5" customHeight="1">
      <c r="A84" s="1720">
        <f t="shared" si="15"/>
        <v>15</v>
      </c>
      <c r="B84" s="1675" t="s">
        <v>2328</v>
      </c>
      <c r="C84" s="1710"/>
      <c r="D84" s="1711" t="str">
        <f t="shared" si="13"/>
        <v>15.02.02.</v>
      </c>
      <c r="F84" s="1111" t="str">
        <f t="shared" si="14"/>
        <v>15.02.02.</v>
      </c>
      <c r="G84" s="1712" t="s">
        <v>2660</v>
      </c>
      <c r="H84" s="1713"/>
      <c r="I84" s="1714"/>
      <c r="J84" s="1715"/>
      <c r="K84" s="2408">
        <f>SUM(K85:M86)</f>
        <v>0</v>
      </c>
      <c r="L84" s="2410"/>
      <c r="M84" s="2411"/>
    </row>
    <row r="85" spans="1:13" s="96" customFormat="1" ht="37.5" customHeight="1">
      <c r="A85" s="1720">
        <f t="shared" si="15"/>
        <v>15</v>
      </c>
      <c r="B85" s="1675" t="s">
        <v>2654</v>
      </c>
      <c r="C85" s="1710"/>
      <c r="D85" s="1711" t="str">
        <f t="shared" si="13"/>
        <v>15.02.02.01</v>
      </c>
      <c r="F85" s="1721" t="str">
        <f t="shared" si="14"/>
        <v>15.02.02.01</v>
      </c>
      <c r="G85" s="1716" t="s">
        <v>2651</v>
      </c>
      <c r="H85" s="1717"/>
      <c r="I85" s="1718"/>
      <c r="J85" s="1719"/>
      <c r="K85" s="2395"/>
      <c r="L85" s="2426"/>
      <c r="M85" s="2400"/>
    </row>
    <row r="86" spans="1:13" s="96" customFormat="1" ht="37.5" customHeight="1" thickBot="1">
      <c r="A86" s="1724">
        <f t="shared" si="15"/>
        <v>15</v>
      </c>
      <c r="B86" s="1702" t="s">
        <v>2655</v>
      </c>
      <c r="C86" s="1725"/>
      <c r="D86" s="1726" t="str">
        <f t="shared" si="13"/>
        <v>15.02.02.02</v>
      </c>
      <c r="F86" s="1727" t="str">
        <f t="shared" si="14"/>
        <v>15.02.02.02</v>
      </c>
      <c r="G86" s="1728" t="s">
        <v>2652</v>
      </c>
      <c r="H86" s="1729"/>
      <c r="I86" s="1730"/>
      <c r="J86" s="1731"/>
      <c r="K86" s="2397"/>
      <c r="L86" s="2436"/>
      <c r="M86" s="2402"/>
    </row>
    <row r="87" spans="1:13" s="96" customFormat="1" ht="29.25" customHeight="1">
      <c r="A87" s="1007"/>
      <c r="B87" s="863"/>
    </row>
    <row r="88" spans="1:13" s="96" customFormat="1" ht="29.25" customHeight="1">
      <c r="A88" s="1007"/>
      <c r="B88" s="863"/>
    </row>
    <row r="89" spans="1:13" s="96" customFormat="1" ht="29.25" customHeight="1">
      <c r="A89" s="1007"/>
      <c r="B89" s="863"/>
    </row>
    <row r="90" spans="1:13" s="96" customFormat="1" ht="29.25" customHeight="1">
      <c r="A90" s="1007"/>
      <c r="B90" s="863"/>
    </row>
    <row r="91" spans="1:13" ht="29.25" customHeight="1"/>
    <row r="92" spans="1:13" ht="29.25" customHeight="1"/>
    <row r="93" spans="1:13" ht="29.25" customHeight="1"/>
    <row r="94" spans="1:13" ht="29.25" customHeight="1"/>
    <row r="95" spans="1:13" ht="29.25" customHeight="1"/>
    <row r="96" spans="1:13" ht="20.25" customHeight="1"/>
    <row r="97" ht="20.25" customHeight="1"/>
    <row r="98" ht="20.25" customHeight="1"/>
    <row r="99" ht="20.25" customHeight="1"/>
    <row r="100" ht="20.25" customHeight="1"/>
    <row r="101" ht="20.25" customHeight="1"/>
  </sheetData>
  <sheetProtection algorithmName="SHA-512" hashValue="CvyilERYgkUABZZxDKVf8Mp3XLMQkcddXrK88wEiNL6Jl8ZIN4tb53lt2rPlLmSAZ9X58xD7JDgqTjK5b2hoDA==" saltValue="6nNhHL53pSFxxFUkjWL2Sw==" spinCount="100000" sheet="1" objects="1" scenarios="1"/>
  <mergeCells count="79">
    <mergeCell ref="F6:M6"/>
    <mergeCell ref="C51:D51"/>
    <mergeCell ref="K59:M59"/>
    <mergeCell ref="K55:M55"/>
    <mergeCell ref="K51:M51"/>
    <mergeCell ref="K54:M54"/>
    <mergeCell ref="G52:J52"/>
    <mergeCell ref="H44:I44"/>
    <mergeCell ref="H37:I37"/>
    <mergeCell ref="J37:K37"/>
    <mergeCell ref="H39:I39"/>
    <mergeCell ref="J39:K39"/>
    <mergeCell ref="H38:I38"/>
    <mergeCell ref="H42:I42"/>
    <mergeCell ref="J42:K42"/>
    <mergeCell ref="H43:I43"/>
    <mergeCell ref="C71:D71"/>
    <mergeCell ref="K76:M76"/>
    <mergeCell ref="K77:M77"/>
    <mergeCell ref="K78:M78"/>
    <mergeCell ref="K72:M72"/>
    <mergeCell ref="K73:M73"/>
    <mergeCell ref="K74:M74"/>
    <mergeCell ref="K75:M75"/>
    <mergeCell ref="G72:J72"/>
    <mergeCell ref="K66:M66"/>
    <mergeCell ref="K79:M79"/>
    <mergeCell ref="K80:M80"/>
    <mergeCell ref="K81:M81"/>
    <mergeCell ref="K71:M71"/>
    <mergeCell ref="K82:M82"/>
    <mergeCell ref="K83:M83"/>
    <mergeCell ref="K84:M84"/>
    <mergeCell ref="K85:M85"/>
    <mergeCell ref="K86:M86"/>
    <mergeCell ref="K60:M60"/>
    <mergeCell ref="K52:M52"/>
    <mergeCell ref="K56:M56"/>
    <mergeCell ref="K57:M57"/>
    <mergeCell ref="K58:M58"/>
    <mergeCell ref="K53:M53"/>
    <mergeCell ref="K61:M61"/>
    <mergeCell ref="K62:M62"/>
    <mergeCell ref="K63:M63"/>
    <mergeCell ref="K64:M64"/>
    <mergeCell ref="K65:M65"/>
    <mergeCell ref="J43:K43"/>
    <mergeCell ref="J44:K44"/>
    <mergeCell ref="J38:K38"/>
    <mergeCell ref="J41:K41"/>
    <mergeCell ref="H41:I41"/>
    <mergeCell ref="H40:I40"/>
    <mergeCell ref="J40:K40"/>
    <mergeCell ref="L23:M23"/>
    <mergeCell ref="J26:K26"/>
    <mergeCell ref="H28:I28"/>
    <mergeCell ref="H29:I29"/>
    <mergeCell ref="J29:K29"/>
    <mergeCell ref="J27:K27"/>
    <mergeCell ref="J28:K28"/>
    <mergeCell ref="H24:I24"/>
    <mergeCell ref="J25:K25"/>
    <mergeCell ref="H27:I27"/>
    <mergeCell ref="C23:D23"/>
    <mergeCell ref="C36:D36"/>
    <mergeCell ref="C9:D9"/>
    <mergeCell ref="L10:M10"/>
    <mergeCell ref="H26:I26"/>
    <mergeCell ref="J24:K24"/>
    <mergeCell ref="H25:I25"/>
    <mergeCell ref="H10:I10"/>
    <mergeCell ref="J10:K10"/>
    <mergeCell ref="H23:K23"/>
    <mergeCell ref="H36:K36"/>
    <mergeCell ref="L36:M36"/>
    <mergeCell ref="H30:I30"/>
    <mergeCell ref="H31:I31"/>
    <mergeCell ref="J30:K30"/>
    <mergeCell ref="J31:K31"/>
  </mergeCells>
  <printOptions horizontalCentered="1" headings="1"/>
  <pageMargins left="0.43307086614173229" right="0.31496062992125984" top="0.43307086614173229" bottom="0.39370078740157483" header="0.35433070866141736" footer="0.19685039370078741"/>
  <pageSetup paperSize="9" scale="33" orientation="landscape" r:id="rId1"/>
  <headerFooter>
    <oddFooter>&amp;L&amp;"Arial,Negrita"&amp;14&amp;D   &amp;T&amp;C&amp;"Arial,Negrita"&amp;14&amp;F&amp;R&amp;"Arial,Negrita"&amp;14&amp;A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CE776-93D1-47F5-A668-48979B3D205B}">
  <sheetPr codeName="Hoja18">
    <tabColor rgb="FFFFFF00"/>
    <pageSetUpPr fitToPage="1"/>
  </sheetPr>
  <dimension ref="A1:BD25"/>
  <sheetViews>
    <sheetView showGridLines="0" topLeftCell="B1" zoomScale="55" zoomScaleNormal="55" workbookViewId="0">
      <pane ySplit="8" topLeftCell="A9" activePane="bottomLeft" state="frozen"/>
      <selection activeCell="H13" sqref="H13"/>
      <selection pane="bottomLeft" activeCell="K6" sqref="K6"/>
    </sheetView>
  </sheetViews>
  <sheetFormatPr baseColWidth="10" defaultColWidth="11.42578125" defaultRowHeight="12.75"/>
  <cols>
    <col min="1" max="1" width="23" style="495" hidden="1" customWidth="1"/>
    <col min="2" max="2" width="19.42578125" style="495" hidden="1" customWidth="1"/>
    <col min="3" max="3" width="12.140625" style="1374" customWidth="1"/>
    <col min="4" max="4" width="28.140625" style="1374" customWidth="1"/>
    <col min="5" max="5" width="81.7109375" style="1374" customWidth="1"/>
    <col min="6" max="7" width="33.140625" style="1374" customWidth="1"/>
    <col min="8" max="8" width="33.140625" style="495" customWidth="1"/>
    <col min="9" max="16384" width="11.42578125" style="495"/>
  </cols>
  <sheetData>
    <row r="1" spans="2:8" s="1374" customFormat="1" ht="40.15" customHeight="1" thickBot="1"/>
    <row r="2" spans="2:8" s="1376" customFormat="1" ht="123" customHeight="1" thickTop="1" thickBot="1">
      <c r="B2" s="1417" t="str">
        <f ca="1">RIGHT(CELL("nombrearchivo",B2),LEN(CELL("nombrearchivo",B2))-SEARCH("]",CELL("nombrearchivo",B2)))</f>
        <v>Tabla IV.3.</v>
      </c>
      <c r="C2" s="1375"/>
      <c r="D2" s="2457" t="s">
        <v>2661</v>
      </c>
      <c r="E2" s="2458"/>
      <c r="F2" s="2458"/>
      <c r="G2" s="2458"/>
      <c r="H2" s="2459"/>
    </row>
    <row r="3" spans="2:8" s="1376" customFormat="1" ht="81.599999999999994" customHeight="1" thickTop="1">
      <c r="C3" s="1375"/>
      <c r="D3" s="2460" t="s">
        <v>2662</v>
      </c>
      <c r="E3" s="2461"/>
      <c r="F3" s="2461"/>
      <c r="G3" s="2461"/>
      <c r="H3" s="2462"/>
    </row>
    <row r="4" spans="2:8" s="1376" customFormat="1" ht="44.25" customHeight="1" thickBot="1">
      <c r="C4" s="1375"/>
      <c r="D4" s="2463" t="s">
        <v>2625</v>
      </c>
      <c r="E4" s="2463"/>
      <c r="F4" s="2463"/>
      <c r="G4" s="2463"/>
      <c r="H4" s="2463"/>
    </row>
    <row r="5" spans="2:8" s="1374" customFormat="1" ht="56.25" customHeight="1" thickTop="1" thickBot="1">
      <c r="D5" s="2464" t="s">
        <v>2663</v>
      </c>
      <c r="E5" s="2465"/>
      <c r="F5" s="2465"/>
      <c r="G5" s="2465"/>
      <c r="H5" s="2466"/>
    </row>
    <row r="6" spans="2:8" s="1374" customFormat="1" ht="72" customHeight="1" thickTop="1" thickBot="1">
      <c r="D6" s="1377"/>
      <c r="E6" s="1378"/>
      <c r="F6" s="2467" t="s">
        <v>2664</v>
      </c>
      <c r="G6" s="2468"/>
      <c r="H6" s="2469"/>
    </row>
    <row r="7" spans="2:8" s="1374" customFormat="1" ht="36.75" thickTop="1" thickBot="1">
      <c r="D7" s="1379"/>
      <c r="E7" s="1380"/>
      <c r="F7" s="1415" t="s">
        <v>2266</v>
      </c>
      <c r="G7" s="1416" t="s">
        <v>2267</v>
      </c>
      <c r="H7" s="1416" t="s">
        <v>2268</v>
      </c>
    </row>
    <row r="8" spans="2:8" s="1374" customFormat="1" ht="92.25" customHeight="1" thickTop="1" thickBot="1">
      <c r="D8" s="1381" t="s">
        <v>2169</v>
      </c>
      <c r="E8" s="1382" t="s">
        <v>2649</v>
      </c>
      <c r="F8" s="1383" t="s">
        <v>2665</v>
      </c>
      <c r="G8" s="1384" t="s">
        <v>2666</v>
      </c>
      <c r="H8" s="1381" t="s">
        <v>2667</v>
      </c>
    </row>
    <row r="9" spans="2:8" s="1374" customFormat="1" ht="37.5" customHeight="1" thickTop="1">
      <c r="C9" s="1418"/>
      <c r="D9" s="1385" t="s">
        <v>2668</v>
      </c>
      <c r="E9" s="1386" t="s">
        <v>2669</v>
      </c>
      <c r="F9" s="1387">
        <f>+F10-F16</f>
        <v>0</v>
      </c>
      <c r="G9" s="1387">
        <f>+G10-G16</f>
        <v>0</v>
      </c>
      <c r="H9" s="1387">
        <f>+F9+G9</f>
        <v>0</v>
      </c>
    </row>
    <row r="10" spans="2:8" s="1374" customFormat="1" ht="37.5" customHeight="1">
      <c r="C10" s="1418"/>
      <c r="D10" s="1388" t="s">
        <v>2670</v>
      </c>
      <c r="E10" s="1439" t="s">
        <v>2671</v>
      </c>
      <c r="F10" s="1389">
        <f>SUM(F11:F15)</f>
        <v>0</v>
      </c>
      <c r="G10" s="1389">
        <f>SUM(G11:G15)</f>
        <v>0</v>
      </c>
      <c r="H10" s="1389">
        <f>+F10+G10</f>
        <v>0</v>
      </c>
    </row>
    <row r="11" spans="2:8" s="1374" customFormat="1" ht="37.5" customHeight="1">
      <c r="C11" s="1418"/>
      <c r="D11" s="1390" t="s">
        <v>2672</v>
      </c>
      <c r="E11" s="1440" t="s">
        <v>2673</v>
      </c>
      <c r="F11" s="1370"/>
      <c r="G11" s="1370"/>
      <c r="H11" s="1438">
        <f>+F11+G11</f>
        <v>0</v>
      </c>
    </row>
    <row r="12" spans="2:8" s="1374" customFormat="1" ht="37.5" customHeight="1">
      <c r="C12" s="1418"/>
      <c r="D12" s="1390" t="s">
        <v>2674</v>
      </c>
      <c r="E12" s="1732" t="s">
        <v>2675</v>
      </c>
      <c r="F12" s="1733"/>
      <c r="G12" s="1733"/>
      <c r="H12" s="1734">
        <f t="shared" ref="H12:H15" si="0">+F12+G12</f>
        <v>0</v>
      </c>
    </row>
    <row r="13" spans="2:8" s="1374" customFormat="1" ht="37.5" customHeight="1">
      <c r="C13" s="1418"/>
      <c r="D13" s="1390" t="s">
        <v>2676</v>
      </c>
      <c r="E13" s="1732" t="s">
        <v>2677</v>
      </c>
      <c r="F13" s="1733"/>
      <c r="G13" s="1733"/>
      <c r="H13" s="1734">
        <f t="shared" si="0"/>
        <v>0</v>
      </c>
    </row>
    <row r="14" spans="2:8" s="1374" customFormat="1" ht="37.5" customHeight="1">
      <c r="C14" s="1418"/>
      <c r="D14" s="1390" t="s">
        <v>2678</v>
      </c>
      <c r="E14" s="1732" t="s">
        <v>2652</v>
      </c>
      <c r="F14" s="1733"/>
      <c r="G14" s="1733"/>
      <c r="H14" s="1734">
        <f t="shared" si="0"/>
        <v>0</v>
      </c>
    </row>
    <row r="15" spans="2:8" s="1374" customFormat="1" ht="37.5" customHeight="1">
      <c r="C15" s="1418"/>
      <c r="D15" s="1735" t="s">
        <v>2679</v>
      </c>
      <c r="E15" s="1736" t="s">
        <v>2680</v>
      </c>
      <c r="F15" s="1737"/>
      <c r="G15" s="1737"/>
      <c r="H15" s="1738">
        <f t="shared" si="0"/>
        <v>0</v>
      </c>
    </row>
    <row r="16" spans="2:8" s="1374" customFormat="1" ht="37.5" customHeight="1">
      <c r="C16" s="1418"/>
      <c r="D16" s="1388" t="s">
        <v>2681</v>
      </c>
      <c r="E16" s="1439" t="s">
        <v>2682</v>
      </c>
      <c r="F16" s="1389">
        <f>SUM(F17:F21)</f>
        <v>0</v>
      </c>
      <c r="G16" s="1389">
        <f>SUM(G17:G21)</f>
        <v>0</v>
      </c>
      <c r="H16" s="1389">
        <f>+F16+G16</f>
        <v>0</v>
      </c>
    </row>
    <row r="17" spans="3:56" s="1374" customFormat="1" ht="37.5" customHeight="1">
      <c r="C17" s="1418"/>
      <c r="D17" s="1390" t="s">
        <v>2683</v>
      </c>
      <c r="E17" s="1440" t="s">
        <v>2673</v>
      </c>
      <c r="F17" s="1370"/>
      <c r="G17" s="1370"/>
      <c r="H17" s="1438">
        <f>+F17+G17</f>
        <v>0</v>
      </c>
    </row>
    <row r="18" spans="3:56" s="1374" customFormat="1" ht="37.5" customHeight="1">
      <c r="C18" s="1418"/>
      <c r="D18" s="1735" t="s">
        <v>2684</v>
      </c>
      <c r="E18" s="1732" t="s">
        <v>2675</v>
      </c>
      <c r="F18" s="1737"/>
      <c r="G18" s="1737"/>
      <c r="H18" s="1734">
        <f t="shared" ref="H18:H21" si="1">+F18+G18</f>
        <v>0</v>
      </c>
    </row>
    <row r="19" spans="3:56" s="1374" customFormat="1" ht="37.5" customHeight="1">
      <c r="C19" s="1418"/>
      <c r="D19" s="1735" t="s">
        <v>2685</v>
      </c>
      <c r="E19" s="1732" t="s">
        <v>2677</v>
      </c>
      <c r="F19" s="1737"/>
      <c r="G19" s="1737"/>
      <c r="H19" s="1734">
        <f t="shared" si="1"/>
        <v>0</v>
      </c>
    </row>
    <row r="20" spans="3:56" s="1374" customFormat="1" ht="37.5" customHeight="1">
      <c r="C20" s="1418"/>
      <c r="D20" s="1735" t="s">
        <v>2686</v>
      </c>
      <c r="E20" s="1732" t="s">
        <v>2652</v>
      </c>
      <c r="F20" s="1737"/>
      <c r="G20" s="1737"/>
      <c r="H20" s="1734">
        <f t="shared" si="1"/>
        <v>0</v>
      </c>
    </row>
    <row r="21" spans="3:56" s="1374" customFormat="1" ht="37.5" customHeight="1" thickBot="1">
      <c r="C21" s="1418"/>
      <c r="D21" s="1739" t="s">
        <v>2687</v>
      </c>
      <c r="E21" s="1740" t="s">
        <v>2680</v>
      </c>
      <c r="F21" s="1741"/>
      <c r="G21" s="1741"/>
      <c r="H21" s="1742">
        <f t="shared" si="1"/>
        <v>0</v>
      </c>
    </row>
    <row r="22" spans="3:56" s="1391" customFormat="1" ht="20.25" customHeight="1" thickTop="1">
      <c r="C22" s="1374"/>
      <c r="D22" s="1374"/>
      <c r="E22" s="1374"/>
      <c r="F22" s="1374"/>
      <c r="G22" s="1374"/>
      <c r="H22" s="495"/>
      <c r="I22" s="495"/>
      <c r="J22" s="495"/>
      <c r="K22" s="495"/>
      <c r="L22" s="495"/>
      <c r="M22" s="495"/>
      <c r="N22" s="495"/>
      <c r="O22" s="495"/>
      <c r="P22" s="495"/>
      <c r="Q22" s="495"/>
      <c r="R22" s="495"/>
      <c r="S22" s="495"/>
      <c r="T22" s="495"/>
      <c r="U22" s="495"/>
      <c r="V22" s="495"/>
      <c r="W22" s="495"/>
      <c r="X22" s="495"/>
      <c r="Y22" s="495"/>
      <c r="Z22" s="495"/>
      <c r="AA22" s="495"/>
      <c r="AB22" s="495"/>
      <c r="AC22" s="495"/>
      <c r="AD22" s="495"/>
      <c r="AE22" s="495"/>
      <c r="AF22" s="495"/>
      <c r="AG22" s="495"/>
      <c r="AH22" s="495"/>
      <c r="AI22" s="495"/>
      <c r="AJ22" s="495"/>
      <c r="AK22" s="495"/>
      <c r="AL22" s="495"/>
      <c r="AM22" s="495"/>
      <c r="AN22" s="495"/>
      <c r="AO22" s="495"/>
      <c r="AP22" s="495"/>
      <c r="AQ22" s="495"/>
      <c r="AR22" s="495"/>
      <c r="AS22" s="495"/>
      <c r="AT22" s="495"/>
      <c r="AU22" s="495"/>
      <c r="AV22" s="495"/>
      <c r="AW22" s="495"/>
      <c r="AX22" s="495"/>
      <c r="AY22" s="495"/>
      <c r="AZ22" s="495"/>
      <c r="BA22" s="495"/>
      <c r="BB22" s="495"/>
      <c r="BC22" s="495"/>
      <c r="BD22" s="495"/>
    </row>
    <row r="23" spans="3:56" s="1391" customFormat="1" ht="20.25" customHeight="1">
      <c r="C23" s="1374"/>
      <c r="D23" s="1374"/>
      <c r="E23" s="1374"/>
      <c r="F23" s="1374"/>
      <c r="G23" s="1374"/>
      <c r="H23" s="495"/>
      <c r="I23" s="495"/>
      <c r="J23" s="495"/>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c r="AJ23" s="495"/>
      <c r="AK23" s="495"/>
      <c r="AL23" s="495"/>
      <c r="AM23" s="495"/>
      <c r="AN23" s="495"/>
      <c r="AO23" s="495"/>
      <c r="AP23" s="495"/>
      <c r="AQ23" s="495"/>
      <c r="AR23" s="495"/>
      <c r="AS23" s="495"/>
      <c r="AT23" s="495"/>
      <c r="AU23" s="495"/>
      <c r="AV23" s="495"/>
      <c r="AW23" s="495"/>
      <c r="AX23" s="495"/>
      <c r="AY23" s="495"/>
      <c r="AZ23" s="495"/>
      <c r="BA23" s="495"/>
      <c r="BB23" s="495"/>
      <c r="BC23" s="495"/>
      <c r="BD23" s="495"/>
    </row>
    <row r="24" spans="3:56" s="1391" customFormat="1" ht="20.25" customHeight="1">
      <c r="C24" s="1374"/>
      <c r="D24" s="1374"/>
      <c r="E24" s="1374"/>
      <c r="F24" s="1374"/>
      <c r="G24" s="1374"/>
      <c r="H24" s="495"/>
      <c r="I24" s="495"/>
      <c r="J24" s="495"/>
      <c r="K24" s="495"/>
      <c r="L24" s="495"/>
      <c r="M24" s="495"/>
      <c r="N24" s="495"/>
      <c r="O24" s="495"/>
      <c r="P24" s="495"/>
      <c r="Q24" s="495"/>
      <c r="R24" s="495"/>
      <c r="S24" s="495"/>
      <c r="T24" s="495"/>
      <c r="U24" s="495"/>
      <c r="V24" s="495"/>
      <c r="W24" s="495"/>
      <c r="X24" s="495"/>
      <c r="Y24" s="495"/>
      <c r="Z24" s="495"/>
      <c r="AA24" s="495"/>
      <c r="AB24" s="495"/>
      <c r="AC24" s="495"/>
      <c r="AD24" s="495"/>
      <c r="AE24" s="495"/>
      <c r="AF24" s="495"/>
      <c r="AG24" s="495"/>
      <c r="AH24" s="495"/>
      <c r="AI24" s="495"/>
      <c r="AJ24" s="495"/>
      <c r="AK24" s="495"/>
      <c r="AL24" s="495"/>
      <c r="AM24" s="495"/>
      <c r="AN24" s="495"/>
      <c r="AO24" s="495"/>
      <c r="AP24" s="495"/>
      <c r="AQ24" s="495"/>
      <c r="AR24" s="495"/>
      <c r="AS24" s="495"/>
      <c r="AT24" s="495"/>
      <c r="AU24" s="495"/>
      <c r="AV24" s="495"/>
      <c r="AW24" s="495"/>
      <c r="AX24" s="495"/>
      <c r="AY24" s="495"/>
      <c r="AZ24" s="495"/>
      <c r="BA24" s="495"/>
      <c r="BB24" s="495"/>
      <c r="BC24" s="495"/>
      <c r="BD24" s="495"/>
    </row>
    <row r="25" spans="3:56" s="1391" customFormat="1" ht="20.25" customHeight="1">
      <c r="C25" s="1374"/>
      <c r="D25" s="1374"/>
      <c r="E25" s="1374"/>
      <c r="F25" s="1374"/>
      <c r="G25" s="1374"/>
      <c r="H25" s="495"/>
      <c r="I25" s="495"/>
      <c r="J25" s="495"/>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c r="AM25" s="495"/>
      <c r="AN25" s="495"/>
      <c r="AO25" s="495"/>
      <c r="AP25" s="495"/>
      <c r="AQ25" s="495"/>
      <c r="AR25" s="495"/>
      <c r="AS25" s="495"/>
      <c r="AT25" s="495"/>
      <c r="AU25" s="495"/>
      <c r="AV25" s="495"/>
      <c r="AW25" s="495"/>
      <c r="AX25" s="495"/>
      <c r="AY25" s="495"/>
      <c r="AZ25" s="495"/>
      <c r="BA25" s="495"/>
      <c r="BB25" s="495"/>
      <c r="BC25" s="495"/>
      <c r="BD25" s="495"/>
    </row>
  </sheetData>
  <sheetProtection algorithmName="SHA-512" hashValue="ah8PhoqlJ625haeD4DV1yK8SVOn0Wq6kur9cPVt2nDRDPA1UuLxv/dEzEaVAVa09XysD647RIajoxaf/35w4wA==" saltValue="gujm+3WpFDvNXYM8XeNN0Q==" spinCount="100000" sheet="1" objects="1" scenarios="1"/>
  <mergeCells count="5">
    <mergeCell ref="D2:H2"/>
    <mergeCell ref="D3:H3"/>
    <mergeCell ref="D4:H4"/>
    <mergeCell ref="D5:H5"/>
    <mergeCell ref="F6:H6"/>
  </mergeCells>
  <printOptions horizontalCentered="1" headings="1"/>
  <pageMargins left="0.43307086614173229" right="0.31496062992125984" top="0.43307086614173229" bottom="0.39370078740157483" header="0.35433070866141736" footer="0.19685039370078741"/>
  <pageSetup paperSize="9" scale="43" orientation="landscape" r:id="rId1"/>
  <headerFooter>
    <oddFooter>&amp;L&amp;"Arial,Negrita"&amp;14&amp;D   &amp;T&amp;C&amp;"Arial,Negrita"&amp;14&amp;F&amp;R&amp;"Arial,Negrita"&amp;14&amp;A</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rgb="FF00B0F0"/>
    <pageSetUpPr fitToPage="1"/>
  </sheetPr>
  <dimension ref="A1:M72"/>
  <sheetViews>
    <sheetView showGridLines="0" tabSelected="1" zoomScale="50" zoomScaleNormal="50" workbookViewId="0">
      <pane ySplit="2" topLeftCell="A3" activePane="bottomLeft" state="frozen"/>
      <selection activeCell="H13" sqref="H13"/>
      <selection pane="bottomLeft" activeCell="D11" sqref="D11:L11"/>
    </sheetView>
  </sheetViews>
  <sheetFormatPr baseColWidth="10" defaultColWidth="11.42578125" defaultRowHeight="18"/>
  <cols>
    <col min="1" max="1" width="23" style="594" customWidth="1"/>
    <col min="2" max="2" width="11.42578125" style="594"/>
    <col min="3" max="3" width="52.7109375" style="594" customWidth="1"/>
    <col min="4" max="4" width="15.7109375" style="594" customWidth="1"/>
    <col min="5" max="9" width="13.5703125" style="594" customWidth="1"/>
    <col min="10" max="10" width="40.42578125" style="594" customWidth="1"/>
    <col min="11" max="11" width="47" style="594" customWidth="1"/>
    <col min="12" max="12" width="12.7109375" style="594" customWidth="1"/>
    <col min="13" max="16384" width="11.42578125" style="594"/>
  </cols>
  <sheetData>
    <row r="1" spans="1:12" ht="63.75" customHeight="1" thickTop="1" thickBot="1">
      <c r="A1" s="1459" t="str">
        <f ca="1">RIGHT(CELL("nombrearchivo",A1),LEN(CELL("nombrearchivo",A1))-SEARCH("]",CELL("nombrearchivo",A1)))</f>
        <v>DatosGenerales</v>
      </c>
      <c r="B1" s="590" t="s">
        <v>26</v>
      </c>
      <c r="C1" s="591"/>
      <c r="D1" s="592"/>
      <c r="E1" s="592"/>
      <c r="F1" s="592"/>
      <c r="G1" s="592"/>
      <c r="H1" s="592"/>
      <c r="I1" s="592"/>
      <c r="J1" s="592"/>
      <c r="K1" s="592"/>
      <c r="L1" s="593"/>
    </row>
    <row r="2" spans="1:12" ht="9" customHeight="1">
      <c r="B2" s="595"/>
      <c r="C2" s="596"/>
      <c r="D2" s="596"/>
      <c r="E2" s="596"/>
      <c r="F2" s="596"/>
      <c r="G2" s="596"/>
      <c r="H2" s="596"/>
      <c r="I2" s="596"/>
      <c r="J2" s="596"/>
      <c r="K2" s="596"/>
      <c r="L2" s="597"/>
    </row>
    <row r="3" spans="1:12" ht="90">
      <c r="B3" s="598" t="s">
        <v>27</v>
      </c>
      <c r="C3" s="599"/>
      <c r="D3" s="599"/>
      <c r="E3" s="599"/>
      <c r="F3" s="599"/>
      <c r="G3" s="599"/>
      <c r="H3" s="599"/>
      <c r="I3" s="599"/>
      <c r="J3" s="599"/>
      <c r="K3" s="599"/>
      <c r="L3" s="600"/>
    </row>
    <row r="4" spans="1:12" ht="30">
      <c r="B4" s="601" t="str">
        <f>CONCATENATE(Menu!D3," ","TRIM."," ",Menu!C3)</f>
        <v>3 TRIM. 2025</v>
      </c>
      <c r="C4" s="599"/>
      <c r="D4" s="599"/>
      <c r="E4" s="599"/>
      <c r="F4" s="599"/>
      <c r="G4" s="599"/>
      <c r="H4" s="599"/>
      <c r="I4" s="599"/>
      <c r="J4" s="599"/>
      <c r="K4" s="599"/>
      <c r="L4" s="600"/>
    </row>
    <row r="5" spans="1:12" ht="6.75" customHeight="1" thickBot="1">
      <c r="B5" s="602"/>
      <c r="C5" s="1531"/>
      <c r="D5" s="1531"/>
      <c r="E5" s="1531"/>
      <c r="F5" s="1531"/>
      <c r="G5" s="1531"/>
      <c r="H5" s="1531"/>
      <c r="I5" s="1531"/>
      <c r="J5" s="1531"/>
      <c r="K5" s="1531"/>
      <c r="L5" s="603"/>
    </row>
    <row r="6" spans="1:12" ht="54.75" customHeight="1">
      <c r="B6" s="1302" t="s">
        <v>28</v>
      </c>
      <c r="C6" s="604"/>
      <c r="D6" s="604"/>
      <c r="E6" s="604"/>
      <c r="F6" s="604"/>
      <c r="G6" s="604"/>
      <c r="H6" s="604"/>
      <c r="I6" s="604"/>
      <c r="J6" s="604"/>
      <c r="K6" s="604"/>
      <c r="L6" s="605"/>
    </row>
    <row r="7" spans="1:12" ht="51" customHeight="1" thickBot="1">
      <c r="B7" s="1303" t="s">
        <v>29</v>
      </c>
      <c r="C7" s="1172"/>
      <c r="D7" s="1172"/>
      <c r="E7" s="1172"/>
      <c r="F7" s="1172"/>
      <c r="G7" s="1172"/>
      <c r="H7" s="1172"/>
      <c r="I7" s="1172"/>
      <c r="J7" s="1172"/>
      <c r="K7" s="1172"/>
      <c r="L7" s="1173"/>
    </row>
    <row r="8" spans="1:12" ht="60" customHeight="1" thickBot="1">
      <c r="B8" s="607"/>
      <c r="C8" s="608"/>
      <c r="D8" s="606"/>
      <c r="E8" s="2174" t="s">
        <v>30</v>
      </c>
      <c r="F8" s="2175"/>
      <c r="G8" s="2175"/>
      <c r="H8" s="2175"/>
      <c r="I8" s="2176"/>
      <c r="J8" s="609"/>
      <c r="K8" s="610"/>
      <c r="L8" s="611"/>
    </row>
    <row r="9" spans="1:12" ht="12.75" customHeight="1" thickBot="1">
      <c r="B9" s="612"/>
      <c r="C9" s="613"/>
      <c r="D9" s="613"/>
      <c r="E9" s="613"/>
      <c r="F9" s="613"/>
      <c r="G9" s="613"/>
      <c r="H9" s="613"/>
      <c r="I9" s="613"/>
      <c r="J9" s="613"/>
      <c r="K9" s="613"/>
      <c r="L9" s="614"/>
    </row>
    <row r="10" spans="1:12" s="1460" customFormat="1" ht="57.75" customHeight="1" thickTop="1" thickBot="1">
      <c r="B10" s="2190" t="s">
        <v>31</v>
      </c>
      <c r="C10" s="2191"/>
      <c r="D10" s="2191"/>
      <c r="E10" s="2191"/>
      <c r="F10" s="2191"/>
      <c r="G10" s="2191"/>
      <c r="H10" s="2191"/>
      <c r="I10" s="2191"/>
      <c r="J10" s="2191"/>
      <c r="K10" s="2191"/>
      <c r="L10" s="2192"/>
    </row>
    <row r="11" spans="1:12" s="1460" customFormat="1" ht="31.5" customHeight="1" thickTop="1">
      <c r="B11" s="2181" t="s">
        <v>32</v>
      </c>
      <c r="C11" s="2182"/>
      <c r="D11" s="2201"/>
      <c r="E11" s="2202"/>
      <c r="F11" s="2202"/>
      <c r="G11" s="2202"/>
      <c r="H11" s="2202"/>
      <c r="I11" s="2202"/>
      <c r="J11" s="2202"/>
      <c r="K11" s="2202"/>
      <c r="L11" s="2203"/>
    </row>
    <row r="12" spans="1:12" s="1460" customFormat="1" ht="31.5" customHeight="1">
      <c r="B12" s="2177" t="s">
        <v>33</v>
      </c>
      <c r="C12" s="2178"/>
      <c r="D12" s="2193"/>
      <c r="E12" s="2194"/>
      <c r="F12" s="2194"/>
      <c r="G12" s="2194"/>
      <c r="H12" s="2194"/>
      <c r="I12" s="2194"/>
      <c r="J12" s="2194"/>
      <c r="K12" s="2194"/>
      <c r="L12" s="2195"/>
    </row>
    <row r="13" spans="1:12" s="1460" customFormat="1" ht="31.5" customHeight="1">
      <c r="B13" s="2177" t="s">
        <v>34</v>
      </c>
      <c r="C13" s="2178"/>
      <c r="D13" s="2193"/>
      <c r="E13" s="2194"/>
      <c r="F13" s="2194"/>
      <c r="G13" s="2194"/>
      <c r="H13" s="2194"/>
      <c r="I13" s="2194"/>
      <c r="J13" s="2194"/>
      <c r="K13" s="2194"/>
      <c r="L13" s="2195"/>
    </row>
    <row r="14" spans="1:12" s="1460" customFormat="1" ht="31.5" customHeight="1">
      <c r="B14" s="2177" t="s">
        <v>35</v>
      </c>
      <c r="C14" s="2178"/>
      <c r="D14" s="2204"/>
      <c r="E14" s="2205"/>
      <c r="F14" s="2205"/>
      <c r="G14" s="2205"/>
      <c r="H14" s="2205"/>
      <c r="I14" s="2205"/>
      <c r="J14" s="2205"/>
      <c r="K14" s="2205"/>
      <c r="L14" s="2206"/>
    </row>
    <row r="15" spans="1:12" s="1460" customFormat="1" ht="31.5" customHeight="1">
      <c r="B15" s="2177" t="s">
        <v>36</v>
      </c>
      <c r="C15" s="2178"/>
      <c r="D15" s="2193"/>
      <c r="E15" s="2194"/>
      <c r="F15" s="2194"/>
      <c r="G15" s="2194"/>
      <c r="H15" s="2194"/>
      <c r="I15" s="2194"/>
      <c r="J15" s="2194"/>
      <c r="K15" s="2194"/>
      <c r="L15" s="2195"/>
    </row>
    <row r="16" spans="1:12" s="1460" customFormat="1" ht="31.5" customHeight="1">
      <c r="B16" s="2177" t="s">
        <v>37</v>
      </c>
      <c r="C16" s="2178"/>
      <c r="D16" s="2193"/>
      <c r="E16" s="2194"/>
      <c r="F16" s="2194"/>
      <c r="G16" s="2194"/>
      <c r="H16" s="2194"/>
      <c r="I16" s="2194"/>
      <c r="J16" s="2194"/>
      <c r="K16" s="2194"/>
      <c r="L16" s="2195"/>
    </row>
    <row r="17" spans="2:13" s="1460" customFormat="1" ht="31.5" customHeight="1">
      <c r="B17" s="2177" t="s">
        <v>38</v>
      </c>
      <c r="C17" s="2178"/>
      <c r="D17" s="2193"/>
      <c r="E17" s="2194"/>
      <c r="F17" s="2194"/>
      <c r="G17" s="2194"/>
      <c r="H17" s="2194"/>
      <c r="I17" s="2194"/>
      <c r="J17" s="2194"/>
      <c r="K17" s="2194"/>
      <c r="L17" s="2195"/>
    </row>
    <row r="18" spans="2:13" s="1460" customFormat="1" ht="31.5" customHeight="1">
      <c r="B18" s="2177" t="s">
        <v>39</v>
      </c>
      <c r="C18" s="2178"/>
      <c r="D18" s="2183"/>
      <c r="E18" s="2184"/>
      <c r="F18" s="2184"/>
      <c r="G18" s="2184"/>
      <c r="H18" s="2184"/>
      <c r="I18" s="2184"/>
      <c r="J18" s="2184"/>
      <c r="K18" s="2184"/>
      <c r="L18" s="2185"/>
    </row>
    <row r="19" spans="2:13" s="1460" customFormat="1" ht="31.5" customHeight="1">
      <c r="B19" s="2177" t="s">
        <v>40</v>
      </c>
      <c r="C19" s="2178"/>
      <c r="D19" s="2183"/>
      <c r="E19" s="2184"/>
      <c r="F19" s="2184"/>
      <c r="G19" s="2184"/>
      <c r="H19" s="2184"/>
      <c r="I19" s="2184"/>
      <c r="J19" s="2184"/>
      <c r="K19" s="2184"/>
      <c r="L19" s="2185"/>
    </row>
    <row r="20" spans="2:13" s="1460" customFormat="1" ht="31.5" customHeight="1" thickBot="1">
      <c r="B20" s="2179" t="s">
        <v>41</v>
      </c>
      <c r="C20" s="2180"/>
      <c r="D20" s="2196"/>
      <c r="E20" s="2197"/>
      <c r="F20" s="2197"/>
      <c r="G20" s="2197"/>
      <c r="H20" s="2197"/>
      <c r="I20" s="2197"/>
      <c r="J20" s="2197"/>
      <c r="K20" s="2197"/>
      <c r="L20" s="2198"/>
    </row>
    <row r="21" spans="2:13" s="1461" customFormat="1" ht="18.75" thickTop="1">
      <c r="B21" s="1462"/>
      <c r="C21" s="1463"/>
      <c r="D21" s="1463"/>
      <c r="E21" s="1463"/>
      <c r="F21" s="1463"/>
      <c r="G21" s="1463"/>
      <c r="H21" s="1463"/>
      <c r="I21" s="1463"/>
      <c r="J21" s="1463"/>
      <c r="K21" s="1463"/>
      <c r="L21" s="1464"/>
    </row>
    <row r="22" spans="2:13" s="1461" customFormat="1">
      <c r="B22" s="1465"/>
      <c r="C22" s="608"/>
      <c r="D22" s="608"/>
      <c r="E22" s="608"/>
      <c r="F22" s="608"/>
      <c r="G22" s="608"/>
      <c r="H22" s="608"/>
      <c r="I22" s="608"/>
      <c r="J22" s="608"/>
      <c r="K22" s="608"/>
      <c r="L22" s="1466"/>
    </row>
    <row r="23" spans="2:13" s="1460" customFormat="1" ht="43.5" hidden="1" customHeight="1">
      <c r="B23" s="1467"/>
      <c r="C23" s="1468" t="s">
        <v>42</v>
      </c>
      <c r="D23" s="1469"/>
      <c r="E23" s="1469"/>
      <c r="F23" s="1469"/>
      <c r="G23" s="1469"/>
      <c r="H23" s="1469"/>
      <c r="I23" s="1469"/>
      <c r="J23" s="1470"/>
      <c r="K23" s="1471" t="s">
        <v>43</v>
      </c>
      <c r="L23" s="1472"/>
    </row>
    <row r="24" spans="2:13" s="1460" customFormat="1" ht="34.5" hidden="1" customHeight="1" thickBot="1">
      <c r="B24" s="1473" t="s">
        <v>44</v>
      </c>
      <c r="C24" s="2199" t="s">
        <v>45</v>
      </c>
      <c r="D24" s="2199"/>
      <c r="E24" s="2199"/>
      <c r="F24" s="2199"/>
      <c r="G24" s="2199"/>
      <c r="H24" s="2199"/>
      <c r="I24" s="2199"/>
      <c r="J24" s="2200"/>
      <c r="K24" s="1474"/>
      <c r="L24" s="1472"/>
    </row>
    <row r="25" spans="2:13" s="1460" customFormat="1" ht="36.75" hidden="1" customHeight="1" thickBot="1">
      <c r="B25" s="1475" t="s">
        <v>44</v>
      </c>
      <c r="C25" s="2186" t="s">
        <v>46</v>
      </c>
      <c r="D25" s="2186"/>
      <c r="E25" s="2186"/>
      <c r="F25" s="2186"/>
      <c r="G25" s="2186"/>
      <c r="H25" s="2186"/>
      <c r="I25" s="2186"/>
      <c r="J25" s="2187"/>
      <c r="K25" s="1474"/>
      <c r="L25" s="1472"/>
      <c r="M25" s="1458"/>
    </row>
    <row r="26" spans="2:13" s="1460" customFormat="1" ht="35.25" hidden="1" customHeight="1" thickBot="1">
      <c r="B26" s="1476" t="s">
        <v>44</v>
      </c>
      <c r="C26" s="2186" t="s">
        <v>47</v>
      </c>
      <c r="D26" s="2186"/>
      <c r="E26" s="2186"/>
      <c r="F26" s="2186"/>
      <c r="G26" s="2186"/>
      <c r="H26" s="2186"/>
      <c r="I26" s="2186"/>
      <c r="J26" s="2187"/>
      <c r="K26" s="1477"/>
      <c r="L26" s="1472"/>
      <c r="M26" s="1458"/>
    </row>
    <row r="27" spans="2:13" s="1460" customFormat="1" ht="38.25" hidden="1" customHeight="1" thickBot="1">
      <c r="B27" s="1476" t="s">
        <v>44</v>
      </c>
      <c r="C27" s="2186" t="s">
        <v>48</v>
      </c>
      <c r="D27" s="2186"/>
      <c r="E27" s="2186"/>
      <c r="F27" s="2186"/>
      <c r="G27" s="2186"/>
      <c r="H27" s="2186"/>
      <c r="I27" s="2186"/>
      <c r="J27" s="2187"/>
      <c r="K27" s="1477"/>
      <c r="L27" s="1472"/>
    </row>
    <row r="28" spans="2:13" s="1460" customFormat="1" ht="41.25" hidden="1" customHeight="1" thickBot="1">
      <c r="B28" s="1476" t="s">
        <v>44</v>
      </c>
      <c r="C28" s="2186" t="s">
        <v>49</v>
      </c>
      <c r="D28" s="2186"/>
      <c r="E28" s="2186"/>
      <c r="F28" s="2186"/>
      <c r="G28" s="2186"/>
      <c r="H28" s="2186"/>
      <c r="I28" s="2186"/>
      <c r="J28" s="2187"/>
      <c r="K28" s="1477"/>
      <c r="L28" s="1472"/>
    </row>
    <row r="29" spans="2:13" s="1460" customFormat="1" ht="33.75" hidden="1" customHeight="1" thickBot="1">
      <c r="B29" s="1476" t="s">
        <v>44</v>
      </c>
      <c r="C29" s="2186" t="s">
        <v>50</v>
      </c>
      <c r="D29" s="2186"/>
      <c r="E29" s="2186"/>
      <c r="F29" s="2186"/>
      <c r="G29" s="2186"/>
      <c r="H29" s="2186"/>
      <c r="I29" s="2186"/>
      <c r="J29" s="2187"/>
      <c r="K29" s="1477"/>
      <c r="L29" s="1472"/>
    </row>
    <row r="30" spans="2:13" s="1460" customFormat="1" ht="39.75" hidden="1" customHeight="1" thickBot="1">
      <c r="B30" s="1476" t="s">
        <v>44</v>
      </c>
      <c r="C30" s="2186" t="s">
        <v>51</v>
      </c>
      <c r="D30" s="2186"/>
      <c r="E30" s="2186"/>
      <c r="F30" s="2186"/>
      <c r="G30" s="2186"/>
      <c r="H30" s="2186"/>
      <c r="I30" s="2186"/>
      <c r="J30" s="2187"/>
      <c r="K30" s="1477"/>
      <c r="L30" s="1472"/>
    </row>
    <row r="31" spans="2:13" s="1460" customFormat="1" ht="38.25" hidden="1" customHeight="1" thickBot="1">
      <c r="B31" s="1476" t="s">
        <v>44</v>
      </c>
      <c r="C31" s="2186" t="s">
        <v>52</v>
      </c>
      <c r="D31" s="2186"/>
      <c r="E31" s="2186"/>
      <c r="F31" s="2186"/>
      <c r="G31" s="2186"/>
      <c r="H31" s="2186"/>
      <c r="I31" s="2186"/>
      <c r="J31" s="2187"/>
      <c r="K31" s="1477"/>
      <c r="L31" s="1472"/>
    </row>
    <row r="32" spans="2:13" s="1460" customFormat="1" ht="38.25" hidden="1" customHeight="1" thickBot="1">
      <c r="B32" s="1476" t="s">
        <v>44</v>
      </c>
      <c r="C32" s="2186" t="s">
        <v>53</v>
      </c>
      <c r="D32" s="2186"/>
      <c r="E32" s="2186"/>
      <c r="F32" s="2186"/>
      <c r="G32" s="2186"/>
      <c r="H32" s="2186"/>
      <c r="I32" s="2186"/>
      <c r="J32" s="2187"/>
      <c r="K32" s="1477"/>
      <c r="L32" s="1472"/>
    </row>
    <row r="33" spans="2:12" s="1460" customFormat="1" ht="38.25" hidden="1" customHeight="1" thickBot="1">
      <c r="B33" s="1476"/>
      <c r="C33" s="2186" t="s">
        <v>54</v>
      </c>
      <c r="D33" s="2186"/>
      <c r="E33" s="2186"/>
      <c r="F33" s="2186"/>
      <c r="G33" s="2186"/>
      <c r="H33" s="2186"/>
      <c r="I33" s="2186"/>
      <c r="J33" s="2187"/>
      <c r="K33" s="1477"/>
      <c r="L33" s="1472"/>
    </row>
    <row r="34" spans="2:12" s="1460" customFormat="1" ht="38.25" hidden="1" customHeight="1" thickBot="1">
      <c r="B34" s="1476"/>
      <c r="C34" s="2186" t="s">
        <v>55</v>
      </c>
      <c r="D34" s="2186"/>
      <c r="E34" s="2186"/>
      <c r="F34" s="2186"/>
      <c r="G34" s="2186"/>
      <c r="H34" s="2186"/>
      <c r="I34" s="2186"/>
      <c r="J34" s="2187"/>
      <c r="K34" s="1477"/>
      <c r="L34" s="1472"/>
    </row>
    <row r="35" spans="2:12" s="1460" customFormat="1" ht="39.75" hidden="1" customHeight="1" thickBot="1">
      <c r="B35" s="1476" t="s">
        <v>44</v>
      </c>
      <c r="C35" s="2186" t="s">
        <v>56</v>
      </c>
      <c r="D35" s="2186"/>
      <c r="E35" s="2186"/>
      <c r="F35" s="2186"/>
      <c r="G35" s="2186"/>
      <c r="H35" s="2186"/>
      <c r="I35" s="2186"/>
      <c r="J35" s="2187"/>
      <c r="K35" s="1477"/>
      <c r="L35" s="1472"/>
    </row>
    <row r="36" spans="2:12" s="1460" customFormat="1" ht="39.75" hidden="1" customHeight="1" thickBot="1">
      <c r="B36" s="1478"/>
      <c r="C36" s="2188" t="s">
        <v>57</v>
      </c>
      <c r="D36" s="2188"/>
      <c r="E36" s="2188"/>
      <c r="F36" s="2188"/>
      <c r="G36" s="2188"/>
      <c r="H36" s="2188"/>
      <c r="I36" s="2188"/>
      <c r="J36" s="2189"/>
      <c r="K36" s="1479"/>
      <c r="L36" s="1472"/>
    </row>
    <row r="37" spans="2:12" s="1461" customFormat="1">
      <c r="B37" s="1465"/>
      <c r="C37" s="608"/>
      <c r="D37" s="608"/>
      <c r="E37" s="608"/>
      <c r="F37" s="608"/>
      <c r="G37" s="608"/>
      <c r="H37" s="608"/>
      <c r="I37" s="608"/>
      <c r="J37" s="608"/>
      <c r="K37" s="608"/>
      <c r="L37" s="1466"/>
    </row>
    <row r="38" spans="2:12" s="1461" customFormat="1">
      <c r="B38" s="1465"/>
      <c r="C38" s="608"/>
      <c r="D38" s="608"/>
      <c r="E38" s="608"/>
      <c r="F38" s="608"/>
      <c r="G38" s="608"/>
      <c r="H38" s="608"/>
      <c r="I38" s="608"/>
      <c r="J38" s="608"/>
      <c r="K38" s="608"/>
      <c r="L38" s="1466"/>
    </row>
    <row r="39" spans="2:12" s="1461" customFormat="1" ht="19.5" customHeight="1">
      <c r="B39" s="1465"/>
      <c r="C39" s="608"/>
      <c r="D39" s="608"/>
      <c r="E39" s="608"/>
      <c r="F39" s="608"/>
      <c r="G39" s="608"/>
      <c r="H39" s="608"/>
      <c r="I39" s="608"/>
      <c r="J39" s="608"/>
      <c r="K39" s="608"/>
      <c r="L39" s="1466"/>
    </row>
    <row r="40" spans="2:12" s="1461" customFormat="1" ht="60.75" customHeight="1">
      <c r="B40" s="2168" t="s">
        <v>58</v>
      </c>
      <c r="C40" s="2169"/>
      <c r="D40" s="2169"/>
      <c r="E40" s="2169"/>
      <c r="F40" s="2169"/>
      <c r="G40" s="2169"/>
      <c r="H40" s="2169"/>
      <c r="I40" s="2169"/>
      <c r="J40" s="2169"/>
      <c r="K40" s="2169"/>
      <c r="L40" s="2170"/>
    </row>
    <row r="41" spans="2:12" s="1482" customFormat="1" ht="76.5" customHeight="1" thickBot="1">
      <c r="B41" s="2171" t="s">
        <v>59</v>
      </c>
      <c r="C41" s="2172"/>
      <c r="D41" s="2172"/>
      <c r="E41" s="2172"/>
      <c r="F41" s="2172"/>
      <c r="G41" s="2172"/>
      <c r="H41" s="2172"/>
      <c r="I41" s="2172"/>
      <c r="J41" s="2172"/>
      <c r="K41" s="2172"/>
      <c r="L41" s="2173"/>
    </row>
    <row r="42" spans="2:12" s="1461" customFormat="1" ht="18.75" thickTop="1">
      <c r="B42" s="1480"/>
      <c r="C42" s="1480"/>
      <c r="D42" s="1480"/>
      <c r="E42" s="1480"/>
      <c r="F42" s="1480"/>
      <c r="G42" s="1480"/>
      <c r="H42" s="1480"/>
      <c r="I42" s="131"/>
      <c r="J42" s="1480"/>
      <c r="K42" s="1480"/>
      <c r="L42" s="1480"/>
    </row>
    <row r="43" spans="2:12" s="1461" customFormat="1">
      <c r="B43" s="1480"/>
      <c r="C43" s="1480"/>
      <c r="D43" s="1480"/>
      <c r="E43" s="1480"/>
      <c r="F43" s="1480"/>
      <c r="G43" s="1480"/>
      <c r="H43" s="1480"/>
      <c r="I43" s="1480"/>
      <c r="J43" s="1480"/>
      <c r="K43" s="1480"/>
      <c r="L43" s="1480"/>
    </row>
    <row r="44" spans="2:12" s="1461" customFormat="1">
      <c r="B44" s="1480"/>
      <c r="C44" s="1480"/>
      <c r="D44" s="1480"/>
      <c r="E44" s="1480"/>
      <c r="F44" s="1480"/>
      <c r="G44" s="1480"/>
      <c r="H44" s="1480"/>
      <c r="I44" s="1480"/>
      <c r="J44" s="1480"/>
      <c r="K44" s="1480"/>
      <c r="L44" s="1480"/>
    </row>
    <row r="45" spans="2:12" s="1461" customFormat="1">
      <c r="B45" s="1481"/>
      <c r="C45" s="1481"/>
      <c r="D45" s="1481"/>
      <c r="E45" s="1481"/>
      <c r="F45" s="1481"/>
      <c r="G45" s="1481"/>
      <c r="H45" s="1481"/>
      <c r="I45" s="1481"/>
      <c r="J45" s="1481"/>
      <c r="K45" s="1481"/>
      <c r="L45" s="1481"/>
    </row>
    <row r="46" spans="2:12">
      <c r="B46" s="589"/>
      <c r="C46" s="589"/>
      <c r="D46" s="589"/>
      <c r="E46" s="589"/>
      <c r="F46" s="589"/>
      <c r="G46" s="589"/>
      <c r="H46" s="589"/>
      <c r="I46" s="589"/>
      <c r="J46" s="589"/>
      <c r="K46" s="589"/>
      <c r="L46" s="589"/>
    </row>
    <row r="47" spans="2:12">
      <c r="B47" s="589"/>
      <c r="C47" s="589"/>
      <c r="D47" s="589"/>
      <c r="E47" s="589"/>
      <c r="F47" s="589"/>
      <c r="G47" s="589"/>
      <c r="H47" s="589"/>
      <c r="I47" s="589"/>
      <c r="J47" s="589"/>
      <c r="K47" s="589"/>
      <c r="L47" s="589"/>
    </row>
    <row r="48" spans="2:12">
      <c r="B48" s="589"/>
      <c r="C48" s="589"/>
      <c r="D48" s="589"/>
      <c r="E48" s="589"/>
      <c r="F48" s="589"/>
      <c r="G48" s="589"/>
      <c r="H48" s="589"/>
      <c r="I48" s="589"/>
      <c r="J48" s="589"/>
      <c r="K48" s="589"/>
      <c r="L48" s="589"/>
    </row>
    <row r="49" spans="2:12">
      <c r="B49" s="589"/>
      <c r="C49" s="589"/>
      <c r="D49" s="589"/>
      <c r="E49" s="589"/>
      <c r="F49" s="589"/>
      <c r="G49" s="589"/>
      <c r="H49" s="589"/>
      <c r="I49" s="589"/>
      <c r="J49" s="589"/>
      <c r="K49" s="589"/>
      <c r="L49" s="589"/>
    </row>
    <row r="50" spans="2:12">
      <c r="B50" s="589"/>
      <c r="C50" s="589"/>
      <c r="D50" s="589"/>
      <c r="E50" s="589"/>
      <c r="F50" s="589"/>
      <c r="G50" s="589"/>
      <c r="H50" s="589"/>
      <c r="I50" s="589"/>
      <c r="J50" s="589"/>
      <c r="K50" s="589"/>
      <c r="L50" s="589"/>
    </row>
    <row r="51" spans="2:12">
      <c r="B51" s="589"/>
      <c r="C51" s="589"/>
      <c r="D51" s="589"/>
      <c r="E51" s="589"/>
      <c r="F51" s="589"/>
      <c r="G51" s="589"/>
      <c r="H51" s="589"/>
      <c r="I51" s="589"/>
      <c r="J51" s="589"/>
      <c r="K51" s="589"/>
      <c r="L51" s="589"/>
    </row>
    <row r="52" spans="2:12">
      <c r="B52" s="589"/>
      <c r="C52" s="589"/>
      <c r="D52" s="589"/>
      <c r="E52" s="589"/>
      <c r="F52" s="589"/>
      <c r="G52" s="589"/>
      <c r="H52" s="589"/>
      <c r="I52" s="589"/>
      <c r="J52" s="589"/>
      <c r="K52" s="589"/>
      <c r="L52" s="589"/>
    </row>
    <row r="53" spans="2:12">
      <c r="B53" s="589"/>
      <c r="C53" s="589"/>
      <c r="D53" s="589"/>
      <c r="E53" s="589"/>
      <c r="F53" s="589"/>
      <c r="G53" s="589"/>
      <c r="H53" s="589"/>
      <c r="I53" s="589"/>
      <c r="J53" s="589"/>
      <c r="K53" s="589"/>
      <c r="L53" s="589"/>
    </row>
    <row r="54" spans="2:12">
      <c r="B54" s="589"/>
      <c r="C54" s="589"/>
      <c r="D54" s="589"/>
      <c r="E54" s="589"/>
      <c r="F54" s="589"/>
      <c r="G54" s="589"/>
      <c r="H54" s="589"/>
      <c r="I54" s="589"/>
      <c r="J54" s="589"/>
      <c r="K54" s="589"/>
      <c r="L54" s="589"/>
    </row>
    <row r="55" spans="2:12">
      <c r="B55" s="589"/>
      <c r="C55" s="589"/>
      <c r="D55" s="589"/>
      <c r="E55" s="589"/>
      <c r="F55" s="589"/>
      <c r="G55" s="589"/>
      <c r="H55" s="589"/>
      <c r="I55" s="589"/>
      <c r="J55" s="589"/>
      <c r="K55" s="589"/>
      <c r="L55" s="589"/>
    </row>
    <row r="56" spans="2:12">
      <c r="B56" s="589"/>
      <c r="C56" s="589"/>
      <c r="D56" s="589"/>
      <c r="E56" s="589"/>
      <c r="F56" s="589"/>
      <c r="G56" s="589"/>
      <c r="H56" s="589"/>
      <c r="I56" s="589"/>
      <c r="J56" s="589"/>
      <c r="K56" s="589"/>
      <c r="L56" s="589"/>
    </row>
    <row r="57" spans="2:12">
      <c r="B57" s="589"/>
      <c r="C57" s="589"/>
      <c r="D57" s="589"/>
      <c r="E57" s="589"/>
      <c r="F57" s="589"/>
      <c r="G57" s="589"/>
      <c r="H57" s="589"/>
      <c r="I57" s="589"/>
      <c r="J57" s="589"/>
      <c r="K57" s="589"/>
      <c r="L57" s="589"/>
    </row>
    <row r="58" spans="2:12">
      <c r="B58" s="589"/>
      <c r="C58" s="589"/>
      <c r="D58" s="589"/>
      <c r="E58" s="589"/>
      <c r="F58" s="589"/>
      <c r="G58" s="589"/>
      <c r="H58" s="589"/>
      <c r="I58" s="589"/>
      <c r="J58" s="589"/>
      <c r="K58" s="589"/>
      <c r="L58" s="589"/>
    </row>
    <row r="59" spans="2:12">
      <c r="B59" s="589"/>
      <c r="C59" s="589"/>
      <c r="D59" s="589"/>
      <c r="E59" s="589"/>
      <c r="F59" s="589"/>
      <c r="G59" s="589"/>
      <c r="H59" s="589"/>
      <c r="I59" s="589"/>
      <c r="J59" s="589"/>
      <c r="K59" s="589"/>
      <c r="L59" s="589"/>
    </row>
    <row r="60" spans="2:12">
      <c r="B60" s="589"/>
      <c r="C60" s="589"/>
      <c r="D60" s="589"/>
      <c r="E60" s="589"/>
      <c r="F60" s="589"/>
      <c r="G60" s="589"/>
      <c r="H60" s="589"/>
      <c r="I60" s="589"/>
      <c r="J60" s="589"/>
      <c r="K60" s="589"/>
      <c r="L60" s="589"/>
    </row>
    <row r="61" spans="2:12">
      <c r="B61" s="589"/>
      <c r="C61" s="589"/>
      <c r="D61" s="589"/>
      <c r="E61" s="589"/>
      <c r="F61" s="589"/>
      <c r="G61" s="589"/>
      <c r="H61" s="589"/>
      <c r="I61" s="589"/>
      <c r="J61" s="589"/>
      <c r="K61" s="589"/>
      <c r="L61" s="589"/>
    </row>
    <row r="62" spans="2:12">
      <c r="B62" s="589"/>
      <c r="C62" s="589"/>
      <c r="D62" s="589"/>
      <c r="E62" s="589"/>
      <c r="F62" s="589"/>
      <c r="G62" s="589"/>
      <c r="H62" s="589"/>
      <c r="I62" s="589"/>
      <c r="J62" s="589"/>
      <c r="K62" s="589"/>
      <c r="L62" s="589"/>
    </row>
    <row r="63" spans="2:12">
      <c r="B63" s="589"/>
      <c r="C63" s="589"/>
      <c r="D63" s="589"/>
      <c r="E63" s="589"/>
      <c r="F63" s="589"/>
      <c r="G63" s="589"/>
      <c r="H63" s="589"/>
      <c r="I63" s="589"/>
      <c r="J63" s="589"/>
      <c r="K63" s="589"/>
      <c r="L63" s="589"/>
    </row>
    <row r="64" spans="2:12">
      <c r="B64" s="589"/>
      <c r="C64" s="589"/>
      <c r="D64" s="589"/>
      <c r="E64" s="589"/>
      <c r="F64" s="589"/>
      <c r="G64" s="589"/>
      <c r="H64" s="589"/>
      <c r="I64" s="589"/>
      <c r="J64" s="589"/>
      <c r="K64" s="589"/>
      <c r="L64" s="589"/>
    </row>
    <row r="65" spans="2:12">
      <c r="B65" s="589"/>
      <c r="C65" s="589"/>
      <c r="D65" s="589"/>
      <c r="E65" s="589"/>
      <c r="F65" s="589"/>
      <c r="G65" s="589"/>
      <c r="H65" s="589"/>
      <c r="I65" s="589"/>
      <c r="J65" s="589"/>
      <c r="K65" s="589"/>
      <c r="L65" s="589"/>
    </row>
    <row r="66" spans="2:12">
      <c r="B66" s="589"/>
      <c r="C66" s="589"/>
      <c r="D66" s="589"/>
      <c r="E66" s="589"/>
      <c r="F66" s="589"/>
      <c r="G66" s="589"/>
      <c r="H66" s="589"/>
      <c r="I66" s="589"/>
      <c r="J66" s="589"/>
      <c r="K66" s="589"/>
      <c r="L66" s="589"/>
    </row>
    <row r="67" spans="2:12">
      <c r="B67" s="589"/>
      <c r="C67" s="589"/>
      <c r="D67" s="589"/>
      <c r="E67" s="589"/>
      <c r="F67" s="589"/>
      <c r="G67" s="589"/>
      <c r="H67" s="589"/>
      <c r="I67" s="589"/>
      <c r="J67" s="589"/>
      <c r="K67" s="589"/>
      <c r="L67" s="589"/>
    </row>
    <row r="68" spans="2:12">
      <c r="B68" s="589"/>
      <c r="C68" s="589"/>
      <c r="D68" s="589"/>
      <c r="E68" s="589"/>
      <c r="F68" s="589"/>
      <c r="G68" s="589"/>
      <c r="H68" s="589"/>
      <c r="I68" s="589"/>
      <c r="J68" s="589"/>
      <c r="K68" s="589"/>
      <c r="L68" s="589"/>
    </row>
    <row r="69" spans="2:12">
      <c r="B69" s="589"/>
      <c r="C69" s="589"/>
      <c r="D69" s="589"/>
      <c r="E69" s="589"/>
      <c r="F69" s="589"/>
      <c r="G69" s="589"/>
      <c r="H69" s="589"/>
      <c r="I69" s="589"/>
      <c r="J69" s="589"/>
      <c r="K69" s="589"/>
      <c r="L69" s="589"/>
    </row>
    <row r="70" spans="2:12">
      <c r="B70" s="589"/>
      <c r="C70" s="589"/>
      <c r="D70" s="589"/>
      <c r="E70" s="589"/>
      <c r="F70" s="589"/>
      <c r="G70" s="589"/>
      <c r="H70" s="589"/>
      <c r="I70" s="589"/>
      <c r="J70" s="589"/>
      <c r="K70" s="589"/>
      <c r="L70" s="589"/>
    </row>
    <row r="71" spans="2:12">
      <c r="B71" s="589"/>
      <c r="C71" s="589"/>
      <c r="D71" s="589"/>
      <c r="E71" s="589"/>
      <c r="F71" s="589"/>
      <c r="G71" s="589"/>
      <c r="H71" s="589"/>
      <c r="I71" s="589"/>
      <c r="J71" s="589"/>
      <c r="K71" s="589"/>
      <c r="L71" s="589"/>
    </row>
    <row r="72" spans="2:12">
      <c r="B72" s="589"/>
      <c r="C72" s="589"/>
      <c r="D72" s="589"/>
      <c r="E72" s="589"/>
      <c r="F72" s="589"/>
      <c r="G72" s="589"/>
      <c r="H72" s="589"/>
      <c r="I72" s="589"/>
      <c r="J72" s="589"/>
      <c r="K72" s="589"/>
      <c r="L72" s="589"/>
    </row>
  </sheetData>
  <sheetProtection algorithmName="SHA-512" hashValue="qY6yZnjw5baAlhTvTMJgA65omtNOx9EZH9DbsaxJbIBQ9HXfv5mglpmojExjiclqFSDNtNAMldFypYhLp5E2mw==" saltValue="3kaSczrEs9fNdVOM0deUfA==" spinCount="100000" sheet="1" objects="1" scenarios="1"/>
  <mergeCells count="37">
    <mergeCell ref="B10:L10"/>
    <mergeCell ref="D17:L17"/>
    <mergeCell ref="D18:L18"/>
    <mergeCell ref="C32:J32"/>
    <mergeCell ref="D20:L20"/>
    <mergeCell ref="C29:J29"/>
    <mergeCell ref="C24:J24"/>
    <mergeCell ref="C25:J25"/>
    <mergeCell ref="D16:L16"/>
    <mergeCell ref="D11:L11"/>
    <mergeCell ref="C26:J26"/>
    <mergeCell ref="B18:C18"/>
    <mergeCell ref="D12:L12"/>
    <mergeCell ref="D13:L13"/>
    <mergeCell ref="D15:L15"/>
    <mergeCell ref="D14:L14"/>
    <mergeCell ref="C27:J27"/>
    <mergeCell ref="C28:J28"/>
    <mergeCell ref="C33:J33"/>
    <mergeCell ref="C30:J30"/>
    <mergeCell ref="C31:J31"/>
    <mergeCell ref="B40:L40"/>
    <mergeCell ref="B41:L41"/>
    <mergeCell ref="E8:I8"/>
    <mergeCell ref="B19:C19"/>
    <mergeCell ref="B20:C20"/>
    <mergeCell ref="B11:C11"/>
    <mergeCell ref="B12:C12"/>
    <mergeCell ref="B13:C13"/>
    <mergeCell ref="B14:C14"/>
    <mergeCell ref="B16:C16"/>
    <mergeCell ref="B17:C17"/>
    <mergeCell ref="B15:C15"/>
    <mergeCell ref="D19:L19"/>
    <mergeCell ref="C34:J34"/>
    <mergeCell ref="C35:J35"/>
    <mergeCell ref="C36:J36"/>
  </mergeCells>
  <phoneticPr fontId="0" type="noConversion"/>
  <dataValidations count="1">
    <dataValidation type="textLength" allowBlank="1" showInputMessage="1" showErrorMessage="1" errorTitle="RUC ERRONEO" error="EL RUC ES DE 11 DIGITOS" sqref="D11:L11" xr:uid="{00000000-0002-0000-0200-000000000000}">
      <formula1>11</formula1>
      <formula2>11</formula2>
    </dataValidation>
  </dataValidations>
  <hyperlinks>
    <hyperlink ref="B24" location="'2.a'!B4" display="011" xr:uid="{00000000-0004-0000-0200-000000000000}"/>
    <hyperlink ref="B26" location="'3'!B4" display="Ver" xr:uid="{00000000-0004-0000-0200-000001000000}"/>
    <hyperlink ref="B35" location="'7'!B4" display="Ver" xr:uid="{00000000-0004-0000-0200-000002000000}"/>
    <hyperlink ref="B27" location="'4'!B11" display="Ver" xr:uid="{00000000-0004-0000-0200-000003000000}"/>
    <hyperlink ref="B28" location="'5'!B4" display="Ver" xr:uid="{00000000-0004-0000-0200-000004000000}"/>
    <hyperlink ref="B29" location="'6'!B4" display="Ver" xr:uid="{00000000-0004-0000-0200-000005000000}"/>
    <hyperlink ref="B32" location="'5'!B31" display="Ver" xr:uid="{00000000-0004-0000-0200-000006000000}"/>
    <hyperlink ref="B30" location="'6'!A21" display="Ver" xr:uid="{00000000-0004-0000-0200-000007000000}"/>
    <hyperlink ref="B25" location="'2.b'!B14" display="Ver" xr:uid="{00000000-0004-0000-0200-000008000000}"/>
    <hyperlink ref="B31" location="'6'!B33" display="Ver" xr:uid="{00000000-0004-0000-0200-000009000000}"/>
    <hyperlink ref="B40:F40" r:id="rId1" display="PARA VER EL MARCO LEGAL HAGA &quot;CLICK&quot; AQUÍ" xr:uid="{00000000-0004-0000-0200-00000A000000}"/>
  </hyperlinks>
  <printOptions horizontalCentered="1" verticalCentered="1"/>
  <pageMargins left="0.35433070866141736" right="0.19685039370078741" top="0.51" bottom="0.37" header="0" footer="0"/>
  <pageSetup paperSize="9" scale="56" orientation="landscape" r:id="rId2"/>
  <headerFooter alignWithMargins="0">
    <oddFooter>&amp;L&amp;18&amp;A&amp;C&amp;18&amp;D    &amp;T&amp;R&amp;18&amp;F</oddFooter>
  </headerFooter>
  <drawing r:id="rId3"/>
  <legacyDrawing r:id="rId4"/>
  <controls>
    <mc:AlternateContent xmlns:mc="http://schemas.openxmlformats.org/markup-compatibility/2006">
      <mc:Choice Requires="x14">
        <control shapeId="1047" r:id="rId5" name="ComboBox1">
          <controlPr locked="0" print="0" autoLine="0" autoPict="0" listFillRange="TCambio!#REF!" r:id="rId6">
            <anchor moveWithCells="1" sizeWithCells="1">
              <from>
                <xdr:col>10</xdr:col>
                <xdr:colOff>66675</xdr:colOff>
                <xdr:row>22</xdr:row>
                <xdr:rowOff>0</xdr:rowOff>
              </from>
              <to>
                <xdr:col>10</xdr:col>
                <xdr:colOff>1476375</xdr:colOff>
                <xdr:row>22</xdr:row>
                <xdr:rowOff>0</xdr:rowOff>
              </to>
            </anchor>
          </controlPr>
        </control>
      </mc:Choice>
      <mc:Fallback>
        <control shapeId="1047" r:id="rId5" name="ComboBox1"/>
      </mc:Fallback>
    </mc:AlternateContent>
    <mc:AlternateContent xmlns:mc="http://schemas.openxmlformats.org/markup-compatibility/2006">
      <mc:Choice Requires="x14">
        <control shapeId="1048" r:id="rId7" name="ComboBox2">
          <controlPr print="0" autoLine="0" autoPict="0" listFillRange="TCambio!#REF!" r:id="rId8">
            <anchor moveWithCells="1" sizeWithCells="1">
              <from>
                <xdr:col>10</xdr:col>
                <xdr:colOff>66675</xdr:colOff>
                <xdr:row>22</xdr:row>
                <xdr:rowOff>0</xdr:rowOff>
              </from>
              <to>
                <xdr:col>10</xdr:col>
                <xdr:colOff>1476375</xdr:colOff>
                <xdr:row>22</xdr:row>
                <xdr:rowOff>0</xdr:rowOff>
              </to>
            </anchor>
          </controlPr>
        </control>
      </mc:Choice>
      <mc:Fallback>
        <control shapeId="1048" r:id="rId7" name="ComboBox2"/>
      </mc:Fallback>
    </mc:AlternateContent>
    <mc:AlternateContent xmlns:mc="http://schemas.openxmlformats.org/markup-compatibility/2006">
      <mc:Choice Requires="x14">
        <control shapeId="1049" r:id="rId9" name="ComboBox3">
          <controlPr print="0" autoLine="0" autoPict="0" listFillRange="TCambio!#REF!" r:id="rId10">
            <anchor moveWithCells="1" sizeWithCells="1">
              <from>
                <xdr:col>10</xdr:col>
                <xdr:colOff>66675</xdr:colOff>
                <xdr:row>22</xdr:row>
                <xdr:rowOff>0</xdr:rowOff>
              </from>
              <to>
                <xdr:col>10</xdr:col>
                <xdr:colOff>1476375</xdr:colOff>
                <xdr:row>22</xdr:row>
                <xdr:rowOff>0</xdr:rowOff>
              </to>
            </anchor>
          </controlPr>
        </control>
      </mc:Choice>
      <mc:Fallback>
        <control shapeId="1049" r:id="rId9" name="ComboBox3"/>
      </mc:Fallback>
    </mc:AlternateContent>
    <mc:AlternateContent xmlns:mc="http://schemas.openxmlformats.org/markup-compatibility/2006">
      <mc:Choice Requires="x14">
        <control shapeId="1050" r:id="rId11" name="ComboBox4">
          <controlPr print="0" autoLine="0" autoPict="0" listFillRange="TCambio!#REF!" r:id="rId12">
            <anchor moveWithCells="1" sizeWithCells="1">
              <from>
                <xdr:col>10</xdr:col>
                <xdr:colOff>66675</xdr:colOff>
                <xdr:row>22</xdr:row>
                <xdr:rowOff>0</xdr:rowOff>
              </from>
              <to>
                <xdr:col>10</xdr:col>
                <xdr:colOff>1476375</xdr:colOff>
                <xdr:row>22</xdr:row>
                <xdr:rowOff>0</xdr:rowOff>
              </to>
            </anchor>
          </controlPr>
        </control>
      </mc:Choice>
      <mc:Fallback>
        <control shapeId="1050" r:id="rId11" name="ComboBox4"/>
      </mc:Fallback>
    </mc:AlternateContent>
    <mc:AlternateContent xmlns:mc="http://schemas.openxmlformats.org/markup-compatibility/2006">
      <mc:Choice Requires="x14">
        <control shapeId="1051" r:id="rId13" name="ComboBox5">
          <controlPr print="0" autoLine="0" autoPict="0" listFillRange="TCambio!#REF!" r:id="rId14">
            <anchor moveWithCells="1" sizeWithCells="1">
              <from>
                <xdr:col>10</xdr:col>
                <xdr:colOff>66675</xdr:colOff>
                <xdr:row>22</xdr:row>
                <xdr:rowOff>0</xdr:rowOff>
              </from>
              <to>
                <xdr:col>10</xdr:col>
                <xdr:colOff>1476375</xdr:colOff>
                <xdr:row>22</xdr:row>
                <xdr:rowOff>0</xdr:rowOff>
              </to>
            </anchor>
          </controlPr>
        </control>
      </mc:Choice>
      <mc:Fallback>
        <control shapeId="1051" r:id="rId13" name="ComboBox5"/>
      </mc:Fallback>
    </mc:AlternateContent>
    <mc:AlternateContent xmlns:mc="http://schemas.openxmlformats.org/markup-compatibility/2006">
      <mc:Choice Requires="x14">
        <control shapeId="1052" r:id="rId15" name="ComboBox6">
          <controlPr print="0" autoLine="0" autoPict="0" listFillRange="TCambio!#REF!" r:id="rId16">
            <anchor moveWithCells="1" sizeWithCells="1">
              <from>
                <xdr:col>10</xdr:col>
                <xdr:colOff>66675</xdr:colOff>
                <xdr:row>22</xdr:row>
                <xdr:rowOff>0</xdr:rowOff>
              </from>
              <to>
                <xdr:col>10</xdr:col>
                <xdr:colOff>1476375</xdr:colOff>
                <xdr:row>22</xdr:row>
                <xdr:rowOff>0</xdr:rowOff>
              </to>
            </anchor>
          </controlPr>
        </control>
      </mc:Choice>
      <mc:Fallback>
        <control shapeId="1052" r:id="rId15" name="ComboBox6"/>
      </mc:Fallback>
    </mc:AlternateContent>
    <mc:AlternateContent xmlns:mc="http://schemas.openxmlformats.org/markup-compatibility/2006">
      <mc:Choice Requires="x14">
        <control shapeId="1053" r:id="rId17" name="ComboBox7">
          <controlPr print="0" autoLine="0" autoPict="0" listFillRange="TCambio!#REF!" r:id="rId18">
            <anchor moveWithCells="1" sizeWithCells="1">
              <from>
                <xdr:col>10</xdr:col>
                <xdr:colOff>66675</xdr:colOff>
                <xdr:row>22</xdr:row>
                <xdr:rowOff>0</xdr:rowOff>
              </from>
              <to>
                <xdr:col>10</xdr:col>
                <xdr:colOff>1476375</xdr:colOff>
                <xdr:row>22</xdr:row>
                <xdr:rowOff>0</xdr:rowOff>
              </to>
            </anchor>
          </controlPr>
        </control>
      </mc:Choice>
      <mc:Fallback>
        <control shapeId="1053" r:id="rId17" name="ComboBox7"/>
      </mc:Fallback>
    </mc:AlternateContent>
    <mc:AlternateContent xmlns:mc="http://schemas.openxmlformats.org/markup-compatibility/2006">
      <mc:Choice Requires="x14">
        <control shapeId="1054" r:id="rId19" name="ComboBox8">
          <controlPr print="0" autoLine="0" autoPict="0" listFillRange="TCambio!#REF!" r:id="rId20">
            <anchor moveWithCells="1" sizeWithCells="1">
              <from>
                <xdr:col>10</xdr:col>
                <xdr:colOff>66675</xdr:colOff>
                <xdr:row>22</xdr:row>
                <xdr:rowOff>0</xdr:rowOff>
              </from>
              <to>
                <xdr:col>10</xdr:col>
                <xdr:colOff>1476375</xdr:colOff>
                <xdr:row>22</xdr:row>
                <xdr:rowOff>0</xdr:rowOff>
              </to>
            </anchor>
          </controlPr>
        </control>
      </mc:Choice>
      <mc:Fallback>
        <control shapeId="1054" r:id="rId19" name="ComboBox8"/>
      </mc:Fallback>
    </mc:AlternateContent>
    <mc:AlternateContent xmlns:mc="http://schemas.openxmlformats.org/markup-compatibility/2006">
      <mc:Choice Requires="x14">
        <control shapeId="1055" r:id="rId21" name="ComboBox9">
          <controlPr print="0" autoLine="0" autoPict="0" listFillRange="TCambio!#REF!" r:id="rId22">
            <anchor moveWithCells="1" sizeWithCells="1">
              <from>
                <xdr:col>10</xdr:col>
                <xdr:colOff>66675</xdr:colOff>
                <xdr:row>22</xdr:row>
                <xdr:rowOff>0</xdr:rowOff>
              </from>
              <to>
                <xdr:col>10</xdr:col>
                <xdr:colOff>1476375</xdr:colOff>
                <xdr:row>22</xdr:row>
                <xdr:rowOff>0</xdr:rowOff>
              </to>
            </anchor>
          </controlPr>
        </control>
      </mc:Choice>
      <mc:Fallback>
        <control shapeId="1055" r:id="rId21" name="ComboBox9"/>
      </mc:Fallback>
    </mc:AlternateContent>
    <mc:AlternateContent xmlns:mc="http://schemas.openxmlformats.org/markup-compatibility/2006">
      <mc:Choice Requires="x14">
        <control shapeId="1056" r:id="rId23" name="ComboBox10">
          <controlPr print="0" autoLine="0" autoPict="0" listFillRange="TCambio!#REF!" r:id="rId24">
            <anchor moveWithCells="1" sizeWithCells="1">
              <from>
                <xdr:col>10</xdr:col>
                <xdr:colOff>38100</xdr:colOff>
                <xdr:row>22</xdr:row>
                <xdr:rowOff>0</xdr:rowOff>
              </from>
              <to>
                <xdr:col>10</xdr:col>
                <xdr:colOff>1447800</xdr:colOff>
                <xdr:row>22</xdr:row>
                <xdr:rowOff>0</xdr:rowOff>
              </to>
            </anchor>
          </controlPr>
        </control>
      </mc:Choice>
      <mc:Fallback>
        <control shapeId="1056" r:id="rId23" name="ComboBox10"/>
      </mc:Fallback>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13EA6-20C6-4799-849C-6E0DF23BD5B8}">
  <sheetPr codeName="Hoja22">
    <tabColor theme="5" tint="-0.249977111117893"/>
  </sheetPr>
  <dimension ref="A1:O266"/>
  <sheetViews>
    <sheetView zoomScaleNormal="100" workbookViewId="0">
      <pane ySplit="1" topLeftCell="A2" activePane="bottomLeft" state="frozen"/>
      <selection activeCell="H13" sqref="H13"/>
      <selection pane="bottomLeft" activeCell="C9" sqref="C9"/>
    </sheetView>
  </sheetViews>
  <sheetFormatPr baseColWidth="10" defaultColWidth="11.42578125" defaultRowHeight="14.25"/>
  <cols>
    <col min="1" max="3" width="11.42578125" style="12"/>
    <col min="4" max="4" width="17" style="1027" customWidth="1"/>
    <col min="5" max="5" width="12" style="1181" bestFit="1" customWidth="1"/>
    <col min="6" max="6" width="22.28515625" style="1816" bestFit="1" customWidth="1"/>
    <col min="7" max="9" width="11.42578125" style="12"/>
    <col min="10" max="10" width="21.7109375" style="1181" customWidth="1"/>
    <col min="11" max="11" width="11.42578125" style="1409"/>
    <col min="12" max="12" width="10" style="1399" customWidth="1"/>
    <col min="13" max="13" width="5" customWidth="1"/>
  </cols>
  <sheetData>
    <row r="1" spans="1:15" s="523" customFormat="1" ht="45.75" customHeight="1" thickBot="1">
      <c r="A1" s="1428" t="s">
        <v>2926</v>
      </c>
      <c r="B1" s="1428" t="s">
        <v>2927</v>
      </c>
      <c r="C1" s="1428" t="s">
        <v>2940</v>
      </c>
      <c r="D1" s="1428" t="s">
        <v>2928</v>
      </c>
      <c r="E1" s="1428" t="s">
        <v>67</v>
      </c>
      <c r="F1" s="1809" t="s">
        <v>2933</v>
      </c>
      <c r="G1" s="1428" t="s">
        <v>2941</v>
      </c>
      <c r="H1" s="1428" t="s">
        <v>2942</v>
      </c>
      <c r="I1" s="1429" t="s">
        <v>2943</v>
      </c>
      <c r="J1" s="1429" t="s">
        <v>2934</v>
      </c>
      <c r="K1" s="1429" t="s">
        <v>2935</v>
      </c>
      <c r="L1" s="1398" t="s">
        <v>2126</v>
      </c>
      <c r="M1" s="1435"/>
    </row>
    <row r="2" spans="1:15">
      <c r="A2" s="1181" t="s">
        <v>2944</v>
      </c>
      <c r="B2" s="1181" t="str">
        <f t="shared" ref="B2:B65" si="0">+IF(C2="v2",IF(TRIM&gt;1,ANUAL&amp;"0"&amp;(TRIM-1),(ANUAL-1)&amp;"04"),ANUAL&amp;"0"&amp;TRIM)</f>
        <v>202502</v>
      </c>
      <c r="C2" s="1181" t="s">
        <v>2946</v>
      </c>
      <c r="D2" s="1401" t="str">
        <f>'Panorama B.'!F11</f>
        <v>19..01.</v>
      </c>
      <c r="E2" s="1181">
        <f t="shared" ref="E2:E65" si="1">RUC</f>
        <v>0</v>
      </c>
      <c r="F2" s="1810">
        <f>+'Panorama B.'!H11</f>
        <v>0</v>
      </c>
      <c r="G2" s="1424" t="s">
        <v>2254</v>
      </c>
      <c r="H2" s="1181">
        <v>1</v>
      </c>
      <c r="I2" s="1181">
        <v>1</v>
      </c>
      <c r="J2" s="1393" t="str">
        <f ca="1">+'Panorama B.'!C7</f>
        <v>Panorama B.</v>
      </c>
      <c r="K2" s="1409" t="s">
        <v>2266</v>
      </c>
      <c r="L2" s="1400">
        <v>1</v>
      </c>
      <c r="M2" s="1434"/>
      <c r="O2" s="1342"/>
    </row>
    <row r="3" spans="1:15">
      <c r="A3" s="1181" t="s">
        <v>2944</v>
      </c>
      <c r="B3" s="1181" t="str">
        <f t="shared" si="0"/>
        <v>202502</v>
      </c>
      <c r="C3" s="1181" t="s">
        <v>2946</v>
      </c>
      <c r="D3" s="1401" t="str">
        <f>+D2</f>
        <v>19..01.</v>
      </c>
      <c r="E3" s="1181">
        <f t="shared" si="1"/>
        <v>0</v>
      </c>
      <c r="F3" s="1810">
        <f>'Panorama B.'!I11</f>
        <v>0</v>
      </c>
      <c r="G3" s="1424" t="s">
        <v>2255</v>
      </c>
      <c r="H3" s="1181">
        <f>+H2</f>
        <v>1</v>
      </c>
      <c r="I3" s="1181">
        <f>+I2+1</f>
        <v>2</v>
      </c>
      <c r="J3" s="1393" t="str">
        <f ca="1">+J2</f>
        <v>Panorama B.</v>
      </c>
      <c r="K3" s="1409" t="s">
        <v>2266</v>
      </c>
      <c r="L3" s="1400"/>
      <c r="M3" s="1434"/>
    </row>
    <row r="4" spans="1:15">
      <c r="A4" s="1181" t="s">
        <v>2944</v>
      </c>
      <c r="B4" s="1181" t="str">
        <f t="shared" si="0"/>
        <v>202502</v>
      </c>
      <c r="C4" s="1181" t="s">
        <v>2946</v>
      </c>
      <c r="D4" s="1401" t="str">
        <f t="shared" ref="D4:D7" si="2">+D3</f>
        <v>19..01.</v>
      </c>
      <c r="E4" s="1181">
        <f t="shared" si="1"/>
        <v>0</v>
      </c>
      <c r="F4" s="1810">
        <f>'Panorama B.'!J11</f>
        <v>0</v>
      </c>
      <c r="G4" s="1424" t="s">
        <v>2256</v>
      </c>
      <c r="H4" s="1181">
        <f t="shared" ref="H4:H7" si="3">+H3</f>
        <v>1</v>
      </c>
      <c r="I4" s="1181">
        <f t="shared" ref="I4:I7" si="4">+I3+1</f>
        <v>3</v>
      </c>
      <c r="J4" s="1393" t="str">
        <f t="shared" ref="J4:J68" ca="1" si="5">+J3</f>
        <v>Panorama B.</v>
      </c>
      <c r="K4" s="1409" t="s">
        <v>2266</v>
      </c>
      <c r="L4" s="1400"/>
      <c r="M4" s="1434"/>
    </row>
    <row r="5" spans="1:15">
      <c r="A5" s="1181" t="s">
        <v>2944</v>
      </c>
      <c r="B5" s="1181" t="str">
        <f t="shared" si="0"/>
        <v>202503</v>
      </c>
      <c r="C5" s="1181" t="s">
        <v>2945</v>
      </c>
      <c r="D5" s="1401" t="str">
        <f t="shared" si="2"/>
        <v>19..01.</v>
      </c>
      <c r="E5" s="1181">
        <f t="shared" si="1"/>
        <v>0</v>
      </c>
      <c r="F5" s="1810">
        <f>'Panorama B.'!K11</f>
        <v>0</v>
      </c>
      <c r="G5" s="1424" t="s">
        <v>2257</v>
      </c>
      <c r="H5" s="1181">
        <f t="shared" si="3"/>
        <v>1</v>
      </c>
      <c r="I5" s="1181">
        <f t="shared" si="4"/>
        <v>4</v>
      </c>
      <c r="J5" s="1393" t="str">
        <f t="shared" ca="1" si="5"/>
        <v>Panorama B.</v>
      </c>
      <c r="K5" s="1409" t="s">
        <v>2266</v>
      </c>
      <c r="L5" s="1400"/>
      <c r="M5" s="1434"/>
    </row>
    <row r="6" spans="1:15">
      <c r="A6" s="1181" t="s">
        <v>2944</v>
      </c>
      <c r="B6" s="1181" t="str">
        <f t="shared" si="0"/>
        <v>202503</v>
      </c>
      <c r="C6" s="1181" t="s">
        <v>2945</v>
      </c>
      <c r="D6" s="1401" t="str">
        <f t="shared" si="2"/>
        <v>19..01.</v>
      </c>
      <c r="E6" s="1181">
        <f t="shared" si="1"/>
        <v>0</v>
      </c>
      <c r="F6" s="1810">
        <f>'Panorama B.'!L11</f>
        <v>0</v>
      </c>
      <c r="G6" s="1424" t="s">
        <v>2258</v>
      </c>
      <c r="H6" s="1181">
        <f t="shared" si="3"/>
        <v>1</v>
      </c>
      <c r="I6" s="1181">
        <f t="shared" si="4"/>
        <v>5</v>
      </c>
      <c r="J6" s="1393" t="str">
        <f t="shared" ca="1" si="5"/>
        <v>Panorama B.</v>
      </c>
      <c r="K6" s="1409" t="s">
        <v>2266</v>
      </c>
      <c r="L6" s="1400"/>
      <c r="M6" s="1434"/>
    </row>
    <row r="7" spans="1:15">
      <c r="A7" s="1181" t="s">
        <v>2944</v>
      </c>
      <c r="B7" s="1181" t="str">
        <f t="shared" si="0"/>
        <v>202503</v>
      </c>
      <c r="C7" s="1181" t="s">
        <v>2945</v>
      </c>
      <c r="D7" s="1401" t="str">
        <f t="shared" si="2"/>
        <v>19..01.</v>
      </c>
      <c r="E7" s="1181">
        <f t="shared" si="1"/>
        <v>0</v>
      </c>
      <c r="F7" s="1810">
        <f>'Panorama B.'!M11</f>
        <v>0</v>
      </c>
      <c r="G7" s="1424" t="s">
        <v>2259</v>
      </c>
      <c r="H7" s="1181">
        <f t="shared" si="3"/>
        <v>1</v>
      </c>
      <c r="I7" s="1181">
        <f t="shared" si="4"/>
        <v>6</v>
      </c>
      <c r="J7" s="1393" t="str">
        <f t="shared" ca="1" si="5"/>
        <v>Panorama B.</v>
      </c>
      <c r="K7" s="1409" t="s">
        <v>2266</v>
      </c>
      <c r="L7" s="1400"/>
      <c r="M7" s="1434"/>
    </row>
    <row r="8" spans="1:15" s="458" customFormat="1">
      <c r="A8" s="1406" t="s">
        <v>2944</v>
      </c>
      <c r="B8" s="1406" t="str">
        <f t="shared" si="0"/>
        <v>202502</v>
      </c>
      <c r="C8" s="1406" t="s">
        <v>2946</v>
      </c>
      <c r="D8" s="1403" t="str">
        <f>+'Panorama B.'!F12</f>
        <v>19..01.01.</v>
      </c>
      <c r="E8" s="1406">
        <f t="shared" si="1"/>
        <v>0</v>
      </c>
      <c r="F8" s="1811">
        <f>+'Panorama B.'!H12</f>
        <v>0</v>
      </c>
      <c r="G8" s="1425" t="s">
        <v>2254</v>
      </c>
      <c r="H8" s="1406">
        <f>+H2+1</f>
        <v>2</v>
      </c>
      <c r="I8" s="1406">
        <f>+I2</f>
        <v>1</v>
      </c>
      <c r="J8" s="1407" t="str">
        <f t="shared" ca="1" si="5"/>
        <v>Panorama B.</v>
      </c>
      <c r="K8" s="1410" t="s">
        <v>2266</v>
      </c>
      <c r="L8" s="1404">
        <f>+L2+1</f>
        <v>2</v>
      </c>
      <c r="M8" s="1436"/>
    </row>
    <row r="9" spans="1:15" s="458" customFormat="1">
      <c r="A9" s="1406" t="s">
        <v>2944</v>
      </c>
      <c r="B9" s="1406" t="str">
        <f t="shared" si="0"/>
        <v>202502</v>
      </c>
      <c r="C9" s="1406" t="s">
        <v>2946</v>
      </c>
      <c r="D9" s="1403" t="str">
        <f>+D8</f>
        <v>19..01.01.</v>
      </c>
      <c r="E9" s="1406">
        <f t="shared" si="1"/>
        <v>0</v>
      </c>
      <c r="F9" s="1811">
        <f>'Panorama B.'!I12</f>
        <v>0</v>
      </c>
      <c r="G9" s="1425" t="s">
        <v>2255</v>
      </c>
      <c r="H9" s="1406">
        <f>+H8</f>
        <v>2</v>
      </c>
      <c r="I9" s="1406">
        <f t="shared" ref="I9:I30" si="6">+I3</f>
        <v>2</v>
      </c>
      <c r="J9" s="1407" t="str">
        <f t="shared" ca="1" si="5"/>
        <v>Panorama B.</v>
      </c>
      <c r="K9" s="1410" t="s">
        <v>2266</v>
      </c>
      <c r="L9" s="1405"/>
      <c r="M9" s="1436"/>
    </row>
    <row r="10" spans="1:15" s="458" customFormat="1">
      <c r="A10" s="1406" t="s">
        <v>2944</v>
      </c>
      <c r="B10" s="1406" t="str">
        <f t="shared" si="0"/>
        <v>202502</v>
      </c>
      <c r="C10" s="1406" t="s">
        <v>2946</v>
      </c>
      <c r="D10" s="1403" t="str">
        <f t="shared" ref="D10:D13" si="7">+D9</f>
        <v>19..01.01.</v>
      </c>
      <c r="E10" s="1406">
        <f t="shared" si="1"/>
        <v>0</v>
      </c>
      <c r="F10" s="1811">
        <f>'Panorama B.'!J12</f>
        <v>0</v>
      </c>
      <c r="G10" s="1425" t="s">
        <v>2256</v>
      </c>
      <c r="H10" s="1406">
        <f t="shared" ref="H10:H13" si="8">+H9</f>
        <v>2</v>
      </c>
      <c r="I10" s="1406">
        <f t="shared" si="6"/>
        <v>3</v>
      </c>
      <c r="J10" s="1407" t="str">
        <f t="shared" ca="1" si="5"/>
        <v>Panorama B.</v>
      </c>
      <c r="K10" s="1410" t="s">
        <v>2266</v>
      </c>
      <c r="L10" s="1405"/>
      <c r="M10" s="1436"/>
    </row>
    <row r="11" spans="1:15" s="458" customFormat="1">
      <c r="A11" s="1406" t="s">
        <v>2944</v>
      </c>
      <c r="B11" s="1406" t="str">
        <f t="shared" si="0"/>
        <v>202503</v>
      </c>
      <c r="C11" s="1406" t="s">
        <v>2945</v>
      </c>
      <c r="D11" s="1403" t="str">
        <f t="shared" si="7"/>
        <v>19..01.01.</v>
      </c>
      <c r="E11" s="1406">
        <f t="shared" si="1"/>
        <v>0</v>
      </c>
      <c r="F11" s="1811">
        <f>'Panorama B.'!K12</f>
        <v>0</v>
      </c>
      <c r="G11" s="1425" t="s">
        <v>2257</v>
      </c>
      <c r="H11" s="1406">
        <f t="shared" si="8"/>
        <v>2</v>
      </c>
      <c r="I11" s="1406">
        <f t="shared" si="6"/>
        <v>4</v>
      </c>
      <c r="J11" s="1407" t="str">
        <f t="shared" ca="1" si="5"/>
        <v>Panorama B.</v>
      </c>
      <c r="K11" s="1410" t="s">
        <v>2266</v>
      </c>
      <c r="L11" s="1405"/>
      <c r="M11" s="1436"/>
    </row>
    <row r="12" spans="1:15" s="458" customFormat="1">
      <c r="A12" s="1406" t="s">
        <v>2944</v>
      </c>
      <c r="B12" s="1406" t="str">
        <f t="shared" si="0"/>
        <v>202503</v>
      </c>
      <c r="C12" s="1406" t="s">
        <v>2945</v>
      </c>
      <c r="D12" s="1403" t="str">
        <f t="shared" si="7"/>
        <v>19..01.01.</v>
      </c>
      <c r="E12" s="1406">
        <f t="shared" si="1"/>
        <v>0</v>
      </c>
      <c r="F12" s="1811">
        <f>'Panorama B.'!L12</f>
        <v>0</v>
      </c>
      <c r="G12" s="1425" t="s">
        <v>2258</v>
      </c>
      <c r="H12" s="1406">
        <f t="shared" si="8"/>
        <v>2</v>
      </c>
      <c r="I12" s="1406">
        <f t="shared" si="6"/>
        <v>5</v>
      </c>
      <c r="J12" s="1407" t="str">
        <f t="shared" ca="1" si="5"/>
        <v>Panorama B.</v>
      </c>
      <c r="K12" s="1410" t="s">
        <v>2266</v>
      </c>
      <c r="L12" s="1405"/>
      <c r="M12" s="1436"/>
    </row>
    <row r="13" spans="1:15" s="458" customFormat="1">
      <c r="A13" s="1406" t="s">
        <v>2944</v>
      </c>
      <c r="B13" s="1406" t="str">
        <f t="shared" si="0"/>
        <v>202503</v>
      </c>
      <c r="C13" s="1406" t="s">
        <v>2945</v>
      </c>
      <c r="D13" s="1403" t="str">
        <f t="shared" si="7"/>
        <v>19..01.01.</v>
      </c>
      <c r="E13" s="1406">
        <f t="shared" si="1"/>
        <v>0</v>
      </c>
      <c r="F13" s="1811">
        <f>'Panorama B.'!M12</f>
        <v>0</v>
      </c>
      <c r="G13" s="1425" t="s">
        <v>2259</v>
      </c>
      <c r="H13" s="1406">
        <f t="shared" si="8"/>
        <v>2</v>
      </c>
      <c r="I13" s="1406">
        <f t="shared" si="6"/>
        <v>6</v>
      </c>
      <c r="J13" s="1407" t="str">
        <f t="shared" ca="1" si="5"/>
        <v>Panorama B.</v>
      </c>
      <c r="K13" s="1410" t="s">
        <v>2266</v>
      </c>
      <c r="L13" s="1405"/>
      <c r="M13" s="1436"/>
    </row>
    <row r="14" spans="1:15">
      <c r="A14" s="1181" t="s">
        <v>2944</v>
      </c>
      <c r="B14" s="1181" t="str">
        <f t="shared" si="0"/>
        <v>202502</v>
      </c>
      <c r="C14" s="1181" t="s">
        <v>2946</v>
      </c>
      <c r="D14" s="1401" t="str">
        <f>+'Panorama B.'!F13</f>
        <v>19..01.01.01.</v>
      </c>
      <c r="E14" s="1181">
        <f t="shared" si="1"/>
        <v>0</v>
      </c>
      <c r="F14" s="1810">
        <f>'Panorama B.'!H13</f>
        <v>0</v>
      </c>
      <c r="G14" s="1424" t="s">
        <v>2254</v>
      </c>
      <c r="H14" s="1181">
        <f>+H8+1</f>
        <v>3</v>
      </c>
      <c r="I14" s="1181">
        <f>+I8</f>
        <v>1</v>
      </c>
      <c r="J14" s="1393" t="str">
        <f t="shared" ca="1" si="5"/>
        <v>Panorama B.</v>
      </c>
      <c r="K14" s="1409" t="s">
        <v>2266</v>
      </c>
      <c r="L14" s="1400">
        <f>+L8+1</f>
        <v>3</v>
      </c>
      <c r="M14" s="1434"/>
    </row>
    <row r="15" spans="1:15">
      <c r="A15" s="1181" t="s">
        <v>2944</v>
      </c>
      <c r="B15" s="1181" t="str">
        <f t="shared" si="0"/>
        <v>202502</v>
      </c>
      <c r="C15" s="1181" t="s">
        <v>2946</v>
      </c>
      <c r="D15" s="1401" t="str">
        <f>+D14</f>
        <v>19..01.01.01.</v>
      </c>
      <c r="E15" s="1181">
        <f t="shared" si="1"/>
        <v>0</v>
      </c>
      <c r="F15" s="1810">
        <f>'Panorama B.'!I13</f>
        <v>0</v>
      </c>
      <c r="G15" s="1424" t="s">
        <v>2255</v>
      </c>
      <c r="H15" s="1181">
        <f>+H14</f>
        <v>3</v>
      </c>
      <c r="I15" s="1181">
        <f t="shared" si="6"/>
        <v>2</v>
      </c>
      <c r="J15" s="1393" t="str">
        <f t="shared" ca="1" si="5"/>
        <v>Panorama B.</v>
      </c>
      <c r="K15" s="1409" t="s">
        <v>2266</v>
      </c>
      <c r="L15" s="1400"/>
      <c r="M15" s="1434"/>
    </row>
    <row r="16" spans="1:15">
      <c r="A16" s="1181" t="s">
        <v>2944</v>
      </c>
      <c r="B16" s="1181" t="str">
        <f t="shared" si="0"/>
        <v>202502</v>
      </c>
      <c r="C16" s="1181" t="s">
        <v>2946</v>
      </c>
      <c r="D16" s="1401" t="str">
        <f t="shared" ref="D16:D19" si="9">+D15</f>
        <v>19..01.01.01.</v>
      </c>
      <c r="E16" s="1181">
        <f t="shared" si="1"/>
        <v>0</v>
      </c>
      <c r="F16" s="1810">
        <f>'Panorama B.'!J13</f>
        <v>0</v>
      </c>
      <c r="G16" s="1424" t="s">
        <v>2256</v>
      </c>
      <c r="H16" s="1181">
        <f t="shared" ref="H16:H19" si="10">+H15</f>
        <v>3</v>
      </c>
      <c r="I16" s="1181">
        <f t="shared" si="6"/>
        <v>3</v>
      </c>
      <c r="J16" s="1393" t="str">
        <f t="shared" ca="1" si="5"/>
        <v>Panorama B.</v>
      </c>
      <c r="K16" s="1409" t="s">
        <v>2266</v>
      </c>
      <c r="L16" s="1400"/>
      <c r="M16" s="1434"/>
    </row>
    <row r="17" spans="1:13">
      <c r="A17" s="1181" t="s">
        <v>2944</v>
      </c>
      <c r="B17" s="1181" t="str">
        <f t="shared" si="0"/>
        <v>202503</v>
      </c>
      <c r="C17" s="1181" t="s">
        <v>2945</v>
      </c>
      <c r="D17" s="1401" t="str">
        <f t="shared" si="9"/>
        <v>19..01.01.01.</v>
      </c>
      <c r="E17" s="1181">
        <f t="shared" si="1"/>
        <v>0</v>
      </c>
      <c r="F17" s="1810">
        <f>'Panorama B.'!K13</f>
        <v>0</v>
      </c>
      <c r="G17" s="1424" t="s">
        <v>2257</v>
      </c>
      <c r="H17" s="1181">
        <f t="shared" si="10"/>
        <v>3</v>
      </c>
      <c r="I17" s="1181">
        <f t="shared" si="6"/>
        <v>4</v>
      </c>
      <c r="J17" s="1393" t="str">
        <f t="shared" ca="1" si="5"/>
        <v>Panorama B.</v>
      </c>
      <c r="K17" s="1409" t="s">
        <v>2266</v>
      </c>
      <c r="L17" s="1400"/>
      <c r="M17" s="1434"/>
    </row>
    <row r="18" spans="1:13">
      <c r="A18" s="1181" t="s">
        <v>2944</v>
      </c>
      <c r="B18" s="1181" t="str">
        <f t="shared" si="0"/>
        <v>202503</v>
      </c>
      <c r="C18" s="1181" t="s">
        <v>2945</v>
      </c>
      <c r="D18" s="1401" t="str">
        <f t="shared" si="9"/>
        <v>19..01.01.01.</v>
      </c>
      <c r="E18" s="1181">
        <f t="shared" si="1"/>
        <v>0</v>
      </c>
      <c r="F18" s="1810">
        <f>'Panorama B.'!L13</f>
        <v>0</v>
      </c>
      <c r="G18" s="1424" t="s">
        <v>2258</v>
      </c>
      <c r="H18" s="1181">
        <f t="shared" si="10"/>
        <v>3</v>
      </c>
      <c r="I18" s="1181">
        <f t="shared" si="6"/>
        <v>5</v>
      </c>
      <c r="J18" s="1393" t="str">
        <f t="shared" ca="1" si="5"/>
        <v>Panorama B.</v>
      </c>
      <c r="K18" s="1409" t="s">
        <v>2266</v>
      </c>
      <c r="L18" s="1400"/>
      <c r="M18" s="1434"/>
    </row>
    <row r="19" spans="1:13">
      <c r="A19" s="1181" t="s">
        <v>2944</v>
      </c>
      <c r="B19" s="1181" t="str">
        <f t="shared" si="0"/>
        <v>202503</v>
      </c>
      <c r="C19" s="1181" t="s">
        <v>2945</v>
      </c>
      <c r="D19" s="1401" t="str">
        <f t="shared" si="9"/>
        <v>19..01.01.01.</v>
      </c>
      <c r="E19" s="1181">
        <f t="shared" si="1"/>
        <v>0</v>
      </c>
      <c r="F19" s="1810">
        <f>'Panorama B.'!M13</f>
        <v>0</v>
      </c>
      <c r="G19" s="1424" t="s">
        <v>2259</v>
      </c>
      <c r="H19" s="1181">
        <f t="shared" si="10"/>
        <v>3</v>
      </c>
      <c r="I19" s="1181">
        <f t="shared" si="6"/>
        <v>6</v>
      </c>
      <c r="J19" s="1393" t="str">
        <f t="shared" ca="1" si="5"/>
        <v>Panorama B.</v>
      </c>
      <c r="K19" s="1409" t="s">
        <v>2266</v>
      </c>
      <c r="L19" s="1400"/>
      <c r="M19" s="1434"/>
    </row>
    <row r="20" spans="1:13" s="458" customFormat="1">
      <c r="A20" s="1406" t="s">
        <v>2944</v>
      </c>
      <c r="B20" s="1406" t="str">
        <f t="shared" si="0"/>
        <v>202502</v>
      </c>
      <c r="C20" s="1406" t="s">
        <v>2946</v>
      </c>
      <c r="D20" s="1403" t="str">
        <f>'Panorama B.'!F14</f>
        <v>19..01.01.02.</v>
      </c>
      <c r="E20" s="1406">
        <f t="shared" si="1"/>
        <v>0</v>
      </c>
      <c r="F20" s="1811">
        <f>'Panorama B.'!H14</f>
        <v>0</v>
      </c>
      <c r="G20" s="1425" t="s">
        <v>2254</v>
      </c>
      <c r="H20" s="1402">
        <f>+H14+1</f>
        <v>4</v>
      </c>
      <c r="I20" s="1402">
        <f>+I14</f>
        <v>1</v>
      </c>
      <c r="J20" s="1406" t="str">
        <f t="shared" ca="1" si="5"/>
        <v>Panorama B.</v>
      </c>
      <c r="K20" s="1410" t="s">
        <v>2266</v>
      </c>
      <c r="L20" s="1405">
        <f>+L14+1</f>
        <v>4</v>
      </c>
      <c r="M20" s="1436"/>
    </row>
    <row r="21" spans="1:13" s="458" customFormat="1">
      <c r="A21" s="1406" t="s">
        <v>2944</v>
      </c>
      <c r="B21" s="1406" t="str">
        <f t="shared" si="0"/>
        <v>202502</v>
      </c>
      <c r="C21" s="1406" t="s">
        <v>2946</v>
      </c>
      <c r="D21" s="1403" t="str">
        <f>+D20</f>
        <v>19..01.01.02.</v>
      </c>
      <c r="E21" s="1406">
        <f t="shared" si="1"/>
        <v>0</v>
      </c>
      <c r="F21" s="1811">
        <f>'Panorama B.'!I14</f>
        <v>0</v>
      </c>
      <c r="G21" s="1425" t="s">
        <v>2255</v>
      </c>
      <c r="H21" s="1402">
        <f>+H20</f>
        <v>4</v>
      </c>
      <c r="I21" s="1402">
        <f t="shared" si="6"/>
        <v>2</v>
      </c>
      <c r="J21" s="1406" t="str">
        <f t="shared" ca="1" si="5"/>
        <v>Panorama B.</v>
      </c>
      <c r="K21" s="1410" t="s">
        <v>2266</v>
      </c>
      <c r="L21" s="1405"/>
      <c r="M21" s="1436"/>
    </row>
    <row r="22" spans="1:13" s="458" customFormat="1">
      <c r="A22" s="1406" t="s">
        <v>2944</v>
      </c>
      <c r="B22" s="1406" t="str">
        <f t="shared" si="0"/>
        <v>202502</v>
      </c>
      <c r="C22" s="1406" t="s">
        <v>2946</v>
      </c>
      <c r="D22" s="1403" t="str">
        <f t="shared" ref="D22:D25" si="11">+D21</f>
        <v>19..01.01.02.</v>
      </c>
      <c r="E22" s="1406">
        <f t="shared" si="1"/>
        <v>0</v>
      </c>
      <c r="F22" s="1811">
        <f>'Panorama B.'!J14</f>
        <v>0</v>
      </c>
      <c r="G22" s="1425" t="s">
        <v>2256</v>
      </c>
      <c r="H22" s="1402">
        <f t="shared" ref="H22:H25" si="12">+H21</f>
        <v>4</v>
      </c>
      <c r="I22" s="1402">
        <f t="shared" si="6"/>
        <v>3</v>
      </c>
      <c r="J22" s="1406" t="str">
        <f t="shared" ca="1" si="5"/>
        <v>Panorama B.</v>
      </c>
      <c r="K22" s="1410" t="s">
        <v>2266</v>
      </c>
      <c r="L22" s="1405"/>
      <c r="M22" s="1436"/>
    </row>
    <row r="23" spans="1:13" s="458" customFormat="1">
      <c r="A23" s="1406" t="s">
        <v>2944</v>
      </c>
      <c r="B23" s="1406" t="str">
        <f t="shared" si="0"/>
        <v>202503</v>
      </c>
      <c r="C23" s="1406" t="s">
        <v>2945</v>
      </c>
      <c r="D23" s="1403" t="str">
        <f t="shared" si="11"/>
        <v>19..01.01.02.</v>
      </c>
      <c r="E23" s="1406">
        <f t="shared" si="1"/>
        <v>0</v>
      </c>
      <c r="F23" s="1811">
        <f>'Panorama B.'!K14</f>
        <v>0</v>
      </c>
      <c r="G23" s="1425" t="s">
        <v>2257</v>
      </c>
      <c r="H23" s="1402">
        <f t="shared" si="12"/>
        <v>4</v>
      </c>
      <c r="I23" s="1402">
        <f t="shared" si="6"/>
        <v>4</v>
      </c>
      <c r="J23" s="1406" t="str">
        <f t="shared" ca="1" si="5"/>
        <v>Panorama B.</v>
      </c>
      <c r="K23" s="1410" t="s">
        <v>2266</v>
      </c>
      <c r="L23" s="1405"/>
      <c r="M23" s="1436"/>
    </row>
    <row r="24" spans="1:13" s="458" customFormat="1">
      <c r="A24" s="1406" t="s">
        <v>2944</v>
      </c>
      <c r="B24" s="1406" t="str">
        <f t="shared" si="0"/>
        <v>202503</v>
      </c>
      <c r="C24" s="1406" t="s">
        <v>2945</v>
      </c>
      <c r="D24" s="1403" t="str">
        <f t="shared" si="11"/>
        <v>19..01.01.02.</v>
      </c>
      <c r="E24" s="1406">
        <f t="shared" si="1"/>
        <v>0</v>
      </c>
      <c r="F24" s="1811">
        <f>'Panorama B.'!L14</f>
        <v>0</v>
      </c>
      <c r="G24" s="1425" t="s">
        <v>2258</v>
      </c>
      <c r="H24" s="1402">
        <f t="shared" si="12"/>
        <v>4</v>
      </c>
      <c r="I24" s="1402">
        <f t="shared" si="6"/>
        <v>5</v>
      </c>
      <c r="J24" s="1406" t="str">
        <f t="shared" ca="1" si="5"/>
        <v>Panorama B.</v>
      </c>
      <c r="K24" s="1410" t="s">
        <v>2266</v>
      </c>
      <c r="L24" s="1405"/>
      <c r="M24" s="1436"/>
    </row>
    <row r="25" spans="1:13" s="458" customFormat="1">
      <c r="A25" s="1406" t="s">
        <v>2944</v>
      </c>
      <c r="B25" s="1406" t="str">
        <f t="shared" si="0"/>
        <v>202503</v>
      </c>
      <c r="C25" s="1406" t="s">
        <v>2945</v>
      </c>
      <c r="D25" s="1403" t="str">
        <f t="shared" si="11"/>
        <v>19..01.01.02.</v>
      </c>
      <c r="E25" s="1406">
        <f t="shared" si="1"/>
        <v>0</v>
      </c>
      <c r="F25" s="1811">
        <f>'Panorama B.'!M14</f>
        <v>0</v>
      </c>
      <c r="G25" s="1425" t="s">
        <v>2259</v>
      </c>
      <c r="H25" s="1402">
        <f t="shared" si="12"/>
        <v>4</v>
      </c>
      <c r="I25" s="1402">
        <f t="shared" si="6"/>
        <v>6</v>
      </c>
      <c r="J25" s="1406" t="str">
        <f t="shared" ca="1" si="5"/>
        <v>Panorama B.</v>
      </c>
      <c r="K25" s="1410" t="s">
        <v>2266</v>
      </c>
      <c r="L25" s="1405"/>
      <c r="M25" s="1436"/>
    </row>
    <row r="26" spans="1:13">
      <c r="A26" s="1408" t="s">
        <v>2944</v>
      </c>
      <c r="B26" s="1408" t="str">
        <f t="shared" si="0"/>
        <v>202502</v>
      </c>
      <c r="C26" s="1181" t="s">
        <v>2946</v>
      </c>
      <c r="D26" s="1401" t="str">
        <f>'Panorama B.'!F15</f>
        <v>19..01.01.02.01.</v>
      </c>
      <c r="E26" s="1181">
        <f t="shared" si="1"/>
        <v>0</v>
      </c>
      <c r="F26" s="1810">
        <f>'Panorama B.'!H15</f>
        <v>0</v>
      </c>
      <c r="G26" s="1424" t="s">
        <v>2254</v>
      </c>
      <c r="H26" s="12">
        <f>+H20+1</f>
        <v>5</v>
      </c>
      <c r="I26" s="12">
        <f>+I20</f>
        <v>1</v>
      </c>
      <c r="J26" s="1181" t="str">
        <f t="shared" ca="1" si="5"/>
        <v>Panorama B.</v>
      </c>
      <c r="K26" s="1409" t="s">
        <v>2266</v>
      </c>
      <c r="L26" s="1399">
        <f>+L20+1</f>
        <v>5</v>
      </c>
      <c r="M26" s="1434"/>
    </row>
    <row r="27" spans="1:13">
      <c r="A27" s="1408" t="s">
        <v>2944</v>
      </c>
      <c r="B27" s="1408" t="str">
        <f t="shared" si="0"/>
        <v>202502</v>
      </c>
      <c r="C27" s="1181" t="s">
        <v>2946</v>
      </c>
      <c r="D27" s="1401" t="str">
        <f>+D26</f>
        <v>19..01.01.02.01.</v>
      </c>
      <c r="E27" s="1181">
        <f t="shared" si="1"/>
        <v>0</v>
      </c>
      <c r="F27" s="1810">
        <f>'Panorama B.'!I15</f>
        <v>0</v>
      </c>
      <c r="G27" s="1424" t="s">
        <v>2255</v>
      </c>
      <c r="H27" s="12">
        <f>+H26</f>
        <v>5</v>
      </c>
      <c r="I27" s="12">
        <f t="shared" si="6"/>
        <v>2</v>
      </c>
      <c r="J27" s="1181" t="str">
        <f t="shared" ca="1" si="5"/>
        <v>Panorama B.</v>
      </c>
      <c r="K27" s="1409" t="s">
        <v>2266</v>
      </c>
      <c r="M27" s="1434"/>
    </row>
    <row r="28" spans="1:13">
      <c r="A28" s="1408" t="s">
        <v>2944</v>
      </c>
      <c r="B28" s="1408" t="str">
        <f t="shared" si="0"/>
        <v>202502</v>
      </c>
      <c r="C28" s="1181" t="s">
        <v>2946</v>
      </c>
      <c r="D28" s="1401" t="str">
        <f t="shared" ref="D28:D31" si="13">+D27</f>
        <v>19..01.01.02.01.</v>
      </c>
      <c r="E28" s="1181">
        <f t="shared" si="1"/>
        <v>0</v>
      </c>
      <c r="F28" s="1810">
        <f>'Panorama B.'!J15</f>
        <v>0</v>
      </c>
      <c r="G28" s="1424" t="s">
        <v>2256</v>
      </c>
      <c r="H28" s="12">
        <f t="shared" ref="H28:H31" si="14">+H27</f>
        <v>5</v>
      </c>
      <c r="I28" s="12">
        <f t="shared" si="6"/>
        <v>3</v>
      </c>
      <c r="J28" s="1181" t="str">
        <f t="shared" ca="1" si="5"/>
        <v>Panorama B.</v>
      </c>
      <c r="K28" s="1409" t="s">
        <v>2266</v>
      </c>
      <c r="M28" s="1434"/>
    </row>
    <row r="29" spans="1:13">
      <c r="A29" s="1408" t="s">
        <v>2944</v>
      </c>
      <c r="B29" s="1408" t="str">
        <f t="shared" si="0"/>
        <v>202503</v>
      </c>
      <c r="C29" s="1181" t="s">
        <v>2945</v>
      </c>
      <c r="D29" s="1401" t="str">
        <f t="shared" si="13"/>
        <v>19..01.01.02.01.</v>
      </c>
      <c r="E29" s="1181">
        <f t="shared" si="1"/>
        <v>0</v>
      </c>
      <c r="F29" s="1810">
        <f>'Panorama B.'!K15</f>
        <v>0</v>
      </c>
      <c r="G29" s="1424" t="s">
        <v>2257</v>
      </c>
      <c r="H29" s="12">
        <f t="shared" si="14"/>
        <v>5</v>
      </c>
      <c r="I29" s="12">
        <f t="shared" si="6"/>
        <v>4</v>
      </c>
      <c r="J29" s="1181" t="str">
        <f t="shared" ca="1" si="5"/>
        <v>Panorama B.</v>
      </c>
      <c r="K29" s="1409" t="s">
        <v>2266</v>
      </c>
      <c r="M29" s="1434"/>
    </row>
    <row r="30" spans="1:13">
      <c r="A30" s="1408" t="s">
        <v>2944</v>
      </c>
      <c r="B30" s="1408" t="str">
        <f t="shared" si="0"/>
        <v>202503</v>
      </c>
      <c r="C30" s="1181" t="s">
        <v>2945</v>
      </c>
      <c r="D30" s="1401" t="str">
        <f t="shared" si="13"/>
        <v>19..01.01.02.01.</v>
      </c>
      <c r="E30" s="1181">
        <f t="shared" si="1"/>
        <v>0</v>
      </c>
      <c r="F30" s="1810">
        <f>'Panorama B.'!L15</f>
        <v>0</v>
      </c>
      <c r="G30" s="1424" t="s">
        <v>2258</v>
      </c>
      <c r="H30" s="12">
        <f t="shared" si="14"/>
        <v>5</v>
      </c>
      <c r="I30" s="12">
        <f t="shared" si="6"/>
        <v>5</v>
      </c>
      <c r="J30" s="1181" t="str">
        <f t="shared" ca="1" si="5"/>
        <v>Panorama B.</v>
      </c>
      <c r="K30" s="1409" t="s">
        <v>2266</v>
      </c>
      <c r="M30" s="1434"/>
    </row>
    <row r="31" spans="1:13">
      <c r="A31" s="1408" t="s">
        <v>2944</v>
      </c>
      <c r="B31" s="1408" t="str">
        <f t="shared" si="0"/>
        <v>202503</v>
      </c>
      <c r="C31" s="1181" t="s">
        <v>2945</v>
      </c>
      <c r="D31" s="1401" t="str">
        <f t="shared" si="13"/>
        <v>19..01.01.02.01.</v>
      </c>
      <c r="E31" s="1181">
        <f t="shared" si="1"/>
        <v>0</v>
      </c>
      <c r="F31" s="1810">
        <f>'Panorama B.'!M15</f>
        <v>0</v>
      </c>
      <c r="G31" s="1424" t="s">
        <v>2259</v>
      </c>
      <c r="H31" s="12">
        <f t="shared" si="14"/>
        <v>5</v>
      </c>
      <c r="I31" s="12">
        <f>+I25</f>
        <v>6</v>
      </c>
      <c r="J31" s="1181" t="str">
        <f t="shared" ca="1" si="5"/>
        <v>Panorama B.</v>
      </c>
      <c r="K31" s="1409" t="s">
        <v>2266</v>
      </c>
      <c r="M31" s="1434"/>
    </row>
    <row r="32" spans="1:13">
      <c r="A32" s="1406" t="s">
        <v>2944</v>
      </c>
      <c r="B32" s="1406" t="str">
        <f t="shared" si="0"/>
        <v>202502</v>
      </c>
      <c r="C32" s="1406" t="s">
        <v>2946</v>
      </c>
      <c r="D32" s="1403" t="str">
        <f>'Panorama B.'!F16</f>
        <v>19..01.01.02.02.</v>
      </c>
      <c r="E32" s="1406">
        <f t="shared" si="1"/>
        <v>0</v>
      </c>
      <c r="F32" s="1811">
        <f>'Panorama B.'!H16</f>
        <v>0</v>
      </c>
      <c r="G32" s="1425" t="s">
        <v>2254</v>
      </c>
      <c r="H32" s="1402">
        <f>+H26+1</f>
        <v>6</v>
      </c>
      <c r="I32" s="1402">
        <f>+I26</f>
        <v>1</v>
      </c>
      <c r="J32" s="1406" t="str">
        <f t="shared" ca="1" si="5"/>
        <v>Panorama B.</v>
      </c>
      <c r="K32" s="1410" t="s">
        <v>2266</v>
      </c>
      <c r="L32" s="1405">
        <f>+L26+1</f>
        <v>6</v>
      </c>
      <c r="M32" s="1434"/>
    </row>
    <row r="33" spans="1:13">
      <c r="A33" s="1406" t="s">
        <v>2944</v>
      </c>
      <c r="B33" s="1406" t="str">
        <f t="shared" si="0"/>
        <v>202502</v>
      </c>
      <c r="C33" s="1406" t="s">
        <v>2946</v>
      </c>
      <c r="D33" s="1403" t="str">
        <f t="shared" ref="D33:D37" si="15">+D32</f>
        <v>19..01.01.02.02.</v>
      </c>
      <c r="E33" s="1406">
        <f t="shared" si="1"/>
        <v>0</v>
      </c>
      <c r="F33" s="1811">
        <f>'Panorama B.'!I16</f>
        <v>0</v>
      </c>
      <c r="G33" s="1425" t="s">
        <v>2255</v>
      </c>
      <c r="H33" s="1402">
        <f>+H32</f>
        <v>6</v>
      </c>
      <c r="I33" s="1402">
        <f t="shared" ref="I33:I96" si="16">+I27</f>
        <v>2</v>
      </c>
      <c r="J33" s="1406" t="str">
        <f t="shared" ca="1" si="5"/>
        <v>Panorama B.</v>
      </c>
      <c r="K33" s="1410" t="s">
        <v>2266</v>
      </c>
      <c r="L33" s="1405"/>
      <c r="M33" s="1434"/>
    </row>
    <row r="34" spans="1:13">
      <c r="A34" s="1406" t="s">
        <v>2944</v>
      </c>
      <c r="B34" s="1406" t="str">
        <f t="shared" si="0"/>
        <v>202502</v>
      </c>
      <c r="C34" s="1406" t="s">
        <v>2946</v>
      </c>
      <c r="D34" s="1403" t="str">
        <f t="shared" si="15"/>
        <v>19..01.01.02.02.</v>
      </c>
      <c r="E34" s="1406">
        <f t="shared" si="1"/>
        <v>0</v>
      </c>
      <c r="F34" s="1811">
        <f>'Panorama B.'!J16</f>
        <v>0</v>
      </c>
      <c r="G34" s="1425" t="s">
        <v>2256</v>
      </c>
      <c r="H34" s="1402">
        <f t="shared" ref="H34:H37" si="17">+H33</f>
        <v>6</v>
      </c>
      <c r="I34" s="1402">
        <f t="shared" si="16"/>
        <v>3</v>
      </c>
      <c r="J34" s="1406" t="str">
        <f t="shared" ca="1" si="5"/>
        <v>Panorama B.</v>
      </c>
      <c r="K34" s="1410" t="s">
        <v>2266</v>
      </c>
      <c r="L34" s="1405"/>
      <c r="M34" s="1434"/>
    </row>
    <row r="35" spans="1:13">
      <c r="A35" s="1406" t="s">
        <v>2944</v>
      </c>
      <c r="B35" s="1406" t="str">
        <f t="shared" si="0"/>
        <v>202503</v>
      </c>
      <c r="C35" s="1406" t="s">
        <v>2945</v>
      </c>
      <c r="D35" s="1403" t="str">
        <f t="shared" si="15"/>
        <v>19..01.01.02.02.</v>
      </c>
      <c r="E35" s="1406">
        <f t="shared" si="1"/>
        <v>0</v>
      </c>
      <c r="F35" s="1811">
        <f>'Panorama B.'!K16</f>
        <v>0</v>
      </c>
      <c r="G35" s="1425" t="s">
        <v>2257</v>
      </c>
      <c r="H35" s="1402">
        <f t="shared" si="17"/>
        <v>6</v>
      </c>
      <c r="I35" s="1402">
        <f t="shared" si="16"/>
        <v>4</v>
      </c>
      <c r="J35" s="1406" t="str">
        <f t="shared" ca="1" si="5"/>
        <v>Panorama B.</v>
      </c>
      <c r="K35" s="1410" t="s">
        <v>2266</v>
      </c>
      <c r="L35" s="1405"/>
      <c r="M35" s="1434"/>
    </row>
    <row r="36" spans="1:13">
      <c r="A36" s="1406" t="s">
        <v>2944</v>
      </c>
      <c r="B36" s="1406" t="str">
        <f t="shared" si="0"/>
        <v>202503</v>
      </c>
      <c r="C36" s="1406" t="s">
        <v>2945</v>
      </c>
      <c r="D36" s="1403" t="str">
        <f t="shared" si="15"/>
        <v>19..01.01.02.02.</v>
      </c>
      <c r="E36" s="1406">
        <f t="shared" si="1"/>
        <v>0</v>
      </c>
      <c r="F36" s="1811">
        <f>'Panorama B.'!L16</f>
        <v>0</v>
      </c>
      <c r="G36" s="1425" t="s">
        <v>2258</v>
      </c>
      <c r="H36" s="1402">
        <f t="shared" si="17"/>
        <v>6</v>
      </c>
      <c r="I36" s="1402">
        <f t="shared" si="16"/>
        <v>5</v>
      </c>
      <c r="J36" s="1406" t="str">
        <f t="shared" ca="1" si="5"/>
        <v>Panorama B.</v>
      </c>
      <c r="K36" s="1410" t="s">
        <v>2266</v>
      </c>
      <c r="L36" s="1405"/>
      <c r="M36" s="1434"/>
    </row>
    <row r="37" spans="1:13">
      <c r="A37" s="1406" t="s">
        <v>2944</v>
      </c>
      <c r="B37" s="1406" t="str">
        <f t="shared" si="0"/>
        <v>202503</v>
      </c>
      <c r="C37" s="1406" t="s">
        <v>2945</v>
      </c>
      <c r="D37" s="1403" t="str">
        <f t="shared" si="15"/>
        <v>19..01.01.02.02.</v>
      </c>
      <c r="E37" s="1406">
        <f t="shared" si="1"/>
        <v>0</v>
      </c>
      <c r="F37" s="1811">
        <f>'Panorama B.'!M16</f>
        <v>0</v>
      </c>
      <c r="G37" s="1425" t="s">
        <v>2259</v>
      </c>
      <c r="H37" s="1402">
        <f t="shared" si="17"/>
        <v>6</v>
      </c>
      <c r="I37" s="1402">
        <f t="shared" si="16"/>
        <v>6</v>
      </c>
      <c r="J37" s="1406" t="str">
        <f t="shared" ca="1" si="5"/>
        <v>Panorama B.</v>
      </c>
      <c r="K37" s="1410" t="s">
        <v>2266</v>
      </c>
      <c r="L37" s="1405"/>
      <c r="M37" s="1434"/>
    </row>
    <row r="38" spans="1:13">
      <c r="A38" s="1408" t="s">
        <v>2944</v>
      </c>
      <c r="B38" s="1408" t="str">
        <f t="shared" si="0"/>
        <v>202502</v>
      </c>
      <c r="C38" s="1181" t="s">
        <v>2946</v>
      </c>
      <c r="D38" s="1401" t="str">
        <f>'Panorama B.'!F17</f>
        <v>19..01.01.03.</v>
      </c>
      <c r="E38" s="1181">
        <f t="shared" si="1"/>
        <v>0</v>
      </c>
      <c r="F38" s="1810">
        <f>'Panorama B.'!H17</f>
        <v>0</v>
      </c>
      <c r="G38" s="1424" t="s">
        <v>2254</v>
      </c>
      <c r="H38" s="12">
        <f>+H32+1</f>
        <v>7</v>
      </c>
      <c r="I38" s="12">
        <f>+I32</f>
        <v>1</v>
      </c>
      <c r="J38" s="1181" t="str">
        <f t="shared" ca="1" si="5"/>
        <v>Panorama B.</v>
      </c>
      <c r="K38" s="1409" t="s">
        <v>2266</v>
      </c>
      <c r="L38" s="1399">
        <f>+L32+1</f>
        <v>7</v>
      </c>
      <c r="M38" s="1434"/>
    </row>
    <row r="39" spans="1:13">
      <c r="A39" s="1408" t="s">
        <v>2944</v>
      </c>
      <c r="B39" s="1408" t="str">
        <f t="shared" si="0"/>
        <v>202502</v>
      </c>
      <c r="C39" s="1181" t="s">
        <v>2946</v>
      </c>
      <c r="D39" s="1401" t="str">
        <f>+D38</f>
        <v>19..01.01.03.</v>
      </c>
      <c r="E39" s="1181">
        <f t="shared" si="1"/>
        <v>0</v>
      </c>
      <c r="F39" s="1810">
        <f>'Panorama B.'!I17</f>
        <v>0</v>
      </c>
      <c r="G39" s="1424" t="s">
        <v>2255</v>
      </c>
      <c r="H39" s="12">
        <f>+H38</f>
        <v>7</v>
      </c>
      <c r="I39" s="12">
        <f t="shared" si="16"/>
        <v>2</v>
      </c>
      <c r="J39" s="1181" t="str">
        <f t="shared" ca="1" si="5"/>
        <v>Panorama B.</v>
      </c>
      <c r="K39" s="1409" t="s">
        <v>2266</v>
      </c>
      <c r="M39" s="1434"/>
    </row>
    <row r="40" spans="1:13">
      <c r="A40" s="1408" t="s">
        <v>2944</v>
      </c>
      <c r="B40" s="1408" t="str">
        <f t="shared" si="0"/>
        <v>202502</v>
      </c>
      <c r="C40" s="1181" t="s">
        <v>2946</v>
      </c>
      <c r="D40" s="1401" t="str">
        <f t="shared" ref="D40:D43" si="18">+D39</f>
        <v>19..01.01.03.</v>
      </c>
      <c r="E40" s="1181">
        <f t="shared" si="1"/>
        <v>0</v>
      </c>
      <c r="F40" s="1810">
        <f>'Panorama B.'!J17</f>
        <v>0</v>
      </c>
      <c r="G40" s="1424" t="s">
        <v>2256</v>
      </c>
      <c r="H40" s="12">
        <f t="shared" ref="H40:H43" si="19">+H39</f>
        <v>7</v>
      </c>
      <c r="I40" s="12">
        <f t="shared" si="16"/>
        <v>3</v>
      </c>
      <c r="J40" s="1181" t="str">
        <f t="shared" ca="1" si="5"/>
        <v>Panorama B.</v>
      </c>
      <c r="K40" s="1409" t="s">
        <v>2266</v>
      </c>
      <c r="M40" s="1434"/>
    </row>
    <row r="41" spans="1:13">
      <c r="A41" s="1408" t="s">
        <v>2944</v>
      </c>
      <c r="B41" s="1408" t="str">
        <f t="shared" si="0"/>
        <v>202503</v>
      </c>
      <c r="C41" s="1181" t="s">
        <v>2945</v>
      </c>
      <c r="D41" s="1401" t="str">
        <f t="shared" si="18"/>
        <v>19..01.01.03.</v>
      </c>
      <c r="E41" s="1181">
        <f t="shared" si="1"/>
        <v>0</v>
      </c>
      <c r="F41" s="1810">
        <f>'Panorama B.'!K17</f>
        <v>0</v>
      </c>
      <c r="G41" s="1424" t="s">
        <v>2257</v>
      </c>
      <c r="H41" s="12">
        <f t="shared" si="19"/>
        <v>7</v>
      </c>
      <c r="I41" s="12">
        <f t="shared" si="16"/>
        <v>4</v>
      </c>
      <c r="J41" s="1181" t="str">
        <f t="shared" ca="1" si="5"/>
        <v>Panorama B.</v>
      </c>
      <c r="K41" s="1409" t="s">
        <v>2266</v>
      </c>
      <c r="M41" s="1434"/>
    </row>
    <row r="42" spans="1:13">
      <c r="A42" s="1408" t="s">
        <v>2944</v>
      </c>
      <c r="B42" s="1408" t="str">
        <f t="shared" si="0"/>
        <v>202503</v>
      </c>
      <c r="C42" s="1181" t="s">
        <v>2945</v>
      </c>
      <c r="D42" s="1401" t="str">
        <f t="shared" si="18"/>
        <v>19..01.01.03.</v>
      </c>
      <c r="E42" s="1181">
        <f t="shared" si="1"/>
        <v>0</v>
      </c>
      <c r="F42" s="1810">
        <f>'Panorama B.'!L17</f>
        <v>0</v>
      </c>
      <c r="G42" s="1424" t="s">
        <v>2258</v>
      </c>
      <c r="H42" s="12">
        <f t="shared" si="19"/>
        <v>7</v>
      </c>
      <c r="I42" s="12">
        <f t="shared" si="16"/>
        <v>5</v>
      </c>
      <c r="J42" s="1181" t="str">
        <f t="shared" ca="1" si="5"/>
        <v>Panorama B.</v>
      </c>
      <c r="K42" s="1409" t="s">
        <v>2266</v>
      </c>
      <c r="M42" s="1434"/>
    </row>
    <row r="43" spans="1:13">
      <c r="A43" s="1408" t="s">
        <v>2944</v>
      </c>
      <c r="B43" s="1408" t="str">
        <f t="shared" si="0"/>
        <v>202503</v>
      </c>
      <c r="C43" s="1181" t="s">
        <v>2945</v>
      </c>
      <c r="D43" s="1401" t="str">
        <f t="shared" si="18"/>
        <v>19..01.01.03.</v>
      </c>
      <c r="E43" s="1181">
        <f t="shared" si="1"/>
        <v>0</v>
      </c>
      <c r="F43" s="1810">
        <f>'Panorama B.'!M17</f>
        <v>0</v>
      </c>
      <c r="G43" s="1424" t="s">
        <v>2259</v>
      </c>
      <c r="H43" s="12">
        <f t="shared" si="19"/>
        <v>7</v>
      </c>
      <c r="I43" s="12">
        <f t="shared" si="16"/>
        <v>6</v>
      </c>
      <c r="J43" s="1181" t="str">
        <f t="shared" ca="1" si="5"/>
        <v>Panorama B.</v>
      </c>
      <c r="K43" s="1409" t="s">
        <v>2266</v>
      </c>
      <c r="M43" s="1434"/>
    </row>
    <row r="44" spans="1:13">
      <c r="A44" s="1406" t="s">
        <v>2944</v>
      </c>
      <c r="B44" s="1406" t="str">
        <f t="shared" si="0"/>
        <v>202502</v>
      </c>
      <c r="C44" s="1406" t="s">
        <v>2946</v>
      </c>
      <c r="D44" s="1403" t="str">
        <f>'Panorama B.'!F18</f>
        <v>19..01.01.03.01.</v>
      </c>
      <c r="E44" s="1406">
        <f t="shared" si="1"/>
        <v>0</v>
      </c>
      <c r="F44" s="1811">
        <f>'Panorama B.'!H18</f>
        <v>0</v>
      </c>
      <c r="G44" s="1425" t="s">
        <v>2254</v>
      </c>
      <c r="H44" s="1402">
        <f>+H38+1</f>
        <v>8</v>
      </c>
      <c r="I44" s="1402">
        <f>+I38</f>
        <v>1</v>
      </c>
      <c r="J44" s="1406" t="str">
        <f t="shared" ca="1" si="5"/>
        <v>Panorama B.</v>
      </c>
      <c r="K44" s="1410" t="s">
        <v>2266</v>
      </c>
      <c r="L44" s="1405">
        <f>+L38+1</f>
        <v>8</v>
      </c>
      <c r="M44" s="1434"/>
    </row>
    <row r="45" spans="1:13">
      <c r="A45" s="1406" t="s">
        <v>2944</v>
      </c>
      <c r="B45" s="1406" t="str">
        <f t="shared" si="0"/>
        <v>202502</v>
      </c>
      <c r="C45" s="1406" t="s">
        <v>2946</v>
      </c>
      <c r="D45" s="1403" t="str">
        <f>+D44</f>
        <v>19..01.01.03.01.</v>
      </c>
      <c r="E45" s="1406">
        <f t="shared" si="1"/>
        <v>0</v>
      </c>
      <c r="F45" s="1811">
        <f>'Panorama B.'!I18</f>
        <v>0</v>
      </c>
      <c r="G45" s="1425" t="s">
        <v>2255</v>
      </c>
      <c r="H45" s="1402">
        <f>+H44</f>
        <v>8</v>
      </c>
      <c r="I45" s="1402">
        <f t="shared" si="16"/>
        <v>2</v>
      </c>
      <c r="J45" s="1406" t="str">
        <f t="shared" ca="1" si="5"/>
        <v>Panorama B.</v>
      </c>
      <c r="K45" s="1410" t="s">
        <v>2266</v>
      </c>
      <c r="L45" s="1405"/>
      <c r="M45" s="1434"/>
    </row>
    <row r="46" spans="1:13">
      <c r="A46" s="1406" t="s">
        <v>2944</v>
      </c>
      <c r="B46" s="1406" t="str">
        <f t="shared" si="0"/>
        <v>202502</v>
      </c>
      <c r="C46" s="1406" t="s">
        <v>2946</v>
      </c>
      <c r="D46" s="1403" t="str">
        <f t="shared" ref="D46:D49" si="20">+D45</f>
        <v>19..01.01.03.01.</v>
      </c>
      <c r="E46" s="1406">
        <f t="shared" si="1"/>
        <v>0</v>
      </c>
      <c r="F46" s="1811">
        <f>'Panorama B.'!J18</f>
        <v>0</v>
      </c>
      <c r="G46" s="1425" t="s">
        <v>2256</v>
      </c>
      <c r="H46" s="1402">
        <f t="shared" ref="H46:H49" si="21">+H45</f>
        <v>8</v>
      </c>
      <c r="I46" s="1402">
        <f t="shared" si="16"/>
        <v>3</v>
      </c>
      <c r="J46" s="1406" t="str">
        <f t="shared" ca="1" si="5"/>
        <v>Panorama B.</v>
      </c>
      <c r="K46" s="1410" t="s">
        <v>2266</v>
      </c>
      <c r="L46" s="1405"/>
      <c r="M46" s="1434"/>
    </row>
    <row r="47" spans="1:13">
      <c r="A47" s="1406" t="s">
        <v>2944</v>
      </c>
      <c r="B47" s="1406" t="str">
        <f t="shared" si="0"/>
        <v>202503</v>
      </c>
      <c r="C47" s="1406" t="s">
        <v>2945</v>
      </c>
      <c r="D47" s="1403" t="str">
        <f t="shared" si="20"/>
        <v>19..01.01.03.01.</v>
      </c>
      <c r="E47" s="1406">
        <f t="shared" si="1"/>
        <v>0</v>
      </c>
      <c r="F47" s="1811">
        <f>'Panorama B.'!K18</f>
        <v>0</v>
      </c>
      <c r="G47" s="1425" t="s">
        <v>2257</v>
      </c>
      <c r="H47" s="1402">
        <f t="shared" si="21"/>
        <v>8</v>
      </c>
      <c r="I47" s="1402">
        <f t="shared" si="16"/>
        <v>4</v>
      </c>
      <c r="J47" s="1406" t="str">
        <f t="shared" ca="1" si="5"/>
        <v>Panorama B.</v>
      </c>
      <c r="K47" s="1410" t="s">
        <v>2266</v>
      </c>
      <c r="L47" s="1405"/>
      <c r="M47" s="1434"/>
    </row>
    <row r="48" spans="1:13">
      <c r="A48" s="1406" t="s">
        <v>2944</v>
      </c>
      <c r="B48" s="1406" t="str">
        <f t="shared" si="0"/>
        <v>202503</v>
      </c>
      <c r="C48" s="1406" t="s">
        <v>2945</v>
      </c>
      <c r="D48" s="1403" t="str">
        <f t="shared" si="20"/>
        <v>19..01.01.03.01.</v>
      </c>
      <c r="E48" s="1406">
        <f t="shared" si="1"/>
        <v>0</v>
      </c>
      <c r="F48" s="1811">
        <f>'Panorama B.'!L18</f>
        <v>0</v>
      </c>
      <c r="G48" s="1425" t="s">
        <v>2258</v>
      </c>
      <c r="H48" s="1402">
        <f t="shared" si="21"/>
        <v>8</v>
      </c>
      <c r="I48" s="1402">
        <f t="shared" si="16"/>
        <v>5</v>
      </c>
      <c r="J48" s="1406" t="str">
        <f t="shared" ca="1" si="5"/>
        <v>Panorama B.</v>
      </c>
      <c r="K48" s="1410" t="s">
        <v>2266</v>
      </c>
      <c r="L48" s="1405"/>
      <c r="M48" s="1434"/>
    </row>
    <row r="49" spans="1:13">
      <c r="A49" s="1406" t="s">
        <v>2944</v>
      </c>
      <c r="B49" s="1406" t="str">
        <f t="shared" si="0"/>
        <v>202503</v>
      </c>
      <c r="C49" s="1406" t="s">
        <v>2945</v>
      </c>
      <c r="D49" s="1403" t="str">
        <f t="shared" si="20"/>
        <v>19..01.01.03.01.</v>
      </c>
      <c r="E49" s="1406">
        <f t="shared" si="1"/>
        <v>0</v>
      </c>
      <c r="F49" s="1811">
        <f>'Panorama B.'!M18</f>
        <v>0</v>
      </c>
      <c r="G49" s="1425" t="s">
        <v>2259</v>
      </c>
      <c r="H49" s="1402">
        <f t="shared" si="21"/>
        <v>8</v>
      </c>
      <c r="I49" s="1402">
        <f t="shared" si="16"/>
        <v>6</v>
      </c>
      <c r="J49" s="1406" t="str">
        <f t="shared" ca="1" si="5"/>
        <v>Panorama B.</v>
      </c>
      <c r="K49" s="1410" t="s">
        <v>2266</v>
      </c>
      <c r="L49" s="1405"/>
      <c r="M49" s="1434"/>
    </row>
    <row r="50" spans="1:13">
      <c r="A50" s="1408" t="s">
        <v>2944</v>
      </c>
      <c r="B50" s="1408" t="str">
        <f t="shared" si="0"/>
        <v>202502</v>
      </c>
      <c r="C50" s="1181" t="s">
        <v>2946</v>
      </c>
      <c r="D50" s="1401" t="str">
        <f>'Panorama B.'!F19</f>
        <v>19..01.01.03.02.</v>
      </c>
      <c r="E50" s="1181">
        <f t="shared" si="1"/>
        <v>0</v>
      </c>
      <c r="F50" s="1810">
        <f>'Panorama B.'!H19</f>
        <v>0</v>
      </c>
      <c r="G50" s="1424" t="s">
        <v>2254</v>
      </c>
      <c r="H50" s="12">
        <f>+H44+1</f>
        <v>9</v>
      </c>
      <c r="I50" s="12">
        <f>+I44</f>
        <v>1</v>
      </c>
      <c r="J50" s="1181" t="str">
        <f t="shared" ca="1" si="5"/>
        <v>Panorama B.</v>
      </c>
      <c r="K50" s="1409" t="s">
        <v>2266</v>
      </c>
      <c r="L50" s="1399">
        <f>+L44+1</f>
        <v>9</v>
      </c>
      <c r="M50" s="1434"/>
    </row>
    <row r="51" spans="1:13">
      <c r="A51" s="1408" t="s">
        <v>2944</v>
      </c>
      <c r="B51" s="1408" t="str">
        <f t="shared" si="0"/>
        <v>202502</v>
      </c>
      <c r="C51" s="1181" t="s">
        <v>2946</v>
      </c>
      <c r="D51" s="1401" t="str">
        <f>+D50</f>
        <v>19..01.01.03.02.</v>
      </c>
      <c r="E51" s="1181">
        <f t="shared" si="1"/>
        <v>0</v>
      </c>
      <c r="F51" s="1810">
        <f>'Panorama B.'!I19</f>
        <v>0</v>
      </c>
      <c r="G51" s="1424" t="s">
        <v>2255</v>
      </c>
      <c r="H51" s="12">
        <f>+H50</f>
        <v>9</v>
      </c>
      <c r="I51" s="12">
        <f t="shared" si="16"/>
        <v>2</v>
      </c>
      <c r="J51" s="1181" t="str">
        <f t="shared" ca="1" si="5"/>
        <v>Panorama B.</v>
      </c>
      <c r="K51" s="1409" t="s">
        <v>2266</v>
      </c>
      <c r="M51" s="1434"/>
    </row>
    <row r="52" spans="1:13">
      <c r="A52" s="1408" t="s">
        <v>2944</v>
      </c>
      <c r="B52" s="1408" t="str">
        <f t="shared" si="0"/>
        <v>202502</v>
      </c>
      <c r="C52" s="1181" t="s">
        <v>2946</v>
      </c>
      <c r="D52" s="1401" t="str">
        <f t="shared" ref="D52:D55" si="22">+D51</f>
        <v>19..01.01.03.02.</v>
      </c>
      <c r="E52" s="1181">
        <f t="shared" si="1"/>
        <v>0</v>
      </c>
      <c r="F52" s="1810">
        <f>'Panorama B.'!J19</f>
        <v>0</v>
      </c>
      <c r="G52" s="1424" t="s">
        <v>2256</v>
      </c>
      <c r="H52" s="12">
        <f t="shared" ref="H52:H55" si="23">+H51</f>
        <v>9</v>
      </c>
      <c r="I52" s="12">
        <f t="shared" si="16"/>
        <v>3</v>
      </c>
      <c r="J52" s="1181" t="str">
        <f t="shared" ca="1" si="5"/>
        <v>Panorama B.</v>
      </c>
      <c r="K52" s="1409" t="s">
        <v>2266</v>
      </c>
      <c r="M52" s="1434"/>
    </row>
    <row r="53" spans="1:13">
      <c r="A53" s="1408" t="s">
        <v>2944</v>
      </c>
      <c r="B53" s="1408" t="str">
        <f t="shared" si="0"/>
        <v>202503</v>
      </c>
      <c r="C53" s="1181" t="s">
        <v>2945</v>
      </c>
      <c r="D53" s="1401" t="str">
        <f t="shared" si="22"/>
        <v>19..01.01.03.02.</v>
      </c>
      <c r="E53" s="1181">
        <f t="shared" si="1"/>
        <v>0</v>
      </c>
      <c r="F53" s="1810">
        <f>'Panorama B.'!K19</f>
        <v>0</v>
      </c>
      <c r="G53" s="1424" t="s">
        <v>2257</v>
      </c>
      <c r="H53" s="12">
        <f t="shared" si="23"/>
        <v>9</v>
      </c>
      <c r="I53" s="12">
        <f t="shared" si="16"/>
        <v>4</v>
      </c>
      <c r="J53" s="1181" t="str">
        <f t="shared" ca="1" si="5"/>
        <v>Panorama B.</v>
      </c>
      <c r="K53" s="1409" t="s">
        <v>2266</v>
      </c>
      <c r="M53" s="1434"/>
    </row>
    <row r="54" spans="1:13">
      <c r="A54" s="1408" t="s">
        <v>2944</v>
      </c>
      <c r="B54" s="1408" t="str">
        <f t="shared" si="0"/>
        <v>202503</v>
      </c>
      <c r="C54" s="1181" t="s">
        <v>2945</v>
      </c>
      <c r="D54" s="1401" t="str">
        <f t="shared" si="22"/>
        <v>19..01.01.03.02.</v>
      </c>
      <c r="E54" s="1181">
        <f t="shared" si="1"/>
        <v>0</v>
      </c>
      <c r="F54" s="1810">
        <f>'Panorama B.'!L19</f>
        <v>0</v>
      </c>
      <c r="G54" s="1424" t="s">
        <v>2258</v>
      </c>
      <c r="H54" s="12">
        <f t="shared" si="23"/>
        <v>9</v>
      </c>
      <c r="I54" s="12">
        <f t="shared" si="16"/>
        <v>5</v>
      </c>
      <c r="J54" s="1181" t="str">
        <f t="shared" ca="1" si="5"/>
        <v>Panorama B.</v>
      </c>
      <c r="K54" s="1409" t="s">
        <v>2266</v>
      </c>
      <c r="M54" s="1434"/>
    </row>
    <row r="55" spans="1:13">
      <c r="A55" s="1408" t="s">
        <v>2944</v>
      </c>
      <c r="B55" s="1408" t="str">
        <f t="shared" si="0"/>
        <v>202503</v>
      </c>
      <c r="C55" s="1181" t="s">
        <v>2945</v>
      </c>
      <c r="D55" s="1401" t="str">
        <f t="shared" si="22"/>
        <v>19..01.01.03.02.</v>
      </c>
      <c r="E55" s="1181">
        <f t="shared" si="1"/>
        <v>0</v>
      </c>
      <c r="F55" s="1810">
        <f>'Panorama B.'!M19</f>
        <v>0</v>
      </c>
      <c r="G55" s="1424" t="s">
        <v>2259</v>
      </c>
      <c r="H55" s="12">
        <f t="shared" si="23"/>
        <v>9</v>
      </c>
      <c r="I55" s="12">
        <f t="shared" si="16"/>
        <v>6</v>
      </c>
      <c r="J55" s="1181" t="str">
        <f t="shared" ca="1" si="5"/>
        <v>Panorama B.</v>
      </c>
      <c r="K55" s="1409" t="s">
        <v>2266</v>
      </c>
      <c r="M55" s="1434"/>
    </row>
    <row r="56" spans="1:13">
      <c r="A56" s="1406" t="s">
        <v>2944</v>
      </c>
      <c r="B56" s="1406" t="str">
        <f t="shared" si="0"/>
        <v>202502</v>
      </c>
      <c r="C56" s="1406" t="s">
        <v>2946</v>
      </c>
      <c r="D56" s="1403" t="str">
        <f>'Panorama B.'!F20</f>
        <v>19..01.01.04.</v>
      </c>
      <c r="E56" s="1406">
        <f t="shared" si="1"/>
        <v>0</v>
      </c>
      <c r="F56" s="1811">
        <f>'Panorama B.'!H20</f>
        <v>0</v>
      </c>
      <c r="G56" s="1425" t="s">
        <v>2254</v>
      </c>
      <c r="H56" s="1402">
        <f>+H50+1</f>
        <v>10</v>
      </c>
      <c r="I56" s="1402">
        <f>+I50</f>
        <v>1</v>
      </c>
      <c r="J56" s="1406" t="str">
        <f t="shared" ca="1" si="5"/>
        <v>Panorama B.</v>
      </c>
      <c r="K56" s="1410" t="s">
        <v>2266</v>
      </c>
      <c r="L56" s="1405">
        <f>+L50+1</f>
        <v>10</v>
      </c>
      <c r="M56" s="1434"/>
    </row>
    <row r="57" spans="1:13">
      <c r="A57" s="1406" t="s">
        <v>2944</v>
      </c>
      <c r="B57" s="1406" t="str">
        <f t="shared" si="0"/>
        <v>202502</v>
      </c>
      <c r="C57" s="1406" t="s">
        <v>2946</v>
      </c>
      <c r="D57" s="1403" t="str">
        <f>+D56</f>
        <v>19..01.01.04.</v>
      </c>
      <c r="E57" s="1406">
        <f t="shared" si="1"/>
        <v>0</v>
      </c>
      <c r="F57" s="1811">
        <f>'Panorama B.'!I20</f>
        <v>0</v>
      </c>
      <c r="G57" s="1425" t="s">
        <v>2255</v>
      </c>
      <c r="H57" s="1402">
        <f>+H56</f>
        <v>10</v>
      </c>
      <c r="I57" s="1402">
        <f t="shared" si="16"/>
        <v>2</v>
      </c>
      <c r="J57" s="1406" t="str">
        <f t="shared" ca="1" si="5"/>
        <v>Panorama B.</v>
      </c>
      <c r="K57" s="1410" t="s">
        <v>2266</v>
      </c>
      <c r="L57" s="1405"/>
      <c r="M57" s="1434"/>
    </row>
    <row r="58" spans="1:13">
      <c r="A58" s="1406" t="s">
        <v>2944</v>
      </c>
      <c r="B58" s="1406" t="str">
        <f t="shared" si="0"/>
        <v>202502</v>
      </c>
      <c r="C58" s="1406" t="s">
        <v>2946</v>
      </c>
      <c r="D58" s="1403" t="str">
        <f t="shared" ref="D58:D61" si="24">+D57</f>
        <v>19..01.01.04.</v>
      </c>
      <c r="E58" s="1406">
        <f t="shared" si="1"/>
        <v>0</v>
      </c>
      <c r="F58" s="1811">
        <f>'Panorama B.'!J20</f>
        <v>0</v>
      </c>
      <c r="G58" s="1425" t="s">
        <v>2256</v>
      </c>
      <c r="H58" s="1402">
        <f t="shared" ref="H58:H61" si="25">+H57</f>
        <v>10</v>
      </c>
      <c r="I58" s="1402">
        <f t="shared" si="16"/>
        <v>3</v>
      </c>
      <c r="J58" s="1406" t="str">
        <f t="shared" ca="1" si="5"/>
        <v>Panorama B.</v>
      </c>
      <c r="K58" s="1410" t="s">
        <v>2266</v>
      </c>
      <c r="L58" s="1405"/>
      <c r="M58" s="1434"/>
    </row>
    <row r="59" spans="1:13">
      <c r="A59" s="1406" t="s">
        <v>2944</v>
      </c>
      <c r="B59" s="1406" t="str">
        <f t="shared" si="0"/>
        <v>202503</v>
      </c>
      <c r="C59" s="1406" t="s">
        <v>2945</v>
      </c>
      <c r="D59" s="1403" t="str">
        <f t="shared" si="24"/>
        <v>19..01.01.04.</v>
      </c>
      <c r="E59" s="1406">
        <f t="shared" si="1"/>
        <v>0</v>
      </c>
      <c r="F59" s="1811">
        <f>'Panorama B.'!K20</f>
        <v>0</v>
      </c>
      <c r="G59" s="1425" t="s">
        <v>2257</v>
      </c>
      <c r="H59" s="1402">
        <f t="shared" si="25"/>
        <v>10</v>
      </c>
      <c r="I59" s="1402">
        <f t="shared" si="16"/>
        <v>4</v>
      </c>
      <c r="J59" s="1406" t="str">
        <f t="shared" ca="1" si="5"/>
        <v>Panorama B.</v>
      </c>
      <c r="K59" s="1410" t="s">
        <v>2266</v>
      </c>
      <c r="L59" s="1405"/>
      <c r="M59" s="1434"/>
    </row>
    <row r="60" spans="1:13">
      <c r="A60" s="1406" t="s">
        <v>2944</v>
      </c>
      <c r="B60" s="1406" t="str">
        <f t="shared" si="0"/>
        <v>202503</v>
      </c>
      <c r="C60" s="1406" t="s">
        <v>2945</v>
      </c>
      <c r="D60" s="1403" t="str">
        <f t="shared" si="24"/>
        <v>19..01.01.04.</v>
      </c>
      <c r="E60" s="1406">
        <f t="shared" si="1"/>
        <v>0</v>
      </c>
      <c r="F60" s="1811">
        <f>'Panorama B.'!L20</f>
        <v>0</v>
      </c>
      <c r="G60" s="1425" t="s">
        <v>2258</v>
      </c>
      <c r="H60" s="1402">
        <f t="shared" si="25"/>
        <v>10</v>
      </c>
      <c r="I60" s="1402">
        <f t="shared" si="16"/>
        <v>5</v>
      </c>
      <c r="J60" s="1406" t="str">
        <f t="shared" ca="1" si="5"/>
        <v>Panorama B.</v>
      </c>
      <c r="K60" s="1410" t="s">
        <v>2266</v>
      </c>
      <c r="L60" s="1405"/>
      <c r="M60" s="1434"/>
    </row>
    <row r="61" spans="1:13">
      <c r="A61" s="1406" t="s">
        <v>2944</v>
      </c>
      <c r="B61" s="1406" t="str">
        <f t="shared" si="0"/>
        <v>202503</v>
      </c>
      <c r="C61" s="1406" t="s">
        <v>2945</v>
      </c>
      <c r="D61" s="1403" t="str">
        <f t="shared" si="24"/>
        <v>19..01.01.04.</v>
      </c>
      <c r="E61" s="1406">
        <f t="shared" si="1"/>
        <v>0</v>
      </c>
      <c r="F61" s="1811">
        <f>'Panorama B.'!M20</f>
        <v>0</v>
      </c>
      <c r="G61" s="1425" t="s">
        <v>2259</v>
      </c>
      <c r="H61" s="1402">
        <f t="shared" si="25"/>
        <v>10</v>
      </c>
      <c r="I61" s="1402">
        <f t="shared" si="16"/>
        <v>6</v>
      </c>
      <c r="J61" s="1406" t="str">
        <f t="shared" ca="1" si="5"/>
        <v>Panorama B.</v>
      </c>
      <c r="K61" s="1410" t="s">
        <v>2266</v>
      </c>
      <c r="L61" s="1405"/>
      <c r="M61" s="1434"/>
    </row>
    <row r="62" spans="1:13">
      <c r="A62" s="1408" t="s">
        <v>2944</v>
      </c>
      <c r="B62" s="1408" t="str">
        <f t="shared" si="0"/>
        <v>202502</v>
      </c>
      <c r="C62" s="1181" t="s">
        <v>2946</v>
      </c>
      <c r="D62" s="1401" t="str">
        <f>'Panorama B.'!F21</f>
        <v>19..01.02.</v>
      </c>
      <c r="E62" s="1181">
        <f t="shared" si="1"/>
        <v>0</v>
      </c>
      <c r="F62" s="1810">
        <f>'Panorama B.'!H21</f>
        <v>0</v>
      </c>
      <c r="G62" s="1424" t="s">
        <v>2254</v>
      </c>
      <c r="H62" s="12">
        <f>+H56+1</f>
        <v>11</v>
      </c>
      <c r="I62" s="12">
        <f>+I56</f>
        <v>1</v>
      </c>
      <c r="J62" s="1181" t="str">
        <f t="shared" ca="1" si="5"/>
        <v>Panorama B.</v>
      </c>
      <c r="K62" s="1409" t="s">
        <v>2266</v>
      </c>
      <c r="L62" s="1399">
        <f>+L56+1</f>
        <v>11</v>
      </c>
      <c r="M62" s="1434"/>
    </row>
    <row r="63" spans="1:13">
      <c r="A63" s="1408" t="s">
        <v>2944</v>
      </c>
      <c r="B63" s="1408" t="str">
        <f t="shared" si="0"/>
        <v>202502</v>
      </c>
      <c r="C63" s="1181" t="s">
        <v>2946</v>
      </c>
      <c r="D63" s="1401" t="str">
        <f>+D62</f>
        <v>19..01.02.</v>
      </c>
      <c r="E63" s="1181">
        <f t="shared" si="1"/>
        <v>0</v>
      </c>
      <c r="F63" s="1810">
        <f>'Panorama B.'!I21</f>
        <v>0</v>
      </c>
      <c r="G63" s="1424" t="s">
        <v>2255</v>
      </c>
      <c r="H63" s="12">
        <f>+H62</f>
        <v>11</v>
      </c>
      <c r="I63" s="12">
        <f t="shared" si="16"/>
        <v>2</v>
      </c>
      <c r="J63" s="1181" t="str">
        <f t="shared" ca="1" si="5"/>
        <v>Panorama B.</v>
      </c>
      <c r="K63" s="1409" t="s">
        <v>2266</v>
      </c>
      <c r="M63" s="1434"/>
    </row>
    <row r="64" spans="1:13">
      <c r="A64" s="1408" t="s">
        <v>2944</v>
      </c>
      <c r="B64" s="1408" t="str">
        <f t="shared" si="0"/>
        <v>202502</v>
      </c>
      <c r="C64" s="1181" t="s">
        <v>2946</v>
      </c>
      <c r="D64" s="1401" t="str">
        <f t="shared" ref="D64:D67" si="26">+D63</f>
        <v>19..01.02.</v>
      </c>
      <c r="E64" s="1181">
        <f t="shared" si="1"/>
        <v>0</v>
      </c>
      <c r="F64" s="1810">
        <f>'Panorama B.'!J21</f>
        <v>0</v>
      </c>
      <c r="G64" s="1424" t="s">
        <v>2256</v>
      </c>
      <c r="H64" s="12">
        <f t="shared" ref="H64:H67" si="27">+H63</f>
        <v>11</v>
      </c>
      <c r="I64" s="12">
        <f t="shared" si="16"/>
        <v>3</v>
      </c>
      <c r="J64" s="1181" t="str">
        <f t="shared" ca="1" si="5"/>
        <v>Panorama B.</v>
      </c>
      <c r="K64" s="1409" t="s">
        <v>2266</v>
      </c>
      <c r="M64" s="1434"/>
    </row>
    <row r="65" spans="1:13">
      <c r="A65" s="1408" t="s">
        <v>2944</v>
      </c>
      <c r="B65" s="1408" t="str">
        <f t="shared" si="0"/>
        <v>202503</v>
      </c>
      <c r="C65" s="1181" t="s">
        <v>2945</v>
      </c>
      <c r="D65" s="1401" t="str">
        <f t="shared" si="26"/>
        <v>19..01.02.</v>
      </c>
      <c r="E65" s="1181">
        <f t="shared" si="1"/>
        <v>0</v>
      </c>
      <c r="F65" s="1810">
        <f>'Panorama B.'!K21</f>
        <v>0</v>
      </c>
      <c r="G65" s="1424" t="s">
        <v>2257</v>
      </c>
      <c r="H65" s="12">
        <f t="shared" si="27"/>
        <v>11</v>
      </c>
      <c r="I65" s="12">
        <f t="shared" si="16"/>
        <v>4</v>
      </c>
      <c r="J65" s="1181" t="str">
        <f t="shared" ca="1" si="5"/>
        <v>Panorama B.</v>
      </c>
      <c r="K65" s="1409" t="s">
        <v>2266</v>
      </c>
      <c r="M65" s="1434"/>
    </row>
    <row r="66" spans="1:13">
      <c r="A66" s="1408" t="s">
        <v>2944</v>
      </c>
      <c r="B66" s="1408" t="str">
        <f t="shared" ref="B66:B129" si="28">+IF(C66="v2",IF(TRIM&gt;1,ANUAL&amp;"0"&amp;(TRIM-1),(ANUAL-1)&amp;"04"),ANUAL&amp;"0"&amp;TRIM)</f>
        <v>202503</v>
      </c>
      <c r="C66" s="1181" t="s">
        <v>2945</v>
      </c>
      <c r="D66" s="1401" t="str">
        <f t="shared" si="26"/>
        <v>19..01.02.</v>
      </c>
      <c r="E66" s="1181">
        <f t="shared" ref="E66:E129" si="29">RUC</f>
        <v>0</v>
      </c>
      <c r="F66" s="1810">
        <f>'Panorama B.'!L21</f>
        <v>0</v>
      </c>
      <c r="G66" s="1424" t="s">
        <v>2258</v>
      </c>
      <c r="H66" s="12">
        <f t="shared" si="27"/>
        <v>11</v>
      </c>
      <c r="I66" s="12">
        <f t="shared" si="16"/>
        <v>5</v>
      </c>
      <c r="J66" s="1181" t="str">
        <f t="shared" ca="1" si="5"/>
        <v>Panorama B.</v>
      </c>
      <c r="K66" s="1409" t="s">
        <v>2266</v>
      </c>
      <c r="M66" s="1434"/>
    </row>
    <row r="67" spans="1:13">
      <c r="A67" s="1408" t="s">
        <v>2944</v>
      </c>
      <c r="B67" s="1408" t="str">
        <f t="shared" si="28"/>
        <v>202503</v>
      </c>
      <c r="C67" s="1181" t="s">
        <v>2945</v>
      </c>
      <c r="D67" s="1401" t="str">
        <f t="shared" si="26"/>
        <v>19..01.02.</v>
      </c>
      <c r="E67" s="1181">
        <f t="shared" si="29"/>
        <v>0</v>
      </c>
      <c r="F67" s="1810">
        <f>'Panorama B.'!M21</f>
        <v>0</v>
      </c>
      <c r="G67" s="1424" t="s">
        <v>2259</v>
      </c>
      <c r="H67" s="12">
        <f t="shared" si="27"/>
        <v>11</v>
      </c>
      <c r="I67" s="12">
        <f t="shared" si="16"/>
        <v>6</v>
      </c>
      <c r="J67" s="1181" t="str">
        <f t="shared" ca="1" si="5"/>
        <v>Panorama B.</v>
      </c>
      <c r="K67" s="1409" t="s">
        <v>2266</v>
      </c>
      <c r="M67" s="1434"/>
    </row>
    <row r="68" spans="1:13">
      <c r="A68" s="1406" t="s">
        <v>2944</v>
      </c>
      <c r="B68" s="1406" t="str">
        <f t="shared" si="28"/>
        <v>202502</v>
      </c>
      <c r="C68" s="1406" t="s">
        <v>2946</v>
      </c>
      <c r="D68" s="1403" t="str">
        <f>'Panorama B.'!F22</f>
        <v>19..01.02.01.</v>
      </c>
      <c r="E68" s="1406">
        <f t="shared" si="29"/>
        <v>0</v>
      </c>
      <c r="F68" s="1811">
        <f>'Panorama B.'!H22</f>
        <v>0</v>
      </c>
      <c r="G68" s="1425" t="s">
        <v>2254</v>
      </c>
      <c r="H68" s="1402">
        <f>+H62+1</f>
        <v>12</v>
      </c>
      <c r="I68" s="1402">
        <f>+I62</f>
        <v>1</v>
      </c>
      <c r="J68" s="1406" t="str">
        <f t="shared" ca="1" si="5"/>
        <v>Panorama B.</v>
      </c>
      <c r="K68" s="1410" t="s">
        <v>2266</v>
      </c>
      <c r="L68" s="1405">
        <f>+L62+1</f>
        <v>12</v>
      </c>
      <c r="M68" s="1434"/>
    </row>
    <row r="69" spans="1:13">
      <c r="A69" s="1406" t="s">
        <v>2944</v>
      </c>
      <c r="B69" s="1406" t="str">
        <f t="shared" si="28"/>
        <v>202502</v>
      </c>
      <c r="C69" s="1406" t="s">
        <v>2946</v>
      </c>
      <c r="D69" s="1403" t="str">
        <f t="shared" ref="D69:D109" si="30">+D68</f>
        <v>19..01.02.01.</v>
      </c>
      <c r="E69" s="1406">
        <f t="shared" si="29"/>
        <v>0</v>
      </c>
      <c r="F69" s="1811">
        <f>'Panorama B.'!I22</f>
        <v>0</v>
      </c>
      <c r="G69" s="1425" t="s">
        <v>2255</v>
      </c>
      <c r="H69" s="1402">
        <f>+H68</f>
        <v>12</v>
      </c>
      <c r="I69" s="1402">
        <f t="shared" si="16"/>
        <v>2</v>
      </c>
      <c r="J69" s="1406" t="str">
        <f t="shared" ref="J69:J134" ca="1" si="31">+J68</f>
        <v>Panorama B.</v>
      </c>
      <c r="K69" s="1410" t="s">
        <v>2266</v>
      </c>
      <c r="L69" s="1405"/>
      <c r="M69" s="1434"/>
    </row>
    <row r="70" spans="1:13">
      <c r="A70" s="1406" t="s">
        <v>2944</v>
      </c>
      <c r="B70" s="1406" t="str">
        <f t="shared" si="28"/>
        <v>202502</v>
      </c>
      <c r="C70" s="1406" t="s">
        <v>2946</v>
      </c>
      <c r="D70" s="1403" t="str">
        <f t="shared" si="30"/>
        <v>19..01.02.01.</v>
      </c>
      <c r="E70" s="1406">
        <f t="shared" si="29"/>
        <v>0</v>
      </c>
      <c r="F70" s="1811">
        <f>'Panorama B.'!J22</f>
        <v>0</v>
      </c>
      <c r="G70" s="1425" t="s">
        <v>2256</v>
      </c>
      <c r="H70" s="1402">
        <f t="shared" ref="H70:H73" si="32">+H69</f>
        <v>12</v>
      </c>
      <c r="I70" s="1402">
        <f t="shared" si="16"/>
        <v>3</v>
      </c>
      <c r="J70" s="1406" t="str">
        <f t="shared" ca="1" si="31"/>
        <v>Panorama B.</v>
      </c>
      <c r="K70" s="1410" t="s">
        <v>2266</v>
      </c>
      <c r="L70" s="1405"/>
      <c r="M70" s="1434"/>
    </row>
    <row r="71" spans="1:13">
      <c r="A71" s="1406" t="s">
        <v>2944</v>
      </c>
      <c r="B71" s="1406" t="str">
        <f t="shared" si="28"/>
        <v>202503</v>
      </c>
      <c r="C71" s="1406" t="s">
        <v>2945</v>
      </c>
      <c r="D71" s="1403" t="str">
        <f t="shared" si="30"/>
        <v>19..01.02.01.</v>
      </c>
      <c r="E71" s="1406">
        <f t="shared" si="29"/>
        <v>0</v>
      </c>
      <c r="F71" s="1811">
        <f>'Panorama B.'!K22</f>
        <v>0</v>
      </c>
      <c r="G71" s="1425" t="s">
        <v>2257</v>
      </c>
      <c r="H71" s="1402">
        <f t="shared" si="32"/>
        <v>12</v>
      </c>
      <c r="I71" s="1402">
        <f t="shared" si="16"/>
        <v>4</v>
      </c>
      <c r="J71" s="1406" t="str">
        <f t="shared" ca="1" si="31"/>
        <v>Panorama B.</v>
      </c>
      <c r="K71" s="1410" t="s">
        <v>2266</v>
      </c>
      <c r="L71" s="1405"/>
      <c r="M71" s="1434"/>
    </row>
    <row r="72" spans="1:13">
      <c r="A72" s="1406" t="s">
        <v>2944</v>
      </c>
      <c r="B72" s="1406" t="str">
        <f t="shared" si="28"/>
        <v>202503</v>
      </c>
      <c r="C72" s="1406" t="s">
        <v>2945</v>
      </c>
      <c r="D72" s="1403" t="str">
        <f t="shared" si="30"/>
        <v>19..01.02.01.</v>
      </c>
      <c r="E72" s="1406">
        <f t="shared" si="29"/>
        <v>0</v>
      </c>
      <c r="F72" s="1811">
        <f>'Panorama B.'!L22</f>
        <v>0</v>
      </c>
      <c r="G72" s="1425" t="s">
        <v>2258</v>
      </c>
      <c r="H72" s="1402">
        <f t="shared" si="32"/>
        <v>12</v>
      </c>
      <c r="I72" s="1402">
        <f t="shared" si="16"/>
        <v>5</v>
      </c>
      <c r="J72" s="1406" t="str">
        <f t="shared" ca="1" si="31"/>
        <v>Panorama B.</v>
      </c>
      <c r="K72" s="1410" t="s">
        <v>2266</v>
      </c>
      <c r="L72" s="1405"/>
      <c r="M72" s="1434"/>
    </row>
    <row r="73" spans="1:13">
      <c r="A73" s="1406" t="s">
        <v>2944</v>
      </c>
      <c r="B73" s="1406" t="str">
        <f t="shared" si="28"/>
        <v>202503</v>
      </c>
      <c r="C73" s="1406" t="s">
        <v>2945</v>
      </c>
      <c r="D73" s="1403" t="str">
        <f t="shared" si="30"/>
        <v>19..01.02.01.</v>
      </c>
      <c r="E73" s="1406">
        <f t="shared" si="29"/>
        <v>0</v>
      </c>
      <c r="F73" s="1811">
        <f>'Panorama B.'!M22</f>
        <v>0</v>
      </c>
      <c r="G73" s="1425" t="s">
        <v>2259</v>
      </c>
      <c r="H73" s="1402">
        <f t="shared" si="32"/>
        <v>12</v>
      </c>
      <c r="I73" s="1402">
        <f t="shared" si="16"/>
        <v>6</v>
      </c>
      <c r="J73" s="1406" t="str">
        <f t="shared" ca="1" si="31"/>
        <v>Panorama B.</v>
      </c>
      <c r="K73" s="1410" t="s">
        <v>2266</v>
      </c>
      <c r="L73" s="1405"/>
      <c r="M73" s="1434"/>
    </row>
    <row r="74" spans="1:13">
      <c r="A74" s="1408" t="s">
        <v>2944</v>
      </c>
      <c r="B74" s="1408" t="str">
        <f t="shared" si="28"/>
        <v>202502</v>
      </c>
      <c r="C74" s="1181" t="s">
        <v>2946</v>
      </c>
      <c r="D74" s="1401" t="str">
        <f>'Panorama B.'!F23</f>
        <v>19..01.02.01.01.</v>
      </c>
      <c r="E74" s="1181">
        <f t="shared" si="29"/>
        <v>0</v>
      </c>
      <c r="F74" s="1810">
        <f>'Panorama B.'!H23</f>
        <v>0</v>
      </c>
      <c r="G74" s="1424" t="s">
        <v>2254</v>
      </c>
      <c r="H74" s="12">
        <f>+H68+1</f>
        <v>13</v>
      </c>
      <c r="I74" s="12">
        <f>+I68</f>
        <v>1</v>
      </c>
      <c r="J74" s="1181" t="str">
        <f t="shared" ca="1" si="31"/>
        <v>Panorama B.</v>
      </c>
      <c r="K74" s="1409" t="s">
        <v>2266</v>
      </c>
      <c r="L74" s="1399">
        <f>+L68+1</f>
        <v>13</v>
      </c>
      <c r="M74" s="1434"/>
    </row>
    <row r="75" spans="1:13">
      <c r="A75" s="1408" t="s">
        <v>2944</v>
      </c>
      <c r="B75" s="1408" t="str">
        <f t="shared" si="28"/>
        <v>202502</v>
      </c>
      <c r="C75" s="1181" t="s">
        <v>2946</v>
      </c>
      <c r="D75" s="1401" t="str">
        <f t="shared" si="30"/>
        <v>19..01.02.01.01.</v>
      </c>
      <c r="E75" s="1181">
        <f t="shared" si="29"/>
        <v>0</v>
      </c>
      <c r="F75" s="1810">
        <f>'Panorama B.'!I23</f>
        <v>0</v>
      </c>
      <c r="G75" s="1424" t="s">
        <v>2255</v>
      </c>
      <c r="H75" s="12">
        <f>+H74</f>
        <v>13</v>
      </c>
      <c r="I75" s="12">
        <f t="shared" si="16"/>
        <v>2</v>
      </c>
      <c r="J75" s="1181" t="str">
        <f t="shared" ca="1" si="31"/>
        <v>Panorama B.</v>
      </c>
      <c r="K75" s="1409" t="s">
        <v>2266</v>
      </c>
      <c r="M75" s="1434"/>
    </row>
    <row r="76" spans="1:13">
      <c r="A76" s="1408" t="s">
        <v>2944</v>
      </c>
      <c r="B76" s="1408" t="str">
        <f t="shared" si="28"/>
        <v>202502</v>
      </c>
      <c r="C76" s="1181" t="s">
        <v>2946</v>
      </c>
      <c r="D76" s="1401" t="str">
        <f t="shared" si="30"/>
        <v>19..01.02.01.01.</v>
      </c>
      <c r="E76" s="1181">
        <f t="shared" si="29"/>
        <v>0</v>
      </c>
      <c r="F76" s="1810">
        <f>'Panorama B.'!J23</f>
        <v>0</v>
      </c>
      <c r="G76" s="1424" t="s">
        <v>2256</v>
      </c>
      <c r="H76" s="12">
        <f t="shared" ref="H76:H79" si="33">+H75</f>
        <v>13</v>
      </c>
      <c r="I76" s="12">
        <f t="shared" si="16"/>
        <v>3</v>
      </c>
      <c r="J76" s="1181" t="str">
        <f t="shared" ca="1" si="31"/>
        <v>Panorama B.</v>
      </c>
      <c r="K76" s="1409" t="s">
        <v>2266</v>
      </c>
      <c r="M76" s="1434"/>
    </row>
    <row r="77" spans="1:13">
      <c r="A77" s="1408" t="s">
        <v>2944</v>
      </c>
      <c r="B77" s="1408" t="str">
        <f t="shared" si="28"/>
        <v>202503</v>
      </c>
      <c r="C77" s="1181" t="s">
        <v>2945</v>
      </c>
      <c r="D77" s="1401" t="str">
        <f t="shared" si="30"/>
        <v>19..01.02.01.01.</v>
      </c>
      <c r="E77" s="1181">
        <f t="shared" si="29"/>
        <v>0</v>
      </c>
      <c r="F77" s="1810">
        <f>'Panorama B.'!K23</f>
        <v>0</v>
      </c>
      <c r="G77" s="1424" t="s">
        <v>2257</v>
      </c>
      <c r="H77" s="12">
        <f t="shared" si="33"/>
        <v>13</v>
      </c>
      <c r="I77" s="12">
        <f t="shared" si="16"/>
        <v>4</v>
      </c>
      <c r="J77" s="1181" t="str">
        <f t="shared" ca="1" si="31"/>
        <v>Panorama B.</v>
      </c>
      <c r="K77" s="1409" t="s">
        <v>2266</v>
      </c>
      <c r="M77" s="1434"/>
    </row>
    <row r="78" spans="1:13">
      <c r="A78" s="1408" t="s">
        <v>2944</v>
      </c>
      <c r="B78" s="1408" t="str">
        <f t="shared" si="28"/>
        <v>202503</v>
      </c>
      <c r="C78" s="1181" t="s">
        <v>2945</v>
      </c>
      <c r="D78" s="1401" t="str">
        <f t="shared" si="30"/>
        <v>19..01.02.01.01.</v>
      </c>
      <c r="E78" s="1181">
        <f t="shared" si="29"/>
        <v>0</v>
      </c>
      <c r="F78" s="1810">
        <f>'Panorama B.'!L23</f>
        <v>0</v>
      </c>
      <c r="G78" s="1424" t="s">
        <v>2258</v>
      </c>
      <c r="H78" s="12">
        <f t="shared" si="33"/>
        <v>13</v>
      </c>
      <c r="I78" s="12">
        <f t="shared" si="16"/>
        <v>5</v>
      </c>
      <c r="J78" s="1181" t="str">
        <f t="shared" ca="1" si="31"/>
        <v>Panorama B.</v>
      </c>
      <c r="K78" s="1409" t="s">
        <v>2266</v>
      </c>
      <c r="M78" s="1434"/>
    </row>
    <row r="79" spans="1:13">
      <c r="A79" s="1408" t="s">
        <v>2944</v>
      </c>
      <c r="B79" s="1408" t="str">
        <f t="shared" si="28"/>
        <v>202503</v>
      </c>
      <c r="C79" s="1181" t="s">
        <v>2945</v>
      </c>
      <c r="D79" s="1401" t="str">
        <f t="shared" si="30"/>
        <v>19..01.02.01.01.</v>
      </c>
      <c r="E79" s="1181">
        <f t="shared" si="29"/>
        <v>0</v>
      </c>
      <c r="F79" s="1810">
        <f>'Panorama B.'!M23</f>
        <v>0</v>
      </c>
      <c r="G79" s="1424" t="s">
        <v>2259</v>
      </c>
      <c r="H79" s="12">
        <f t="shared" si="33"/>
        <v>13</v>
      </c>
      <c r="I79" s="12">
        <f t="shared" si="16"/>
        <v>6</v>
      </c>
      <c r="J79" s="1181" t="str">
        <f t="shared" ca="1" si="31"/>
        <v>Panorama B.</v>
      </c>
      <c r="K79" s="1409" t="s">
        <v>2266</v>
      </c>
      <c r="M79" s="1434"/>
    </row>
    <row r="80" spans="1:13">
      <c r="A80" s="1406" t="s">
        <v>2944</v>
      </c>
      <c r="B80" s="1406" t="str">
        <f t="shared" si="28"/>
        <v>202502</v>
      </c>
      <c r="C80" s="1406" t="s">
        <v>2946</v>
      </c>
      <c r="D80" s="1403" t="str">
        <f>'Panorama B.'!F24</f>
        <v>19..01.02.01.02.</v>
      </c>
      <c r="E80" s="1406">
        <f t="shared" si="29"/>
        <v>0</v>
      </c>
      <c r="F80" s="1811">
        <f>'Panorama B.'!H24</f>
        <v>0</v>
      </c>
      <c r="G80" s="1425" t="s">
        <v>2254</v>
      </c>
      <c r="H80" s="1402">
        <f>+H74+1</f>
        <v>14</v>
      </c>
      <c r="I80" s="1402">
        <f>+I74</f>
        <v>1</v>
      </c>
      <c r="J80" s="1406" t="str">
        <f t="shared" ca="1" si="31"/>
        <v>Panorama B.</v>
      </c>
      <c r="K80" s="1410" t="s">
        <v>2266</v>
      </c>
      <c r="L80" s="1405">
        <f>+L74+1</f>
        <v>14</v>
      </c>
      <c r="M80" s="1434"/>
    </row>
    <row r="81" spans="1:13">
      <c r="A81" s="1406" t="s">
        <v>2944</v>
      </c>
      <c r="B81" s="1406" t="str">
        <f t="shared" si="28"/>
        <v>202502</v>
      </c>
      <c r="C81" s="1406" t="s">
        <v>2946</v>
      </c>
      <c r="D81" s="1403" t="str">
        <f t="shared" si="30"/>
        <v>19..01.02.01.02.</v>
      </c>
      <c r="E81" s="1406">
        <f t="shared" si="29"/>
        <v>0</v>
      </c>
      <c r="F81" s="1811">
        <f>'Panorama B.'!I24</f>
        <v>0</v>
      </c>
      <c r="G81" s="1425" t="s">
        <v>2255</v>
      </c>
      <c r="H81" s="1402">
        <f>+H80</f>
        <v>14</v>
      </c>
      <c r="I81" s="1402">
        <f t="shared" si="16"/>
        <v>2</v>
      </c>
      <c r="J81" s="1406" t="str">
        <f t="shared" ca="1" si="31"/>
        <v>Panorama B.</v>
      </c>
      <c r="K81" s="1410" t="s">
        <v>2266</v>
      </c>
      <c r="L81" s="1405"/>
      <c r="M81" s="1434"/>
    </row>
    <row r="82" spans="1:13">
      <c r="A82" s="1406" t="s">
        <v>2944</v>
      </c>
      <c r="B82" s="1406" t="str">
        <f t="shared" si="28"/>
        <v>202502</v>
      </c>
      <c r="C82" s="1406" t="s">
        <v>2946</v>
      </c>
      <c r="D82" s="1403" t="str">
        <f t="shared" si="30"/>
        <v>19..01.02.01.02.</v>
      </c>
      <c r="E82" s="1406">
        <f t="shared" si="29"/>
        <v>0</v>
      </c>
      <c r="F82" s="1811">
        <f>'Panorama B.'!J24</f>
        <v>0</v>
      </c>
      <c r="G82" s="1425" t="s">
        <v>2256</v>
      </c>
      <c r="H82" s="1402">
        <f t="shared" ref="H82:H85" si="34">+H81</f>
        <v>14</v>
      </c>
      <c r="I82" s="1402">
        <f t="shared" si="16"/>
        <v>3</v>
      </c>
      <c r="J82" s="1406" t="str">
        <f t="shared" ca="1" si="31"/>
        <v>Panorama B.</v>
      </c>
      <c r="K82" s="1410" t="s">
        <v>2266</v>
      </c>
      <c r="L82" s="1405"/>
      <c r="M82" s="1434"/>
    </row>
    <row r="83" spans="1:13">
      <c r="A83" s="1406" t="s">
        <v>2944</v>
      </c>
      <c r="B83" s="1406" t="str">
        <f t="shared" si="28"/>
        <v>202503</v>
      </c>
      <c r="C83" s="1406" t="s">
        <v>2945</v>
      </c>
      <c r="D83" s="1403" t="str">
        <f t="shared" si="30"/>
        <v>19..01.02.01.02.</v>
      </c>
      <c r="E83" s="1406">
        <f t="shared" si="29"/>
        <v>0</v>
      </c>
      <c r="F83" s="1811">
        <f>'Panorama B.'!K24</f>
        <v>0</v>
      </c>
      <c r="G83" s="1425" t="s">
        <v>2257</v>
      </c>
      <c r="H83" s="1402">
        <f t="shared" si="34"/>
        <v>14</v>
      </c>
      <c r="I83" s="1402">
        <f t="shared" si="16"/>
        <v>4</v>
      </c>
      <c r="J83" s="1406" t="str">
        <f t="shared" ca="1" si="31"/>
        <v>Panorama B.</v>
      </c>
      <c r="K83" s="1410" t="s">
        <v>2266</v>
      </c>
      <c r="L83" s="1405"/>
      <c r="M83" s="1434"/>
    </row>
    <row r="84" spans="1:13">
      <c r="A84" s="1406" t="s">
        <v>2944</v>
      </c>
      <c r="B84" s="1406" t="str">
        <f t="shared" si="28"/>
        <v>202503</v>
      </c>
      <c r="C84" s="1406" t="s">
        <v>2945</v>
      </c>
      <c r="D84" s="1403" t="str">
        <f t="shared" si="30"/>
        <v>19..01.02.01.02.</v>
      </c>
      <c r="E84" s="1406">
        <f t="shared" si="29"/>
        <v>0</v>
      </c>
      <c r="F84" s="1811">
        <f>'Panorama B.'!L24</f>
        <v>0</v>
      </c>
      <c r="G84" s="1425" t="s">
        <v>2258</v>
      </c>
      <c r="H84" s="1402">
        <f t="shared" si="34"/>
        <v>14</v>
      </c>
      <c r="I84" s="1402">
        <f t="shared" si="16"/>
        <v>5</v>
      </c>
      <c r="J84" s="1406" t="str">
        <f t="shared" ca="1" si="31"/>
        <v>Panorama B.</v>
      </c>
      <c r="K84" s="1410" t="s">
        <v>2266</v>
      </c>
      <c r="L84" s="1405"/>
      <c r="M84" s="1434"/>
    </row>
    <row r="85" spans="1:13">
      <c r="A85" s="1406" t="s">
        <v>2944</v>
      </c>
      <c r="B85" s="1406" t="str">
        <f t="shared" si="28"/>
        <v>202503</v>
      </c>
      <c r="C85" s="1406" t="s">
        <v>2945</v>
      </c>
      <c r="D85" s="1403" t="str">
        <f t="shared" si="30"/>
        <v>19..01.02.01.02.</v>
      </c>
      <c r="E85" s="1406">
        <f t="shared" si="29"/>
        <v>0</v>
      </c>
      <c r="F85" s="1811">
        <f>'Panorama B.'!M24</f>
        <v>0</v>
      </c>
      <c r="G85" s="1425" t="s">
        <v>2259</v>
      </c>
      <c r="H85" s="1402">
        <f t="shared" si="34"/>
        <v>14</v>
      </c>
      <c r="I85" s="1402">
        <f t="shared" si="16"/>
        <v>6</v>
      </c>
      <c r="J85" s="1406" t="str">
        <f t="shared" ca="1" si="31"/>
        <v>Panorama B.</v>
      </c>
      <c r="K85" s="1410" t="s">
        <v>2266</v>
      </c>
      <c r="L85" s="1405"/>
      <c r="M85" s="1434"/>
    </row>
    <row r="86" spans="1:13">
      <c r="A86" s="1408" t="s">
        <v>2944</v>
      </c>
      <c r="B86" s="1408" t="str">
        <f t="shared" si="28"/>
        <v>202502</v>
      </c>
      <c r="C86" s="1181" t="s">
        <v>2946</v>
      </c>
      <c r="D86" s="1401" t="str">
        <f>'Panorama B.'!F25</f>
        <v>19..01.02.02.</v>
      </c>
      <c r="E86" s="1181">
        <f t="shared" si="29"/>
        <v>0</v>
      </c>
      <c r="F86" s="1810">
        <f>'Panorama B.'!H25</f>
        <v>0</v>
      </c>
      <c r="G86" s="1424" t="s">
        <v>2254</v>
      </c>
      <c r="H86" s="12">
        <f>+H80+1</f>
        <v>15</v>
      </c>
      <c r="I86" s="12">
        <f>+I80</f>
        <v>1</v>
      </c>
      <c r="J86" s="1181" t="str">
        <f t="shared" ca="1" si="31"/>
        <v>Panorama B.</v>
      </c>
      <c r="K86" s="1409" t="s">
        <v>2266</v>
      </c>
      <c r="L86" s="1399">
        <f>+L80+1</f>
        <v>15</v>
      </c>
      <c r="M86" s="1434"/>
    </row>
    <row r="87" spans="1:13">
      <c r="A87" s="1408" t="s">
        <v>2944</v>
      </c>
      <c r="B87" s="1408" t="str">
        <f t="shared" si="28"/>
        <v>202502</v>
      </c>
      <c r="C87" s="1181" t="s">
        <v>2946</v>
      </c>
      <c r="D87" s="1401" t="str">
        <f t="shared" si="30"/>
        <v>19..01.02.02.</v>
      </c>
      <c r="E87" s="1181">
        <f t="shared" si="29"/>
        <v>0</v>
      </c>
      <c r="F87" s="1810">
        <f>'Panorama B.'!I25</f>
        <v>0</v>
      </c>
      <c r="G87" s="1424" t="s">
        <v>2255</v>
      </c>
      <c r="H87" s="12">
        <f>+H86</f>
        <v>15</v>
      </c>
      <c r="I87" s="12">
        <f t="shared" si="16"/>
        <v>2</v>
      </c>
      <c r="J87" s="1181" t="str">
        <f t="shared" ca="1" si="31"/>
        <v>Panorama B.</v>
      </c>
      <c r="K87" s="1409" t="s">
        <v>2266</v>
      </c>
      <c r="M87" s="1434"/>
    </row>
    <row r="88" spans="1:13">
      <c r="A88" s="1408" t="s">
        <v>2944</v>
      </c>
      <c r="B88" s="1408" t="str">
        <f t="shared" si="28"/>
        <v>202502</v>
      </c>
      <c r="C88" s="1181" t="s">
        <v>2946</v>
      </c>
      <c r="D88" s="1401" t="str">
        <f t="shared" si="30"/>
        <v>19..01.02.02.</v>
      </c>
      <c r="E88" s="1181">
        <f t="shared" si="29"/>
        <v>0</v>
      </c>
      <c r="F88" s="1810">
        <f>'Panorama B.'!J25</f>
        <v>0</v>
      </c>
      <c r="G88" s="1424" t="s">
        <v>2256</v>
      </c>
      <c r="H88" s="12">
        <f t="shared" ref="H88:H91" si="35">+H87</f>
        <v>15</v>
      </c>
      <c r="I88" s="12">
        <f t="shared" si="16"/>
        <v>3</v>
      </c>
      <c r="J88" s="1181" t="str">
        <f t="shared" ca="1" si="31"/>
        <v>Panorama B.</v>
      </c>
      <c r="K88" s="1409" t="s">
        <v>2266</v>
      </c>
      <c r="M88" s="1434"/>
    </row>
    <row r="89" spans="1:13">
      <c r="A89" s="1408" t="s">
        <v>2944</v>
      </c>
      <c r="B89" s="1408" t="str">
        <f t="shared" si="28"/>
        <v>202503</v>
      </c>
      <c r="C89" s="1181" t="s">
        <v>2945</v>
      </c>
      <c r="D89" s="1401" t="str">
        <f t="shared" si="30"/>
        <v>19..01.02.02.</v>
      </c>
      <c r="E89" s="1181">
        <f t="shared" si="29"/>
        <v>0</v>
      </c>
      <c r="F89" s="1810">
        <f>'Panorama B.'!K25</f>
        <v>0</v>
      </c>
      <c r="G89" s="1424" t="s">
        <v>2257</v>
      </c>
      <c r="H89" s="12">
        <f t="shared" si="35"/>
        <v>15</v>
      </c>
      <c r="I89" s="12">
        <f t="shared" si="16"/>
        <v>4</v>
      </c>
      <c r="J89" s="1181" t="str">
        <f t="shared" ca="1" si="31"/>
        <v>Panorama B.</v>
      </c>
      <c r="K89" s="1409" t="s">
        <v>2266</v>
      </c>
      <c r="M89" s="1434"/>
    </row>
    <row r="90" spans="1:13">
      <c r="A90" s="1408" t="s">
        <v>2944</v>
      </c>
      <c r="B90" s="1408" t="str">
        <f t="shared" si="28"/>
        <v>202503</v>
      </c>
      <c r="C90" s="1181" t="s">
        <v>2945</v>
      </c>
      <c r="D90" s="1401" t="str">
        <f t="shared" si="30"/>
        <v>19..01.02.02.</v>
      </c>
      <c r="E90" s="1181">
        <f t="shared" si="29"/>
        <v>0</v>
      </c>
      <c r="F90" s="1810">
        <f>'Panorama B.'!L25</f>
        <v>0</v>
      </c>
      <c r="G90" s="1424" t="s">
        <v>2258</v>
      </c>
      <c r="H90" s="12">
        <f t="shared" si="35"/>
        <v>15</v>
      </c>
      <c r="I90" s="12">
        <f t="shared" si="16"/>
        <v>5</v>
      </c>
      <c r="J90" s="1181" t="str">
        <f t="shared" ca="1" si="31"/>
        <v>Panorama B.</v>
      </c>
      <c r="K90" s="1409" t="s">
        <v>2266</v>
      </c>
      <c r="M90" s="1434"/>
    </row>
    <row r="91" spans="1:13">
      <c r="A91" s="1408" t="s">
        <v>2944</v>
      </c>
      <c r="B91" s="1408" t="str">
        <f t="shared" si="28"/>
        <v>202503</v>
      </c>
      <c r="C91" s="1181" t="s">
        <v>2945</v>
      </c>
      <c r="D91" s="1401" t="str">
        <f t="shared" si="30"/>
        <v>19..01.02.02.</v>
      </c>
      <c r="E91" s="1181">
        <f t="shared" si="29"/>
        <v>0</v>
      </c>
      <c r="F91" s="1810">
        <f>'Panorama B.'!M25</f>
        <v>0</v>
      </c>
      <c r="G91" s="1424" t="s">
        <v>2259</v>
      </c>
      <c r="H91" s="12">
        <f t="shared" si="35"/>
        <v>15</v>
      </c>
      <c r="I91" s="12">
        <f t="shared" si="16"/>
        <v>6</v>
      </c>
      <c r="J91" s="1181" t="str">
        <f t="shared" ca="1" si="31"/>
        <v>Panorama B.</v>
      </c>
      <c r="K91" s="1409" t="s">
        <v>2266</v>
      </c>
      <c r="M91" s="1434"/>
    </row>
    <row r="92" spans="1:13">
      <c r="A92" s="1406" t="s">
        <v>2944</v>
      </c>
      <c r="B92" s="1406" t="str">
        <f t="shared" si="28"/>
        <v>202502</v>
      </c>
      <c r="C92" s="1406" t="s">
        <v>2946</v>
      </c>
      <c r="D92" s="1403" t="str">
        <f>'Panorama B.'!F26</f>
        <v>19..01.02.02.01.</v>
      </c>
      <c r="E92" s="1406">
        <f t="shared" si="29"/>
        <v>0</v>
      </c>
      <c r="F92" s="1811">
        <f>'Panorama B.'!H26</f>
        <v>0</v>
      </c>
      <c r="G92" s="1425" t="s">
        <v>2254</v>
      </c>
      <c r="H92" s="1402">
        <f>+H86+1</f>
        <v>16</v>
      </c>
      <c r="I92" s="1402">
        <f>+I86</f>
        <v>1</v>
      </c>
      <c r="J92" s="1406" t="str">
        <f t="shared" ca="1" si="31"/>
        <v>Panorama B.</v>
      </c>
      <c r="K92" s="1410" t="s">
        <v>2266</v>
      </c>
      <c r="L92" s="1405">
        <f>+L86+1</f>
        <v>16</v>
      </c>
      <c r="M92" s="1434"/>
    </row>
    <row r="93" spans="1:13">
      <c r="A93" s="1406" t="s">
        <v>2944</v>
      </c>
      <c r="B93" s="1406" t="str">
        <f t="shared" si="28"/>
        <v>202502</v>
      </c>
      <c r="C93" s="1406" t="s">
        <v>2946</v>
      </c>
      <c r="D93" s="1403" t="str">
        <f t="shared" si="30"/>
        <v>19..01.02.02.01.</v>
      </c>
      <c r="E93" s="1406">
        <f t="shared" si="29"/>
        <v>0</v>
      </c>
      <c r="F93" s="1811">
        <f>'Panorama B.'!I26</f>
        <v>0</v>
      </c>
      <c r="G93" s="1425" t="s">
        <v>2255</v>
      </c>
      <c r="H93" s="1402">
        <f>+H92</f>
        <v>16</v>
      </c>
      <c r="I93" s="1402">
        <f t="shared" si="16"/>
        <v>2</v>
      </c>
      <c r="J93" s="1406" t="str">
        <f t="shared" ca="1" si="31"/>
        <v>Panorama B.</v>
      </c>
      <c r="K93" s="1410" t="s">
        <v>2266</v>
      </c>
      <c r="L93" s="1405"/>
      <c r="M93" s="1434"/>
    </row>
    <row r="94" spans="1:13">
      <c r="A94" s="1406" t="s">
        <v>2944</v>
      </c>
      <c r="B94" s="1406" t="str">
        <f t="shared" si="28"/>
        <v>202502</v>
      </c>
      <c r="C94" s="1406" t="s">
        <v>2946</v>
      </c>
      <c r="D94" s="1403" t="str">
        <f t="shared" si="30"/>
        <v>19..01.02.02.01.</v>
      </c>
      <c r="E94" s="1406">
        <f t="shared" si="29"/>
        <v>0</v>
      </c>
      <c r="F94" s="1811">
        <f>'Panorama B.'!J26</f>
        <v>0</v>
      </c>
      <c r="G94" s="1425" t="s">
        <v>2256</v>
      </c>
      <c r="H94" s="1402">
        <f t="shared" ref="H94:H97" si="36">+H93</f>
        <v>16</v>
      </c>
      <c r="I94" s="1402">
        <f t="shared" si="16"/>
        <v>3</v>
      </c>
      <c r="J94" s="1406" t="str">
        <f t="shared" ca="1" si="31"/>
        <v>Panorama B.</v>
      </c>
      <c r="K94" s="1410" t="s">
        <v>2266</v>
      </c>
      <c r="L94" s="1405"/>
      <c r="M94" s="1434"/>
    </row>
    <row r="95" spans="1:13">
      <c r="A95" s="1406" t="s">
        <v>2944</v>
      </c>
      <c r="B95" s="1406" t="str">
        <f t="shared" si="28"/>
        <v>202503</v>
      </c>
      <c r="C95" s="1406" t="s">
        <v>2945</v>
      </c>
      <c r="D95" s="1403" t="str">
        <f t="shared" si="30"/>
        <v>19..01.02.02.01.</v>
      </c>
      <c r="E95" s="1406">
        <f t="shared" si="29"/>
        <v>0</v>
      </c>
      <c r="F95" s="1811">
        <f>'Panorama B.'!K26</f>
        <v>0</v>
      </c>
      <c r="G95" s="1425" t="s">
        <v>2257</v>
      </c>
      <c r="H95" s="1402">
        <f t="shared" si="36"/>
        <v>16</v>
      </c>
      <c r="I95" s="1402">
        <f t="shared" si="16"/>
        <v>4</v>
      </c>
      <c r="J95" s="1406" t="str">
        <f t="shared" ca="1" si="31"/>
        <v>Panorama B.</v>
      </c>
      <c r="K95" s="1410" t="s">
        <v>2266</v>
      </c>
      <c r="L95" s="1405"/>
      <c r="M95" s="1434"/>
    </row>
    <row r="96" spans="1:13">
      <c r="A96" s="1406" t="s">
        <v>2944</v>
      </c>
      <c r="B96" s="1406" t="str">
        <f t="shared" si="28"/>
        <v>202503</v>
      </c>
      <c r="C96" s="1406" t="s">
        <v>2945</v>
      </c>
      <c r="D96" s="1403" t="str">
        <f t="shared" si="30"/>
        <v>19..01.02.02.01.</v>
      </c>
      <c r="E96" s="1406">
        <f t="shared" si="29"/>
        <v>0</v>
      </c>
      <c r="F96" s="1811">
        <f>'Panorama B.'!L26</f>
        <v>0</v>
      </c>
      <c r="G96" s="1425" t="s">
        <v>2258</v>
      </c>
      <c r="H96" s="1402">
        <f t="shared" si="36"/>
        <v>16</v>
      </c>
      <c r="I96" s="1402">
        <f t="shared" si="16"/>
        <v>5</v>
      </c>
      <c r="J96" s="1406" t="str">
        <f t="shared" ca="1" si="31"/>
        <v>Panorama B.</v>
      </c>
      <c r="K96" s="1410" t="s">
        <v>2266</v>
      </c>
      <c r="L96" s="1405"/>
      <c r="M96" s="1434"/>
    </row>
    <row r="97" spans="1:13">
      <c r="A97" s="1406" t="s">
        <v>2944</v>
      </c>
      <c r="B97" s="1406" t="str">
        <f t="shared" si="28"/>
        <v>202503</v>
      </c>
      <c r="C97" s="1406" t="s">
        <v>2945</v>
      </c>
      <c r="D97" s="1403" t="str">
        <f t="shared" si="30"/>
        <v>19..01.02.02.01.</v>
      </c>
      <c r="E97" s="1406">
        <f t="shared" si="29"/>
        <v>0</v>
      </c>
      <c r="F97" s="1811">
        <f>'Panorama B.'!M26</f>
        <v>0</v>
      </c>
      <c r="G97" s="1425" t="s">
        <v>2259</v>
      </c>
      <c r="H97" s="1402">
        <f t="shared" si="36"/>
        <v>16</v>
      </c>
      <c r="I97" s="1402">
        <f t="shared" ref="I97" si="37">+I91</f>
        <v>6</v>
      </c>
      <c r="J97" s="1406" t="str">
        <f t="shared" ca="1" si="31"/>
        <v>Panorama B.</v>
      </c>
      <c r="K97" s="1410" t="s">
        <v>2266</v>
      </c>
      <c r="L97" s="1405"/>
      <c r="M97" s="1434"/>
    </row>
    <row r="98" spans="1:13">
      <c r="A98" s="1408" t="s">
        <v>2944</v>
      </c>
      <c r="B98" s="1408" t="str">
        <f t="shared" si="28"/>
        <v>202502</v>
      </c>
      <c r="C98" s="1181" t="s">
        <v>2946</v>
      </c>
      <c r="D98" s="1401" t="str">
        <f>'Panorama B.'!F27</f>
        <v>19..01.02.02.02.</v>
      </c>
      <c r="E98" s="1181">
        <f t="shared" si="29"/>
        <v>0</v>
      </c>
      <c r="F98" s="1810">
        <f>'Panorama B.'!H27</f>
        <v>0</v>
      </c>
      <c r="G98" s="1424" t="s">
        <v>2254</v>
      </c>
      <c r="H98" s="12">
        <f>+H92+1</f>
        <v>17</v>
      </c>
      <c r="I98" s="12">
        <f>+I92</f>
        <v>1</v>
      </c>
      <c r="J98" s="1181" t="str">
        <f t="shared" ca="1" si="31"/>
        <v>Panorama B.</v>
      </c>
      <c r="K98" s="1409" t="s">
        <v>2266</v>
      </c>
      <c r="L98" s="1399">
        <f>+L92+1</f>
        <v>17</v>
      </c>
      <c r="M98" s="1434"/>
    </row>
    <row r="99" spans="1:13">
      <c r="A99" s="1408" t="s">
        <v>2944</v>
      </c>
      <c r="B99" s="1408" t="str">
        <f t="shared" si="28"/>
        <v>202502</v>
      </c>
      <c r="C99" s="1181" t="s">
        <v>2946</v>
      </c>
      <c r="D99" s="1401" t="str">
        <f t="shared" si="30"/>
        <v>19..01.02.02.02.</v>
      </c>
      <c r="E99" s="1181">
        <f t="shared" si="29"/>
        <v>0</v>
      </c>
      <c r="F99" s="1810">
        <f>'Panorama B.'!I27</f>
        <v>0</v>
      </c>
      <c r="G99" s="1424" t="s">
        <v>2255</v>
      </c>
      <c r="H99" s="12">
        <f>+H98</f>
        <v>17</v>
      </c>
      <c r="I99" s="12">
        <f t="shared" ref="I99:I103" si="38">+I93</f>
        <v>2</v>
      </c>
      <c r="J99" s="1181" t="str">
        <f t="shared" ca="1" si="31"/>
        <v>Panorama B.</v>
      </c>
      <c r="K99" s="1409" t="s">
        <v>2266</v>
      </c>
      <c r="M99" s="1434"/>
    </row>
    <row r="100" spans="1:13">
      <c r="A100" s="1408" t="s">
        <v>2944</v>
      </c>
      <c r="B100" s="1408" t="str">
        <f t="shared" si="28"/>
        <v>202502</v>
      </c>
      <c r="C100" s="1181" t="s">
        <v>2946</v>
      </c>
      <c r="D100" s="1401" t="str">
        <f t="shared" si="30"/>
        <v>19..01.02.02.02.</v>
      </c>
      <c r="E100" s="1181">
        <f t="shared" si="29"/>
        <v>0</v>
      </c>
      <c r="F100" s="1810">
        <f>'Panorama B.'!J27</f>
        <v>0</v>
      </c>
      <c r="G100" s="1424" t="s">
        <v>2256</v>
      </c>
      <c r="H100" s="12">
        <f t="shared" ref="H100:H103" si="39">+H99</f>
        <v>17</v>
      </c>
      <c r="I100" s="12">
        <f t="shared" si="38"/>
        <v>3</v>
      </c>
      <c r="J100" s="1181" t="str">
        <f t="shared" ca="1" si="31"/>
        <v>Panorama B.</v>
      </c>
      <c r="K100" s="1409" t="s">
        <v>2266</v>
      </c>
      <c r="M100" s="1434"/>
    </row>
    <row r="101" spans="1:13">
      <c r="A101" s="1408" t="s">
        <v>2944</v>
      </c>
      <c r="B101" s="1408" t="str">
        <f t="shared" si="28"/>
        <v>202503</v>
      </c>
      <c r="C101" s="1181" t="s">
        <v>2945</v>
      </c>
      <c r="D101" s="1401" t="str">
        <f t="shared" si="30"/>
        <v>19..01.02.02.02.</v>
      </c>
      <c r="E101" s="1181">
        <f t="shared" si="29"/>
        <v>0</v>
      </c>
      <c r="F101" s="1810">
        <f>'Panorama B.'!K27</f>
        <v>0</v>
      </c>
      <c r="G101" s="1424" t="s">
        <v>2257</v>
      </c>
      <c r="H101" s="12">
        <f t="shared" si="39"/>
        <v>17</v>
      </c>
      <c r="I101" s="12">
        <f t="shared" si="38"/>
        <v>4</v>
      </c>
      <c r="J101" s="1181" t="str">
        <f t="shared" ca="1" si="31"/>
        <v>Panorama B.</v>
      </c>
      <c r="K101" s="1409" t="s">
        <v>2266</v>
      </c>
      <c r="M101" s="1434"/>
    </row>
    <row r="102" spans="1:13">
      <c r="A102" s="1408" t="s">
        <v>2944</v>
      </c>
      <c r="B102" s="1408" t="str">
        <f t="shared" si="28"/>
        <v>202503</v>
      </c>
      <c r="C102" s="1181" t="s">
        <v>2945</v>
      </c>
      <c r="D102" s="1401" t="str">
        <f t="shared" si="30"/>
        <v>19..01.02.02.02.</v>
      </c>
      <c r="E102" s="1181">
        <f t="shared" si="29"/>
        <v>0</v>
      </c>
      <c r="F102" s="1810">
        <f>'Panorama B.'!L27</f>
        <v>0</v>
      </c>
      <c r="G102" s="1424" t="s">
        <v>2258</v>
      </c>
      <c r="H102" s="12">
        <f t="shared" si="39"/>
        <v>17</v>
      </c>
      <c r="I102" s="12">
        <f t="shared" si="38"/>
        <v>5</v>
      </c>
      <c r="J102" s="1181" t="str">
        <f t="shared" ca="1" si="31"/>
        <v>Panorama B.</v>
      </c>
      <c r="K102" s="1409" t="s">
        <v>2266</v>
      </c>
      <c r="M102" s="1434"/>
    </row>
    <row r="103" spans="1:13">
      <c r="A103" s="1408" t="s">
        <v>2944</v>
      </c>
      <c r="B103" s="1408" t="str">
        <f t="shared" si="28"/>
        <v>202503</v>
      </c>
      <c r="C103" s="1181" t="s">
        <v>2945</v>
      </c>
      <c r="D103" s="1401" t="str">
        <f t="shared" si="30"/>
        <v>19..01.02.02.02.</v>
      </c>
      <c r="E103" s="1181">
        <f t="shared" si="29"/>
        <v>0</v>
      </c>
      <c r="F103" s="1810">
        <f>'Panorama B.'!M27</f>
        <v>0</v>
      </c>
      <c r="G103" s="1424" t="s">
        <v>2259</v>
      </c>
      <c r="H103" s="12">
        <f t="shared" si="39"/>
        <v>17</v>
      </c>
      <c r="I103" s="12">
        <f t="shared" si="38"/>
        <v>6</v>
      </c>
      <c r="J103" s="1181" t="str">
        <f t="shared" ca="1" si="31"/>
        <v>Panorama B.</v>
      </c>
      <c r="K103" s="1409" t="s">
        <v>2266</v>
      </c>
      <c r="M103" s="1434"/>
    </row>
    <row r="104" spans="1:13">
      <c r="A104" s="1406" t="s">
        <v>2944</v>
      </c>
      <c r="B104" s="1406" t="str">
        <f t="shared" si="28"/>
        <v>202502</v>
      </c>
      <c r="C104" s="1406" t="s">
        <v>2946</v>
      </c>
      <c r="D104" s="1403" t="str">
        <f>'Panorama B.'!F28</f>
        <v>19..01.02.03.</v>
      </c>
      <c r="E104" s="1406">
        <f t="shared" si="29"/>
        <v>0</v>
      </c>
      <c r="F104" s="1811">
        <f>'Panorama B.'!H28</f>
        <v>0</v>
      </c>
      <c r="G104" s="1425" t="s">
        <v>2254</v>
      </c>
      <c r="H104" s="1402">
        <f>+H98+1</f>
        <v>18</v>
      </c>
      <c r="I104" s="1402">
        <f>+I98</f>
        <v>1</v>
      </c>
      <c r="J104" s="1406" t="str">
        <f t="shared" ca="1" si="31"/>
        <v>Panorama B.</v>
      </c>
      <c r="K104" s="1410" t="s">
        <v>2266</v>
      </c>
      <c r="L104" s="1405">
        <f>+L98+1</f>
        <v>18</v>
      </c>
      <c r="M104" s="1434"/>
    </row>
    <row r="105" spans="1:13">
      <c r="A105" s="1406" t="s">
        <v>2944</v>
      </c>
      <c r="B105" s="1406" t="str">
        <f t="shared" si="28"/>
        <v>202502</v>
      </c>
      <c r="C105" s="1406" t="s">
        <v>2946</v>
      </c>
      <c r="D105" s="1403" t="str">
        <f t="shared" si="30"/>
        <v>19..01.02.03.</v>
      </c>
      <c r="E105" s="1406">
        <f t="shared" si="29"/>
        <v>0</v>
      </c>
      <c r="F105" s="1811">
        <f>'Panorama B.'!I28</f>
        <v>0</v>
      </c>
      <c r="G105" s="1425" t="s">
        <v>2255</v>
      </c>
      <c r="H105" s="1402">
        <f>+H104</f>
        <v>18</v>
      </c>
      <c r="I105" s="1402">
        <f t="shared" ref="I105:I109" si="40">+I99</f>
        <v>2</v>
      </c>
      <c r="J105" s="1406" t="str">
        <f t="shared" ca="1" si="31"/>
        <v>Panorama B.</v>
      </c>
      <c r="K105" s="1410" t="s">
        <v>2266</v>
      </c>
      <c r="L105" s="1405"/>
      <c r="M105" s="1434"/>
    </row>
    <row r="106" spans="1:13">
      <c r="A106" s="1406" t="s">
        <v>2944</v>
      </c>
      <c r="B106" s="1406" t="str">
        <f t="shared" si="28"/>
        <v>202502</v>
      </c>
      <c r="C106" s="1406" t="s">
        <v>2946</v>
      </c>
      <c r="D106" s="1403" t="str">
        <f t="shared" si="30"/>
        <v>19..01.02.03.</v>
      </c>
      <c r="E106" s="1406">
        <f t="shared" si="29"/>
        <v>0</v>
      </c>
      <c r="F106" s="1811">
        <f>'Panorama B.'!J28</f>
        <v>0</v>
      </c>
      <c r="G106" s="1425" t="s">
        <v>2256</v>
      </c>
      <c r="H106" s="1402">
        <f t="shared" ref="H106:H109" si="41">+H105</f>
        <v>18</v>
      </c>
      <c r="I106" s="1402">
        <f t="shared" si="40"/>
        <v>3</v>
      </c>
      <c r="J106" s="1406" t="str">
        <f t="shared" ca="1" si="31"/>
        <v>Panorama B.</v>
      </c>
      <c r="K106" s="1410" t="s">
        <v>2266</v>
      </c>
      <c r="L106" s="1405"/>
      <c r="M106" s="1434"/>
    </row>
    <row r="107" spans="1:13">
      <c r="A107" s="1406" t="s">
        <v>2944</v>
      </c>
      <c r="B107" s="1406" t="str">
        <f t="shared" si="28"/>
        <v>202503</v>
      </c>
      <c r="C107" s="1406" t="s">
        <v>2945</v>
      </c>
      <c r="D107" s="1403" t="str">
        <f t="shared" si="30"/>
        <v>19..01.02.03.</v>
      </c>
      <c r="E107" s="1406">
        <f t="shared" si="29"/>
        <v>0</v>
      </c>
      <c r="F107" s="1811">
        <f>'Panorama B.'!K28</f>
        <v>0</v>
      </c>
      <c r="G107" s="1425" t="s">
        <v>2257</v>
      </c>
      <c r="H107" s="1402">
        <f t="shared" si="41"/>
        <v>18</v>
      </c>
      <c r="I107" s="1402">
        <f t="shared" si="40"/>
        <v>4</v>
      </c>
      <c r="J107" s="1406" t="str">
        <f t="shared" ca="1" si="31"/>
        <v>Panorama B.</v>
      </c>
      <c r="K107" s="1410" t="s">
        <v>2266</v>
      </c>
      <c r="L107" s="1405"/>
      <c r="M107" s="1434"/>
    </row>
    <row r="108" spans="1:13">
      <c r="A108" s="1406" t="s">
        <v>2944</v>
      </c>
      <c r="B108" s="1406" t="str">
        <f t="shared" si="28"/>
        <v>202503</v>
      </c>
      <c r="C108" s="1406" t="s">
        <v>2945</v>
      </c>
      <c r="D108" s="1403" t="str">
        <f t="shared" si="30"/>
        <v>19..01.02.03.</v>
      </c>
      <c r="E108" s="1406">
        <f t="shared" si="29"/>
        <v>0</v>
      </c>
      <c r="F108" s="1811">
        <f>'Panorama B.'!L28</f>
        <v>0</v>
      </c>
      <c r="G108" s="1425" t="s">
        <v>2258</v>
      </c>
      <c r="H108" s="1402">
        <f t="shared" si="41"/>
        <v>18</v>
      </c>
      <c r="I108" s="1402">
        <f t="shared" si="40"/>
        <v>5</v>
      </c>
      <c r="J108" s="1406" t="str">
        <f t="shared" ca="1" si="31"/>
        <v>Panorama B.</v>
      </c>
      <c r="K108" s="1410" t="s">
        <v>2266</v>
      </c>
      <c r="L108" s="1405"/>
      <c r="M108" s="1434"/>
    </row>
    <row r="109" spans="1:13">
      <c r="A109" s="1406" t="s">
        <v>2944</v>
      </c>
      <c r="B109" s="1406" t="str">
        <f t="shared" si="28"/>
        <v>202503</v>
      </c>
      <c r="C109" s="1406" t="s">
        <v>2945</v>
      </c>
      <c r="D109" s="1403" t="str">
        <f t="shared" si="30"/>
        <v>19..01.02.03.</v>
      </c>
      <c r="E109" s="1406">
        <f t="shared" si="29"/>
        <v>0</v>
      </c>
      <c r="F109" s="1811">
        <f>'Panorama B.'!M28</f>
        <v>0</v>
      </c>
      <c r="G109" s="1425" t="s">
        <v>2259</v>
      </c>
      <c r="H109" s="1402">
        <f t="shared" si="41"/>
        <v>18</v>
      </c>
      <c r="I109" s="1402">
        <f t="shared" si="40"/>
        <v>6</v>
      </c>
      <c r="J109" s="1406" t="str">
        <f t="shared" ca="1" si="31"/>
        <v>Panorama B.</v>
      </c>
      <c r="K109" s="1410" t="s">
        <v>2266</v>
      </c>
      <c r="L109" s="1405"/>
      <c r="M109" s="1434"/>
    </row>
    <row r="110" spans="1:13">
      <c r="A110" s="1408" t="s">
        <v>2944</v>
      </c>
      <c r="B110" s="1408" t="str">
        <f t="shared" si="28"/>
        <v>202502</v>
      </c>
      <c r="C110" s="1181" t="s">
        <v>2946</v>
      </c>
      <c r="D110" s="1401" t="str" cm="1">
        <f t="array" ref="D110">+INDEX('Panorama B.'!$F$11:$F$46,Base_Monet!H110)</f>
        <v>19..02.</v>
      </c>
      <c r="E110" s="1181">
        <f t="shared" si="29"/>
        <v>0</v>
      </c>
      <c r="F110" s="1810" cm="1">
        <f t="array" ref="F110">+INDEX('Panorama B.'!$F$11:$M$46,H110,Base_Monet!I110+2)</f>
        <v>0</v>
      </c>
      <c r="G110" s="1424" t="s">
        <v>2254</v>
      </c>
      <c r="H110" s="12">
        <f>+H104+1</f>
        <v>19</v>
      </c>
      <c r="I110" s="12">
        <f>+I104</f>
        <v>1</v>
      </c>
      <c r="J110" s="1181" t="str">
        <f t="shared" ca="1" si="31"/>
        <v>Panorama B.</v>
      </c>
      <c r="K110" s="1409" t="s">
        <v>2266</v>
      </c>
      <c r="L110" s="1399">
        <f>+L104+1</f>
        <v>19</v>
      </c>
      <c r="M110" s="1434"/>
    </row>
    <row r="111" spans="1:13">
      <c r="A111" s="1408" t="s">
        <v>2944</v>
      </c>
      <c r="B111" s="1408" t="str">
        <f t="shared" si="28"/>
        <v>202502</v>
      </c>
      <c r="C111" s="1181" t="s">
        <v>2946</v>
      </c>
      <c r="D111" s="1401" t="str" cm="1">
        <f t="array" ref="D111">+INDEX('Panorama B.'!$F$11:$F$46,Base_Monet!H111)</f>
        <v>19..02.</v>
      </c>
      <c r="E111" s="1181">
        <f t="shared" si="29"/>
        <v>0</v>
      </c>
      <c r="F111" s="1810" cm="1">
        <f t="array" ref="F111">+INDEX('Panorama B.'!$F$11:$M$46,H111,Base_Monet!I111+2)</f>
        <v>0</v>
      </c>
      <c r="G111" s="1424" t="s">
        <v>2255</v>
      </c>
      <c r="H111" s="12">
        <f>+H110</f>
        <v>19</v>
      </c>
      <c r="I111" s="12">
        <f t="shared" ref="I111:I115" si="42">+I105</f>
        <v>2</v>
      </c>
      <c r="J111" s="1181" t="str">
        <f t="shared" ca="1" si="31"/>
        <v>Panorama B.</v>
      </c>
      <c r="K111" s="1409" t="s">
        <v>2266</v>
      </c>
      <c r="M111" s="1434"/>
    </row>
    <row r="112" spans="1:13">
      <c r="A112" s="1408" t="s">
        <v>2944</v>
      </c>
      <c r="B112" s="1408" t="str">
        <f t="shared" si="28"/>
        <v>202502</v>
      </c>
      <c r="C112" s="1181" t="s">
        <v>2946</v>
      </c>
      <c r="D112" s="1401" t="str" cm="1">
        <f t="array" ref="D112">+INDEX('Panorama B.'!$F$11:$F$46,Base_Monet!H112)</f>
        <v>19..02.</v>
      </c>
      <c r="E112" s="1181">
        <f t="shared" si="29"/>
        <v>0</v>
      </c>
      <c r="F112" s="1810" cm="1">
        <f t="array" ref="F112">+INDEX('Panorama B.'!$F$11:$M$46,H112,Base_Monet!I112+2)</f>
        <v>0</v>
      </c>
      <c r="G112" s="1424" t="s">
        <v>2256</v>
      </c>
      <c r="H112" s="12">
        <f t="shared" ref="H112:H115" si="43">+H111</f>
        <v>19</v>
      </c>
      <c r="I112" s="12">
        <f t="shared" si="42"/>
        <v>3</v>
      </c>
      <c r="J112" s="1181" t="str">
        <f t="shared" ca="1" si="31"/>
        <v>Panorama B.</v>
      </c>
      <c r="K112" s="1409" t="s">
        <v>2266</v>
      </c>
      <c r="M112" s="1434"/>
    </row>
    <row r="113" spans="1:13">
      <c r="A113" s="1408" t="s">
        <v>2944</v>
      </c>
      <c r="B113" s="1408" t="str">
        <f t="shared" si="28"/>
        <v>202503</v>
      </c>
      <c r="C113" s="1181" t="s">
        <v>2945</v>
      </c>
      <c r="D113" s="1401" t="str" cm="1">
        <f t="array" ref="D113">+INDEX('Panorama B.'!$F$11:$F$46,Base_Monet!H113)</f>
        <v>19..02.</v>
      </c>
      <c r="E113" s="1181">
        <f t="shared" si="29"/>
        <v>0</v>
      </c>
      <c r="F113" s="1810" cm="1">
        <f t="array" ref="F113">+INDEX('Panorama B.'!$F$11:$M$46,H113,Base_Monet!I113+2)</f>
        <v>0</v>
      </c>
      <c r="G113" s="1424" t="s">
        <v>2257</v>
      </c>
      <c r="H113" s="12">
        <f t="shared" si="43"/>
        <v>19</v>
      </c>
      <c r="I113" s="12">
        <f t="shared" si="42"/>
        <v>4</v>
      </c>
      <c r="J113" s="1181" t="str">
        <f t="shared" ca="1" si="31"/>
        <v>Panorama B.</v>
      </c>
      <c r="K113" s="1409" t="s">
        <v>2266</v>
      </c>
      <c r="M113" s="1434"/>
    </row>
    <row r="114" spans="1:13">
      <c r="A114" s="1408" t="s">
        <v>2944</v>
      </c>
      <c r="B114" s="1408" t="str">
        <f t="shared" si="28"/>
        <v>202503</v>
      </c>
      <c r="C114" s="1181" t="s">
        <v>2945</v>
      </c>
      <c r="D114" s="1401" t="str" cm="1">
        <f t="array" ref="D114">+INDEX('Panorama B.'!$F$11:$F$46,Base_Monet!H114)</f>
        <v>19..02.</v>
      </c>
      <c r="E114" s="1181">
        <f t="shared" si="29"/>
        <v>0</v>
      </c>
      <c r="F114" s="1810" cm="1">
        <f t="array" ref="F114">+INDEX('Panorama B.'!$F$11:$M$46,H114,Base_Monet!I114+2)</f>
        <v>0</v>
      </c>
      <c r="G114" s="1424" t="s">
        <v>2258</v>
      </c>
      <c r="H114" s="12">
        <f t="shared" si="43"/>
        <v>19</v>
      </c>
      <c r="I114" s="12">
        <f t="shared" si="42"/>
        <v>5</v>
      </c>
      <c r="J114" s="1181" t="str">
        <f t="shared" ca="1" si="31"/>
        <v>Panorama B.</v>
      </c>
      <c r="K114" s="1409" t="s">
        <v>2266</v>
      </c>
      <c r="M114" s="1434"/>
    </row>
    <row r="115" spans="1:13">
      <c r="A115" s="1408" t="s">
        <v>2944</v>
      </c>
      <c r="B115" s="1408" t="str">
        <f t="shared" si="28"/>
        <v>202503</v>
      </c>
      <c r="C115" s="1181" t="s">
        <v>2945</v>
      </c>
      <c r="D115" s="1401" t="str" cm="1">
        <f t="array" ref="D115">+INDEX('Panorama B.'!$F$11:$F$46,Base_Monet!H115)</f>
        <v>19..02.</v>
      </c>
      <c r="E115" s="1181">
        <f t="shared" si="29"/>
        <v>0</v>
      </c>
      <c r="F115" s="1810" cm="1">
        <f t="array" ref="F115">+INDEX('Panorama B.'!$F$11:$M$46,H115,Base_Monet!I115+2)</f>
        <v>0</v>
      </c>
      <c r="G115" s="1424" t="s">
        <v>2259</v>
      </c>
      <c r="H115" s="12">
        <f t="shared" si="43"/>
        <v>19</v>
      </c>
      <c r="I115" s="12">
        <f t="shared" si="42"/>
        <v>6</v>
      </c>
      <c r="J115" s="1181" t="str">
        <f t="shared" ca="1" si="31"/>
        <v>Panorama B.</v>
      </c>
      <c r="K115" s="1409" t="s">
        <v>2266</v>
      </c>
      <c r="M115" s="1434"/>
    </row>
    <row r="116" spans="1:13">
      <c r="A116" s="1406" t="s">
        <v>2944</v>
      </c>
      <c r="B116" s="1406" t="str">
        <f t="shared" si="28"/>
        <v>202502</v>
      </c>
      <c r="C116" s="1406" t="s">
        <v>2946</v>
      </c>
      <c r="D116" s="1403" t="str" cm="1">
        <f t="array" ref="D116">+INDEX('Panorama B.'!$F$11:$F$46,Base_Monet!H116)</f>
        <v>19..02.01.</v>
      </c>
      <c r="E116" s="1406">
        <f t="shared" si="29"/>
        <v>0</v>
      </c>
      <c r="F116" s="1811" cm="1">
        <f t="array" ref="F116">+INDEX('Panorama B.'!$F$11:$M$46,H116,Base_Monet!I116+2)</f>
        <v>0</v>
      </c>
      <c r="G116" s="1425" t="s">
        <v>2254</v>
      </c>
      <c r="H116" s="1402">
        <f>+H110+1</f>
        <v>20</v>
      </c>
      <c r="I116" s="1402">
        <f>+I110</f>
        <v>1</v>
      </c>
      <c r="J116" s="1406" t="str">
        <f t="shared" ca="1" si="31"/>
        <v>Panorama B.</v>
      </c>
      <c r="K116" s="1410" t="s">
        <v>2266</v>
      </c>
      <c r="L116" s="1405">
        <f>+L110+1</f>
        <v>20</v>
      </c>
      <c r="M116" s="1434"/>
    </row>
    <row r="117" spans="1:13">
      <c r="A117" s="1406" t="s">
        <v>2944</v>
      </c>
      <c r="B117" s="1406" t="str">
        <f t="shared" si="28"/>
        <v>202502</v>
      </c>
      <c r="C117" s="1406" t="s">
        <v>2946</v>
      </c>
      <c r="D117" s="1403" t="str" cm="1">
        <f t="array" ref="D117">+INDEX('Panorama B.'!$F$11:$F$46,Base_Monet!H117)</f>
        <v>19..02.01.</v>
      </c>
      <c r="E117" s="1406">
        <f t="shared" si="29"/>
        <v>0</v>
      </c>
      <c r="F117" s="1811" cm="1">
        <f t="array" ref="F117">+INDEX('Panorama B.'!$F$11:$M$46,H117,Base_Monet!I117+2)</f>
        <v>0</v>
      </c>
      <c r="G117" s="1425" t="s">
        <v>2255</v>
      </c>
      <c r="H117" s="1402">
        <f>+H116</f>
        <v>20</v>
      </c>
      <c r="I117" s="1402">
        <f t="shared" ref="I117:I121" si="44">+I111</f>
        <v>2</v>
      </c>
      <c r="J117" s="1406" t="str">
        <f t="shared" ca="1" si="31"/>
        <v>Panorama B.</v>
      </c>
      <c r="K117" s="1410" t="s">
        <v>2266</v>
      </c>
      <c r="L117" s="1405"/>
      <c r="M117" s="1434"/>
    </row>
    <row r="118" spans="1:13">
      <c r="A118" s="1406" t="s">
        <v>2944</v>
      </c>
      <c r="B118" s="1406" t="str">
        <f t="shared" si="28"/>
        <v>202502</v>
      </c>
      <c r="C118" s="1406" t="s">
        <v>2946</v>
      </c>
      <c r="D118" s="1403" t="str" cm="1">
        <f t="array" ref="D118">+INDEX('Panorama B.'!$F$11:$F$46,Base_Monet!H118)</f>
        <v>19..02.01.</v>
      </c>
      <c r="E118" s="1406">
        <f t="shared" si="29"/>
        <v>0</v>
      </c>
      <c r="F118" s="1811" cm="1">
        <f t="array" ref="F118">+INDEX('Panorama B.'!$F$11:$M$46,H118,Base_Monet!I118+2)</f>
        <v>0</v>
      </c>
      <c r="G118" s="1425" t="s">
        <v>2256</v>
      </c>
      <c r="H118" s="1402">
        <f t="shared" ref="H118:H121" si="45">+H117</f>
        <v>20</v>
      </c>
      <c r="I118" s="1402">
        <f t="shared" si="44"/>
        <v>3</v>
      </c>
      <c r="J118" s="1406" t="str">
        <f t="shared" ca="1" si="31"/>
        <v>Panorama B.</v>
      </c>
      <c r="K118" s="1410" t="s">
        <v>2266</v>
      </c>
      <c r="L118" s="1405"/>
      <c r="M118" s="1434"/>
    </row>
    <row r="119" spans="1:13">
      <c r="A119" s="1406" t="s">
        <v>2944</v>
      </c>
      <c r="B119" s="1406" t="str">
        <f t="shared" si="28"/>
        <v>202503</v>
      </c>
      <c r="C119" s="1406" t="s">
        <v>2945</v>
      </c>
      <c r="D119" s="1403" t="str" cm="1">
        <f t="array" ref="D119">+INDEX('Panorama B.'!$F$11:$F$46,Base_Monet!H119)</f>
        <v>19..02.01.</v>
      </c>
      <c r="E119" s="1406">
        <f t="shared" si="29"/>
        <v>0</v>
      </c>
      <c r="F119" s="1811" cm="1">
        <f t="array" ref="F119">+INDEX('Panorama B.'!$F$11:$M$46,H119,Base_Monet!I119+2)</f>
        <v>0</v>
      </c>
      <c r="G119" s="1425" t="s">
        <v>2257</v>
      </c>
      <c r="H119" s="1402">
        <f t="shared" si="45"/>
        <v>20</v>
      </c>
      <c r="I119" s="1402">
        <f t="shared" si="44"/>
        <v>4</v>
      </c>
      <c r="J119" s="1406" t="str">
        <f t="shared" ca="1" si="31"/>
        <v>Panorama B.</v>
      </c>
      <c r="K119" s="1410" t="s">
        <v>2266</v>
      </c>
      <c r="L119" s="1405"/>
      <c r="M119" s="1434"/>
    </row>
    <row r="120" spans="1:13">
      <c r="A120" s="1406" t="s">
        <v>2944</v>
      </c>
      <c r="B120" s="1406" t="str">
        <f t="shared" si="28"/>
        <v>202503</v>
      </c>
      <c r="C120" s="1406" t="s">
        <v>2945</v>
      </c>
      <c r="D120" s="1403" t="str" cm="1">
        <f t="array" ref="D120">+INDEX('Panorama B.'!$F$11:$F$46,Base_Monet!H120)</f>
        <v>19..02.01.</v>
      </c>
      <c r="E120" s="1406">
        <f t="shared" si="29"/>
        <v>0</v>
      </c>
      <c r="F120" s="1811" cm="1">
        <f t="array" ref="F120">+INDEX('Panorama B.'!$F$11:$M$46,H120,Base_Monet!I120+2)</f>
        <v>0</v>
      </c>
      <c r="G120" s="1425" t="s">
        <v>2258</v>
      </c>
      <c r="H120" s="1402">
        <f t="shared" si="45"/>
        <v>20</v>
      </c>
      <c r="I120" s="1402">
        <f t="shared" si="44"/>
        <v>5</v>
      </c>
      <c r="J120" s="1406" t="str">
        <f t="shared" ca="1" si="31"/>
        <v>Panorama B.</v>
      </c>
      <c r="K120" s="1410" t="s">
        <v>2266</v>
      </c>
      <c r="L120" s="1405"/>
      <c r="M120" s="1434"/>
    </row>
    <row r="121" spans="1:13">
      <c r="A121" s="1406" t="s">
        <v>2944</v>
      </c>
      <c r="B121" s="1406" t="str">
        <f t="shared" si="28"/>
        <v>202503</v>
      </c>
      <c r="C121" s="1406" t="s">
        <v>2945</v>
      </c>
      <c r="D121" s="1403" t="str" cm="1">
        <f t="array" ref="D121">+INDEX('Panorama B.'!$F$11:$F$46,Base_Monet!H121)</f>
        <v>19..02.01.</v>
      </c>
      <c r="E121" s="1406">
        <f t="shared" si="29"/>
        <v>0</v>
      </c>
      <c r="F121" s="1811" cm="1">
        <f t="array" ref="F121">+INDEX('Panorama B.'!$F$11:$M$46,H121,Base_Monet!I121+2)</f>
        <v>0</v>
      </c>
      <c r="G121" s="1425" t="s">
        <v>2259</v>
      </c>
      <c r="H121" s="1402">
        <f t="shared" si="45"/>
        <v>20</v>
      </c>
      <c r="I121" s="1402">
        <f t="shared" si="44"/>
        <v>6</v>
      </c>
      <c r="J121" s="1406" t="str">
        <f t="shared" ca="1" si="31"/>
        <v>Panorama B.</v>
      </c>
      <c r="K121" s="1410" t="s">
        <v>2266</v>
      </c>
      <c r="L121" s="1405"/>
      <c r="M121" s="1434"/>
    </row>
    <row r="122" spans="1:13">
      <c r="A122" s="1408" t="s">
        <v>2944</v>
      </c>
      <c r="B122" s="1408" t="str">
        <f t="shared" si="28"/>
        <v>202502</v>
      </c>
      <c r="C122" s="1181" t="s">
        <v>2946</v>
      </c>
      <c r="D122" s="1401" t="str" cm="1">
        <f t="array" ref="D122">+INDEX('Panorama B.'!$F$11:$F$46,Base_Monet!H122)</f>
        <v>19..02.01.01.</v>
      </c>
      <c r="E122" s="1181">
        <f t="shared" si="29"/>
        <v>0</v>
      </c>
      <c r="F122" s="1810" cm="1">
        <f t="array" ref="F122">+INDEX('Panorama B.'!$F$11:$M$46,H122,Base_Monet!I122+2)</f>
        <v>0</v>
      </c>
      <c r="G122" s="1424" t="s">
        <v>2254</v>
      </c>
      <c r="H122" s="12">
        <f>+H116+1</f>
        <v>21</v>
      </c>
      <c r="I122" s="12">
        <f>+I116</f>
        <v>1</v>
      </c>
      <c r="J122" s="1181" t="str">
        <f t="shared" ca="1" si="31"/>
        <v>Panorama B.</v>
      </c>
      <c r="K122" s="1409" t="s">
        <v>2266</v>
      </c>
      <c r="L122" s="1399">
        <f>+L116+1</f>
        <v>21</v>
      </c>
      <c r="M122" s="1434"/>
    </row>
    <row r="123" spans="1:13">
      <c r="A123" s="1408" t="s">
        <v>2944</v>
      </c>
      <c r="B123" s="1408" t="str">
        <f t="shared" si="28"/>
        <v>202502</v>
      </c>
      <c r="C123" s="1181" t="s">
        <v>2946</v>
      </c>
      <c r="D123" s="1401" t="str" cm="1">
        <f t="array" ref="D123">+INDEX('Panorama B.'!$F$11:$F$46,Base_Monet!H123)</f>
        <v>19..02.01.01.</v>
      </c>
      <c r="E123" s="1181">
        <f t="shared" si="29"/>
        <v>0</v>
      </c>
      <c r="F123" s="1810" cm="1">
        <f t="array" ref="F123">+INDEX('Panorama B.'!$F$11:$M$46,H123,Base_Monet!I123+2)</f>
        <v>0</v>
      </c>
      <c r="G123" s="1424" t="s">
        <v>2255</v>
      </c>
      <c r="H123" s="12">
        <f>+H122</f>
        <v>21</v>
      </c>
      <c r="I123" s="12">
        <f t="shared" ref="I123:I127" si="46">+I117</f>
        <v>2</v>
      </c>
      <c r="J123" s="1181" t="str">
        <f t="shared" ca="1" si="31"/>
        <v>Panorama B.</v>
      </c>
      <c r="K123" s="1409" t="s">
        <v>2266</v>
      </c>
      <c r="M123" s="1434"/>
    </row>
    <row r="124" spans="1:13">
      <c r="A124" s="1408" t="s">
        <v>2944</v>
      </c>
      <c r="B124" s="1408" t="str">
        <f t="shared" si="28"/>
        <v>202502</v>
      </c>
      <c r="C124" s="1181" t="s">
        <v>2946</v>
      </c>
      <c r="D124" s="1401" t="str" cm="1">
        <f t="array" ref="D124">+INDEX('Panorama B.'!$F$11:$F$46,Base_Monet!H124)</f>
        <v>19..02.01.01.</v>
      </c>
      <c r="E124" s="1181">
        <f t="shared" si="29"/>
        <v>0</v>
      </c>
      <c r="F124" s="1810" cm="1">
        <f t="array" ref="F124">+INDEX('Panorama B.'!$F$11:$M$46,H124,Base_Monet!I124+2)</f>
        <v>0</v>
      </c>
      <c r="G124" s="1424" t="s">
        <v>2256</v>
      </c>
      <c r="H124" s="12">
        <f t="shared" ref="H124:H127" si="47">+H123</f>
        <v>21</v>
      </c>
      <c r="I124" s="12">
        <f t="shared" si="46"/>
        <v>3</v>
      </c>
      <c r="J124" s="1181" t="str">
        <f t="shared" ca="1" si="31"/>
        <v>Panorama B.</v>
      </c>
      <c r="K124" s="1409" t="s">
        <v>2266</v>
      </c>
      <c r="M124" s="1434"/>
    </row>
    <row r="125" spans="1:13">
      <c r="A125" s="1408" t="s">
        <v>2944</v>
      </c>
      <c r="B125" s="1408" t="str">
        <f t="shared" si="28"/>
        <v>202503</v>
      </c>
      <c r="C125" s="1181" t="s">
        <v>2945</v>
      </c>
      <c r="D125" s="1401" t="str" cm="1">
        <f t="array" ref="D125">+INDEX('Panorama B.'!$F$11:$F$46,Base_Monet!H125)</f>
        <v>19..02.01.01.</v>
      </c>
      <c r="E125" s="1181">
        <f t="shared" si="29"/>
        <v>0</v>
      </c>
      <c r="F125" s="1810" cm="1">
        <f t="array" ref="F125">+INDEX('Panorama B.'!$F$11:$M$46,H125,Base_Monet!I125+2)</f>
        <v>0</v>
      </c>
      <c r="G125" s="1424" t="s">
        <v>2257</v>
      </c>
      <c r="H125" s="12">
        <f t="shared" si="47"/>
        <v>21</v>
      </c>
      <c r="I125" s="12">
        <f t="shared" si="46"/>
        <v>4</v>
      </c>
      <c r="J125" s="1181" t="str">
        <f t="shared" ca="1" si="31"/>
        <v>Panorama B.</v>
      </c>
      <c r="K125" s="1409" t="s">
        <v>2266</v>
      </c>
      <c r="M125" s="1434"/>
    </row>
    <row r="126" spans="1:13">
      <c r="A126" s="1408" t="s">
        <v>2944</v>
      </c>
      <c r="B126" s="1408" t="str">
        <f t="shared" si="28"/>
        <v>202503</v>
      </c>
      <c r="C126" s="1181" t="s">
        <v>2945</v>
      </c>
      <c r="D126" s="1401" t="str" cm="1">
        <f t="array" ref="D126">+INDEX('Panorama B.'!$F$11:$F$46,Base_Monet!H126)</f>
        <v>19..02.01.01.</v>
      </c>
      <c r="E126" s="1181">
        <f t="shared" si="29"/>
        <v>0</v>
      </c>
      <c r="F126" s="1810" cm="1">
        <f t="array" ref="F126">+INDEX('Panorama B.'!$F$11:$M$46,H126,Base_Monet!I126+2)</f>
        <v>0</v>
      </c>
      <c r="G126" s="1424" t="s">
        <v>2258</v>
      </c>
      <c r="H126" s="12">
        <f t="shared" si="47"/>
        <v>21</v>
      </c>
      <c r="I126" s="12">
        <f t="shared" si="46"/>
        <v>5</v>
      </c>
      <c r="J126" s="1181" t="str">
        <f t="shared" ca="1" si="31"/>
        <v>Panorama B.</v>
      </c>
      <c r="K126" s="1409" t="s">
        <v>2266</v>
      </c>
      <c r="M126" s="1434"/>
    </row>
    <row r="127" spans="1:13">
      <c r="A127" s="1408" t="s">
        <v>2944</v>
      </c>
      <c r="B127" s="1408" t="str">
        <f t="shared" si="28"/>
        <v>202503</v>
      </c>
      <c r="C127" s="1181" t="s">
        <v>2945</v>
      </c>
      <c r="D127" s="1401" t="str" cm="1">
        <f t="array" ref="D127">+INDEX('Panorama B.'!$F$11:$F$46,Base_Monet!H127)</f>
        <v>19..02.01.01.</v>
      </c>
      <c r="E127" s="1181">
        <f t="shared" si="29"/>
        <v>0</v>
      </c>
      <c r="F127" s="1810" cm="1">
        <f t="array" ref="F127">+INDEX('Panorama B.'!$F$11:$M$46,H127,Base_Monet!I127+2)</f>
        <v>0</v>
      </c>
      <c r="G127" s="1424" t="s">
        <v>2259</v>
      </c>
      <c r="H127" s="12">
        <f t="shared" si="47"/>
        <v>21</v>
      </c>
      <c r="I127" s="12">
        <f t="shared" si="46"/>
        <v>6</v>
      </c>
      <c r="J127" s="1181" t="str">
        <f t="shared" ca="1" si="31"/>
        <v>Panorama B.</v>
      </c>
      <c r="K127" s="1409" t="s">
        <v>2266</v>
      </c>
      <c r="M127" s="1434"/>
    </row>
    <row r="128" spans="1:13">
      <c r="A128" s="1406" t="s">
        <v>2944</v>
      </c>
      <c r="B128" s="1406" t="str">
        <f t="shared" si="28"/>
        <v>202502</v>
      </c>
      <c r="C128" s="1406" t="s">
        <v>2946</v>
      </c>
      <c r="D128" s="1403" t="str" cm="1">
        <f t="array" ref="D128">+INDEX('Panorama B.'!$F$11:$F$46,Base_Monet!H128)</f>
        <v>19..02.01.01.01.</v>
      </c>
      <c r="E128" s="1406">
        <f t="shared" si="29"/>
        <v>0</v>
      </c>
      <c r="F128" s="1811" cm="1">
        <f t="array" ref="F128">+INDEX('Panorama B.'!$F$11:$M$46,H128,Base_Monet!I128+2)</f>
        <v>0</v>
      </c>
      <c r="G128" s="1425" t="s">
        <v>2254</v>
      </c>
      <c r="H128" s="1402">
        <f>+H122+1</f>
        <v>22</v>
      </c>
      <c r="I128" s="1402">
        <f>+I122</f>
        <v>1</v>
      </c>
      <c r="J128" s="1406" t="str">
        <f t="shared" ca="1" si="31"/>
        <v>Panorama B.</v>
      </c>
      <c r="K128" s="1410" t="s">
        <v>2266</v>
      </c>
      <c r="L128" s="1405">
        <f>+L122+1</f>
        <v>22</v>
      </c>
      <c r="M128" s="1434"/>
    </row>
    <row r="129" spans="1:13">
      <c r="A129" s="1406" t="s">
        <v>2944</v>
      </c>
      <c r="B129" s="1406" t="str">
        <f t="shared" si="28"/>
        <v>202502</v>
      </c>
      <c r="C129" s="1406" t="s">
        <v>2946</v>
      </c>
      <c r="D129" s="1403" t="str" cm="1">
        <f t="array" ref="D129">+INDEX('Panorama B.'!$F$11:$F$46,Base_Monet!H129)</f>
        <v>19..02.01.01.01.</v>
      </c>
      <c r="E129" s="1406">
        <f t="shared" si="29"/>
        <v>0</v>
      </c>
      <c r="F129" s="1811" cm="1">
        <f t="array" ref="F129">+INDEX('Panorama B.'!$F$11:$M$46,H129,Base_Monet!I129+2)</f>
        <v>0</v>
      </c>
      <c r="G129" s="1425" t="s">
        <v>2255</v>
      </c>
      <c r="H129" s="1402">
        <f>+H128</f>
        <v>22</v>
      </c>
      <c r="I129" s="1402">
        <f t="shared" ref="I129:I133" si="48">+I123</f>
        <v>2</v>
      </c>
      <c r="J129" s="1406" t="str">
        <f t="shared" ca="1" si="31"/>
        <v>Panorama B.</v>
      </c>
      <c r="K129" s="1410" t="s">
        <v>2266</v>
      </c>
      <c r="L129" s="1405"/>
      <c r="M129" s="1434"/>
    </row>
    <row r="130" spans="1:13">
      <c r="A130" s="1406" t="s">
        <v>2944</v>
      </c>
      <c r="B130" s="1406" t="str">
        <f t="shared" ref="B130:B193" si="49">+IF(C130="v2",IF(TRIM&gt;1,ANUAL&amp;"0"&amp;(TRIM-1),(ANUAL-1)&amp;"04"),ANUAL&amp;"0"&amp;TRIM)</f>
        <v>202502</v>
      </c>
      <c r="C130" s="1406" t="s">
        <v>2946</v>
      </c>
      <c r="D130" s="1403" t="str" cm="1">
        <f t="array" ref="D130">+INDEX('Panorama B.'!$F$11:$F$46,Base_Monet!H130)</f>
        <v>19..02.01.01.01.</v>
      </c>
      <c r="E130" s="1406">
        <f t="shared" ref="E130:E193" si="50">RUC</f>
        <v>0</v>
      </c>
      <c r="F130" s="1811" cm="1">
        <f t="array" ref="F130">+INDEX('Panorama B.'!$F$11:$M$46,H130,Base_Monet!I130+2)</f>
        <v>0</v>
      </c>
      <c r="G130" s="1425" t="s">
        <v>2256</v>
      </c>
      <c r="H130" s="1402">
        <f t="shared" ref="H130:H133" si="51">+H129</f>
        <v>22</v>
      </c>
      <c r="I130" s="1402">
        <f t="shared" si="48"/>
        <v>3</v>
      </c>
      <c r="J130" s="1406" t="str">
        <f t="shared" ca="1" si="31"/>
        <v>Panorama B.</v>
      </c>
      <c r="K130" s="1410" t="s">
        <v>2266</v>
      </c>
      <c r="L130" s="1405"/>
      <c r="M130" s="1434"/>
    </row>
    <row r="131" spans="1:13">
      <c r="A131" s="1406" t="s">
        <v>2944</v>
      </c>
      <c r="B131" s="1406" t="str">
        <f t="shared" si="49"/>
        <v>202503</v>
      </c>
      <c r="C131" s="1406" t="s">
        <v>2945</v>
      </c>
      <c r="D131" s="1403" t="str" cm="1">
        <f t="array" ref="D131">+INDEX('Panorama B.'!$F$11:$F$46,Base_Monet!H131)</f>
        <v>19..02.01.01.01.</v>
      </c>
      <c r="E131" s="1406">
        <f t="shared" si="50"/>
        <v>0</v>
      </c>
      <c r="F131" s="1811" cm="1">
        <f t="array" ref="F131">+INDEX('Panorama B.'!$F$11:$M$46,H131,Base_Monet!I131+2)</f>
        <v>0</v>
      </c>
      <c r="G131" s="1425" t="s">
        <v>2257</v>
      </c>
      <c r="H131" s="1402">
        <f t="shared" si="51"/>
        <v>22</v>
      </c>
      <c r="I131" s="1402">
        <f t="shared" si="48"/>
        <v>4</v>
      </c>
      <c r="J131" s="1406" t="str">
        <f t="shared" ca="1" si="31"/>
        <v>Panorama B.</v>
      </c>
      <c r="K131" s="1410" t="s">
        <v>2266</v>
      </c>
      <c r="L131" s="1405"/>
      <c r="M131" s="1434"/>
    </row>
    <row r="132" spans="1:13">
      <c r="A132" s="1406" t="s">
        <v>2944</v>
      </c>
      <c r="B132" s="1406" t="str">
        <f t="shared" si="49"/>
        <v>202503</v>
      </c>
      <c r="C132" s="1406" t="s">
        <v>2945</v>
      </c>
      <c r="D132" s="1403" t="str" cm="1">
        <f t="array" ref="D132">+INDEX('Panorama B.'!$F$11:$F$46,Base_Monet!H132)</f>
        <v>19..02.01.01.01.</v>
      </c>
      <c r="E132" s="1406">
        <f t="shared" si="50"/>
        <v>0</v>
      </c>
      <c r="F132" s="1811" cm="1">
        <f t="array" ref="F132">+INDEX('Panorama B.'!$F$11:$M$46,H132,Base_Monet!I132+2)</f>
        <v>0</v>
      </c>
      <c r="G132" s="1425" t="s">
        <v>2258</v>
      </c>
      <c r="H132" s="1402">
        <f t="shared" si="51"/>
        <v>22</v>
      </c>
      <c r="I132" s="1402">
        <f t="shared" si="48"/>
        <v>5</v>
      </c>
      <c r="J132" s="1406" t="str">
        <f t="shared" ca="1" si="31"/>
        <v>Panorama B.</v>
      </c>
      <c r="K132" s="1410" t="s">
        <v>2266</v>
      </c>
      <c r="L132" s="1405"/>
      <c r="M132" s="1434"/>
    </row>
    <row r="133" spans="1:13">
      <c r="A133" s="1406" t="s">
        <v>2944</v>
      </c>
      <c r="B133" s="1406" t="str">
        <f t="shared" si="49"/>
        <v>202503</v>
      </c>
      <c r="C133" s="1406" t="s">
        <v>2945</v>
      </c>
      <c r="D133" s="1403" t="str" cm="1">
        <f t="array" ref="D133">+INDEX('Panorama B.'!$F$11:$F$46,Base_Monet!H133)</f>
        <v>19..02.01.01.01.</v>
      </c>
      <c r="E133" s="1406">
        <f t="shared" si="50"/>
        <v>0</v>
      </c>
      <c r="F133" s="1811" cm="1">
        <f t="array" ref="F133">+INDEX('Panorama B.'!$F$11:$M$46,H133,Base_Monet!I133+2)</f>
        <v>0</v>
      </c>
      <c r="G133" s="1425" t="s">
        <v>2259</v>
      </c>
      <c r="H133" s="1402">
        <f t="shared" si="51"/>
        <v>22</v>
      </c>
      <c r="I133" s="1402">
        <f t="shared" si="48"/>
        <v>6</v>
      </c>
      <c r="J133" s="1406" t="str">
        <f t="shared" ref="J133" ca="1" si="52">+J132</f>
        <v>Panorama B.</v>
      </c>
      <c r="K133" s="1410" t="s">
        <v>2266</v>
      </c>
      <c r="L133" s="1405"/>
      <c r="M133" s="1434"/>
    </row>
    <row r="134" spans="1:13">
      <c r="A134" s="1408" t="s">
        <v>2944</v>
      </c>
      <c r="B134" s="1408" t="str">
        <f t="shared" si="49"/>
        <v>202502</v>
      </c>
      <c r="C134" s="1181" t="s">
        <v>2946</v>
      </c>
      <c r="D134" s="1401" t="str" cm="1">
        <f t="array" ref="D134">+INDEX('Panorama B.'!$F$11:$F$46,Base_Monet!H134)</f>
        <v>19..02.01.01.02.</v>
      </c>
      <c r="E134" s="1181">
        <f t="shared" si="50"/>
        <v>0</v>
      </c>
      <c r="F134" s="1810" cm="1">
        <f t="array" ref="F134">+INDEX('Panorama B.'!$F$11:$M$46,H134,Base_Monet!I134+2)</f>
        <v>0</v>
      </c>
      <c r="G134" s="1424" t="s">
        <v>2254</v>
      </c>
      <c r="H134" s="12">
        <f>+H128+1</f>
        <v>23</v>
      </c>
      <c r="I134" s="12">
        <f>+I128</f>
        <v>1</v>
      </c>
      <c r="J134" s="1181" t="str">
        <f t="shared" ca="1" si="31"/>
        <v>Panorama B.</v>
      </c>
      <c r="K134" s="1409" t="s">
        <v>2266</v>
      </c>
      <c r="L134" s="1399">
        <f>+L128+1</f>
        <v>23</v>
      </c>
      <c r="M134" s="1434"/>
    </row>
    <row r="135" spans="1:13">
      <c r="A135" s="1408" t="s">
        <v>2944</v>
      </c>
      <c r="B135" s="1408" t="str">
        <f t="shared" si="49"/>
        <v>202502</v>
      </c>
      <c r="C135" s="1181" t="s">
        <v>2946</v>
      </c>
      <c r="D135" s="1401" t="str" cm="1">
        <f t="array" ref="D135">+INDEX('Panorama B.'!$F$11:$F$46,Base_Monet!H135)</f>
        <v>19..02.01.01.02.</v>
      </c>
      <c r="E135" s="1181">
        <f t="shared" si="50"/>
        <v>0</v>
      </c>
      <c r="F135" s="1810" cm="1">
        <f t="array" ref="F135">+INDEX('Panorama B.'!$F$11:$M$46,H135,Base_Monet!I135+2)</f>
        <v>0</v>
      </c>
      <c r="G135" s="1424" t="s">
        <v>2255</v>
      </c>
      <c r="H135" s="12">
        <f>+H134</f>
        <v>23</v>
      </c>
      <c r="I135" s="12">
        <f t="shared" ref="I135:I139" si="53">+I129</f>
        <v>2</v>
      </c>
      <c r="J135" s="1181" t="str">
        <f t="shared" ref="J135:J198" ca="1" si="54">+J134</f>
        <v>Panorama B.</v>
      </c>
      <c r="K135" s="1409" t="s">
        <v>2266</v>
      </c>
      <c r="M135" s="1434"/>
    </row>
    <row r="136" spans="1:13">
      <c r="A136" s="1408" t="s">
        <v>2944</v>
      </c>
      <c r="B136" s="1408" t="str">
        <f t="shared" si="49"/>
        <v>202502</v>
      </c>
      <c r="C136" s="1181" t="s">
        <v>2946</v>
      </c>
      <c r="D136" s="1401" t="str" cm="1">
        <f t="array" ref="D136">+INDEX('Panorama B.'!$F$11:$F$46,Base_Monet!H136)</f>
        <v>19..02.01.01.02.</v>
      </c>
      <c r="E136" s="1181">
        <f t="shared" si="50"/>
        <v>0</v>
      </c>
      <c r="F136" s="1810" cm="1">
        <f t="array" ref="F136">+INDEX('Panorama B.'!$F$11:$M$46,H136,Base_Monet!I136+2)</f>
        <v>0</v>
      </c>
      <c r="G136" s="1424" t="s">
        <v>2256</v>
      </c>
      <c r="H136" s="12">
        <f t="shared" ref="H136:H139" si="55">+H135</f>
        <v>23</v>
      </c>
      <c r="I136" s="12">
        <f t="shared" si="53"/>
        <v>3</v>
      </c>
      <c r="J136" s="1181" t="str">
        <f t="shared" ca="1" si="54"/>
        <v>Panorama B.</v>
      </c>
      <c r="K136" s="1409" t="s">
        <v>2266</v>
      </c>
      <c r="M136" s="1434"/>
    </row>
    <row r="137" spans="1:13">
      <c r="A137" s="1408" t="s">
        <v>2944</v>
      </c>
      <c r="B137" s="1408" t="str">
        <f t="shared" si="49"/>
        <v>202503</v>
      </c>
      <c r="C137" s="1181" t="s">
        <v>2945</v>
      </c>
      <c r="D137" s="1401" t="str" cm="1">
        <f t="array" ref="D137">+INDEX('Panorama B.'!$F$11:$F$46,Base_Monet!H137)</f>
        <v>19..02.01.01.02.</v>
      </c>
      <c r="E137" s="1181">
        <f t="shared" si="50"/>
        <v>0</v>
      </c>
      <c r="F137" s="1810" cm="1">
        <f t="array" ref="F137">+INDEX('Panorama B.'!$F$11:$M$46,H137,Base_Monet!I137+2)</f>
        <v>0</v>
      </c>
      <c r="G137" s="1424" t="s">
        <v>2257</v>
      </c>
      <c r="H137" s="12">
        <f t="shared" si="55"/>
        <v>23</v>
      </c>
      <c r="I137" s="12">
        <f t="shared" si="53"/>
        <v>4</v>
      </c>
      <c r="J137" s="1181" t="str">
        <f t="shared" ca="1" si="54"/>
        <v>Panorama B.</v>
      </c>
      <c r="K137" s="1409" t="s">
        <v>2266</v>
      </c>
      <c r="M137" s="1434"/>
    </row>
    <row r="138" spans="1:13">
      <c r="A138" s="1408" t="s">
        <v>2944</v>
      </c>
      <c r="B138" s="1408" t="str">
        <f t="shared" si="49"/>
        <v>202503</v>
      </c>
      <c r="C138" s="1181" t="s">
        <v>2945</v>
      </c>
      <c r="D138" s="1401" t="str" cm="1">
        <f t="array" ref="D138">+INDEX('Panorama B.'!$F$11:$F$46,Base_Monet!H138)</f>
        <v>19..02.01.01.02.</v>
      </c>
      <c r="E138" s="1181">
        <f t="shared" si="50"/>
        <v>0</v>
      </c>
      <c r="F138" s="1810" cm="1">
        <f t="array" ref="F138">+INDEX('Panorama B.'!$F$11:$M$46,H138,Base_Monet!I138+2)</f>
        <v>0</v>
      </c>
      <c r="G138" s="1424" t="s">
        <v>2258</v>
      </c>
      <c r="H138" s="12">
        <f t="shared" si="55"/>
        <v>23</v>
      </c>
      <c r="I138" s="12">
        <f t="shared" si="53"/>
        <v>5</v>
      </c>
      <c r="J138" s="1181" t="str">
        <f t="shared" ca="1" si="54"/>
        <v>Panorama B.</v>
      </c>
      <c r="K138" s="1409" t="s">
        <v>2266</v>
      </c>
      <c r="M138" s="1434"/>
    </row>
    <row r="139" spans="1:13">
      <c r="A139" s="1408" t="s">
        <v>2944</v>
      </c>
      <c r="B139" s="1408" t="str">
        <f t="shared" si="49"/>
        <v>202503</v>
      </c>
      <c r="C139" s="1181" t="s">
        <v>2945</v>
      </c>
      <c r="D139" s="1401" t="str" cm="1">
        <f t="array" ref="D139">+INDEX('Panorama B.'!$F$11:$F$46,Base_Monet!H139)</f>
        <v>19..02.01.01.02.</v>
      </c>
      <c r="E139" s="1181">
        <f t="shared" si="50"/>
        <v>0</v>
      </c>
      <c r="F139" s="1810" cm="1">
        <f t="array" ref="F139">+INDEX('Panorama B.'!$F$11:$M$46,H139,Base_Monet!I139+2)</f>
        <v>0</v>
      </c>
      <c r="G139" s="1424" t="s">
        <v>2259</v>
      </c>
      <c r="H139" s="12">
        <f t="shared" si="55"/>
        <v>23</v>
      </c>
      <c r="I139" s="12">
        <f t="shared" si="53"/>
        <v>6</v>
      </c>
      <c r="J139" s="1181" t="str">
        <f t="shared" ca="1" si="54"/>
        <v>Panorama B.</v>
      </c>
      <c r="K139" s="1409" t="s">
        <v>2266</v>
      </c>
      <c r="M139" s="1434"/>
    </row>
    <row r="140" spans="1:13">
      <c r="A140" s="1406" t="s">
        <v>2944</v>
      </c>
      <c r="B140" s="1406" t="str">
        <f t="shared" si="49"/>
        <v>202502</v>
      </c>
      <c r="C140" s="1406" t="s">
        <v>2946</v>
      </c>
      <c r="D140" s="1403" t="str" cm="1">
        <f t="array" ref="D140">+INDEX('Panorama B.'!$F$11:$F$46,Base_Monet!H140)</f>
        <v>19..02.01.02.</v>
      </c>
      <c r="E140" s="1406">
        <f t="shared" si="50"/>
        <v>0</v>
      </c>
      <c r="F140" s="1811" cm="1">
        <f t="array" ref="F140">+INDEX('Panorama B.'!$F$11:$M$46,H140,Base_Monet!I140+2)</f>
        <v>0</v>
      </c>
      <c r="G140" s="1425" t="s">
        <v>2254</v>
      </c>
      <c r="H140" s="1402">
        <f>+H134+1</f>
        <v>24</v>
      </c>
      <c r="I140" s="1402">
        <f>+I134</f>
        <v>1</v>
      </c>
      <c r="J140" s="1406" t="str">
        <f t="shared" ca="1" si="54"/>
        <v>Panorama B.</v>
      </c>
      <c r="K140" s="1410" t="s">
        <v>2266</v>
      </c>
      <c r="L140" s="1405">
        <f>+L134+1</f>
        <v>24</v>
      </c>
      <c r="M140" s="1434"/>
    </row>
    <row r="141" spans="1:13">
      <c r="A141" s="1406" t="s">
        <v>2944</v>
      </c>
      <c r="B141" s="1406" t="str">
        <f t="shared" si="49"/>
        <v>202502</v>
      </c>
      <c r="C141" s="1406" t="s">
        <v>2946</v>
      </c>
      <c r="D141" s="1403" t="str" cm="1">
        <f t="array" ref="D141">+INDEX('Panorama B.'!$F$11:$F$46,Base_Monet!H141)</f>
        <v>19..02.01.02.</v>
      </c>
      <c r="E141" s="1406">
        <f t="shared" si="50"/>
        <v>0</v>
      </c>
      <c r="F141" s="1811" cm="1">
        <f t="array" ref="F141">+INDEX('Panorama B.'!$F$11:$M$46,H141,Base_Monet!I141+2)</f>
        <v>0</v>
      </c>
      <c r="G141" s="1425" t="s">
        <v>2255</v>
      </c>
      <c r="H141" s="1402">
        <f>+H140</f>
        <v>24</v>
      </c>
      <c r="I141" s="1402">
        <f t="shared" ref="I141:I145" si="56">+I135</f>
        <v>2</v>
      </c>
      <c r="J141" s="1406" t="str">
        <f t="shared" ca="1" si="54"/>
        <v>Panorama B.</v>
      </c>
      <c r="K141" s="1410" t="s">
        <v>2266</v>
      </c>
      <c r="L141" s="1405"/>
      <c r="M141" s="1434"/>
    </row>
    <row r="142" spans="1:13">
      <c r="A142" s="1406" t="s">
        <v>2944</v>
      </c>
      <c r="B142" s="1406" t="str">
        <f t="shared" si="49"/>
        <v>202502</v>
      </c>
      <c r="C142" s="1406" t="s">
        <v>2946</v>
      </c>
      <c r="D142" s="1403" t="str" cm="1">
        <f t="array" ref="D142">+INDEX('Panorama B.'!$F$11:$F$46,Base_Monet!H142)</f>
        <v>19..02.01.02.</v>
      </c>
      <c r="E142" s="1406">
        <f t="shared" si="50"/>
        <v>0</v>
      </c>
      <c r="F142" s="1811" cm="1">
        <f t="array" ref="F142">+INDEX('Panorama B.'!$F$11:$M$46,H142,Base_Monet!I142+2)</f>
        <v>0</v>
      </c>
      <c r="G142" s="1425" t="s">
        <v>2256</v>
      </c>
      <c r="H142" s="1402">
        <f t="shared" ref="H142:H145" si="57">+H141</f>
        <v>24</v>
      </c>
      <c r="I142" s="1402">
        <f t="shared" si="56"/>
        <v>3</v>
      </c>
      <c r="J142" s="1406" t="str">
        <f t="shared" ca="1" si="54"/>
        <v>Panorama B.</v>
      </c>
      <c r="K142" s="1410" t="s">
        <v>2266</v>
      </c>
      <c r="L142" s="1405"/>
      <c r="M142" s="1434"/>
    </row>
    <row r="143" spans="1:13">
      <c r="A143" s="1406" t="s">
        <v>2944</v>
      </c>
      <c r="B143" s="1406" t="str">
        <f t="shared" si="49"/>
        <v>202503</v>
      </c>
      <c r="C143" s="1406" t="s">
        <v>2945</v>
      </c>
      <c r="D143" s="1403" t="str" cm="1">
        <f t="array" ref="D143">+INDEX('Panorama B.'!$F$11:$F$46,Base_Monet!H143)</f>
        <v>19..02.01.02.</v>
      </c>
      <c r="E143" s="1406">
        <f t="shared" si="50"/>
        <v>0</v>
      </c>
      <c r="F143" s="1811" cm="1">
        <f t="array" ref="F143">+INDEX('Panorama B.'!$F$11:$M$46,H143,Base_Monet!I143+2)</f>
        <v>0</v>
      </c>
      <c r="G143" s="1425" t="s">
        <v>2257</v>
      </c>
      <c r="H143" s="1402">
        <f t="shared" si="57"/>
        <v>24</v>
      </c>
      <c r="I143" s="1402">
        <f t="shared" si="56"/>
        <v>4</v>
      </c>
      <c r="J143" s="1406" t="str">
        <f t="shared" ca="1" si="54"/>
        <v>Panorama B.</v>
      </c>
      <c r="K143" s="1410" t="s">
        <v>2266</v>
      </c>
      <c r="L143" s="1405"/>
      <c r="M143" s="1434"/>
    </row>
    <row r="144" spans="1:13">
      <c r="A144" s="1406" t="s">
        <v>2944</v>
      </c>
      <c r="B144" s="1406" t="str">
        <f t="shared" si="49"/>
        <v>202503</v>
      </c>
      <c r="C144" s="1406" t="s">
        <v>2945</v>
      </c>
      <c r="D144" s="1403" t="str" cm="1">
        <f t="array" ref="D144">+INDEX('Panorama B.'!$F$11:$F$46,Base_Monet!H144)</f>
        <v>19..02.01.02.</v>
      </c>
      <c r="E144" s="1406">
        <f t="shared" si="50"/>
        <v>0</v>
      </c>
      <c r="F144" s="1811" cm="1">
        <f t="array" ref="F144">+INDEX('Panorama B.'!$F$11:$M$46,H144,Base_Monet!I144+2)</f>
        <v>0</v>
      </c>
      <c r="G144" s="1425" t="s">
        <v>2258</v>
      </c>
      <c r="H144" s="1402">
        <f t="shared" si="57"/>
        <v>24</v>
      </c>
      <c r="I144" s="1402">
        <f t="shared" si="56"/>
        <v>5</v>
      </c>
      <c r="J144" s="1406" t="str">
        <f t="shared" ca="1" si="54"/>
        <v>Panorama B.</v>
      </c>
      <c r="K144" s="1410" t="s">
        <v>2266</v>
      </c>
      <c r="L144" s="1405"/>
      <c r="M144" s="1434"/>
    </row>
    <row r="145" spans="1:13">
      <c r="A145" s="1406" t="s">
        <v>2944</v>
      </c>
      <c r="B145" s="1406" t="str">
        <f t="shared" si="49"/>
        <v>202503</v>
      </c>
      <c r="C145" s="1406" t="s">
        <v>2945</v>
      </c>
      <c r="D145" s="1403" t="str" cm="1">
        <f t="array" ref="D145">+INDEX('Panorama B.'!$F$11:$F$46,Base_Monet!H145)</f>
        <v>19..02.01.02.</v>
      </c>
      <c r="E145" s="1406">
        <f t="shared" si="50"/>
        <v>0</v>
      </c>
      <c r="F145" s="1811" cm="1">
        <f t="array" ref="F145">+INDEX('Panorama B.'!$F$11:$M$46,H145,Base_Monet!I145+2)</f>
        <v>0</v>
      </c>
      <c r="G145" s="1425" t="s">
        <v>2259</v>
      </c>
      <c r="H145" s="1402">
        <f t="shared" si="57"/>
        <v>24</v>
      </c>
      <c r="I145" s="1402">
        <f t="shared" si="56"/>
        <v>6</v>
      </c>
      <c r="J145" s="1406" t="str">
        <f t="shared" ca="1" si="54"/>
        <v>Panorama B.</v>
      </c>
      <c r="K145" s="1410" t="s">
        <v>2266</v>
      </c>
      <c r="L145" s="1405"/>
      <c r="M145" s="1434"/>
    </row>
    <row r="146" spans="1:13">
      <c r="A146" s="1408" t="s">
        <v>2944</v>
      </c>
      <c r="B146" s="1408" t="str">
        <f t="shared" si="49"/>
        <v>202502</v>
      </c>
      <c r="C146" s="1181" t="s">
        <v>2946</v>
      </c>
      <c r="D146" s="1401" t="str" cm="1">
        <f t="array" ref="D146">+INDEX('Panorama B.'!$F$11:$F$46,Base_Monet!H146)</f>
        <v>19..02.01.02.01.</v>
      </c>
      <c r="E146" s="1181">
        <f t="shared" si="50"/>
        <v>0</v>
      </c>
      <c r="F146" s="1810" cm="1">
        <f t="array" ref="F146">+INDEX('Panorama B.'!$F$11:$M$46,H146,Base_Monet!I146+2)</f>
        <v>0</v>
      </c>
      <c r="G146" s="1424" t="s">
        <v>2254</v>
      </c>
      <c r="H146" s="12">
        <f>+H140+1</f>
        <v>25</v>
      </c>
      <c r="I146" s="12">
        <f>+I140</f>
        <v>1</v>
      </c>
      <c r="J146" s="1181" t="str">
        <f t="shared" ca="1" si="54"/>
        <v>Panorama B.</v>
      </c>
      <c r="K146" s="1409" t="s">
        <v>2266</v>
      </c>
      <c r="L146" s="1399">
        <f>+L140+1</f>
        <v>25</v>
      </c>
      <c r="M146" s="1434"/>
    </row>
    <row r="147" spans="1:13">
      <c r="A147" s="1408" t="s">
        <v>2944</v>
      </c>
      <c r="B147" s="1408" t="str">
        <f t="shared" si="49"/>
        <v>202502</v>
      </c>
      <c r="C147" s="1181" t="s">
        <v>2946</v>
      </c>
      <c r="D147" s="1401" t="str" cm="1">
        <f t="array" ref="D147">+INDEX('Panorama B.'!$F$11:$F$46,Base_Monet!H147)</f>
        <v>19..02.01.02.01.</v>
      </c>
      <c r="E147" s="1181">
        <f t="shared" si="50"/>
        <v>0</v>
      </c>
      <c r="F147" s="1810" cm="1">
        <f t="array" ref="F147">+INDEX('Panorama B.'!$F$11:$M$46,H147,Base_Monet!I147+2)</f>
        <v>0</v>
      </c>
      <c r="G147" s="1424" t="s">
        <v>2255</v>
      </c>
      <c r="H147" s="12">
        <f>+H146</f>
        <v>25</v>
      </c>
      <c r="I147" s="12">
        <f t="shared" ref="I147:I151" si="58">+I141</f>
        <v>2</v>
      </c>
      <c r="J147" s="1181" t="str">
        <f t="shared" ca="1" si="54"/>
        <v>Panorama B.</v>
      </c>
      <c r="K147" s="1409" t="s">
        <v>2266</v>
      </c>
      <c r="M147" s="1434"/>
    </row>
    <row r="148" spans="1:13">
      <c r="A148" s="1408" t="s">
        <v>2944</v>
      </c>
      <c r="B148" s="1408" t="str">
        <f t="shared" si="49"/>
        <v>202502</v>
      </c>
      <c r="C148" s="1181" t="s">
        <v>2946</v>
      </c>
      <c r="D148" s="1401" t="str" cm="1">
        <f t="array" ref="D148">+INDEX('Panorama B.'!$F$11:$F$46,Base_Monet!H148)</f>
        <v>19..02.01.02.01.</v>
      </c>
      <c r="E148" s="1181">
        <f t="shared" si="50"/>
        <v>0</v>
      </c>
      <c r="F148" s="1810" cm="1">
        <f t="array" ref="F148">+INDEX('Panorama B.'!$F$11:$M$46,H148,Base_Monet!I148+2)</f>
        <v>0</v>
      </c>
      <c r="G148" s="1424" t="s">
        <v>2256</v>
      </c>
      <c r="H148" s="12">
        <f t="shared" ref="H148:H151" si="59">+H147</f>
        <v>25</v>
      </c>
      <c r="I148" s="12">
        <f t="shared" si="58"/>
        <v>3</v>
      </c>
      <c r="J148" s="1181" t="str">
        <f t="shared" ca="1" si="54"/>
        <v>Panorama B.</v>
      </c>
      <c r="K148" s="1409" t="s">
        <v>2266</v>
      </c>
      <c r="M148" s="1434"/>
    </row>
    <row r="149" spans="1:13">
      <c r="A149" s="1408" t="s">
        <v>2944</v>
      </c>
      <c r="B149" s="1408" t="str">
        <f t="shared" si="49"/>
        <v>202503</v>
      </c>
      <c r="C149" s="1181" t="s">
        <v>2945</v>
      </c>
      <c r="D149" s="1401" t="str" cm="1">
        <f t="array" ref="D149">+INDEX('Panorama B.'!$F$11:$F$46,Base_Monet!H149)</f>
        <v>19..02.01.02.01.</v>
      </c>
      <c r="E149" s="1181">
        <f t="shared" si="50"/>
        <v>0</v>
      </c>
      <c r="F149" s="1810" cm="1">
        <f t="array" ref="F149">+INDEX('Panorama B.'!$F$11:$M$46,H149,Base_Monet!I149+2)</f>
        <v>0</v>
      </c>
      <c r="G149" s="1424" t="s">
        <v>2257</v>
      </c>
      <c r="H149" s="12">
        <f t="shared" si="59"/>
        <v>25</v>
      </c>
      <c r="I149" s="12">
        <f t="shared" si="58"/>
        <v>4</v>
      </c>
      <c r="J149" s="1181" t="str">
        <f t="shared" ca="1" si="54"/>
        <v>Panorama B.</v>
      </c>
      <c r="K149" s="1409" t="s">
        <v>2266</v>
      </c>
      <c r="M149" s="1434"/>
    </row>
    <row r="150" spans="1:13">
      <c r="A150" s="1408" t="s">
        <v>2944</v>
      </c>
      <c r="B150" s="1408" t="str">
        <f t="shared" si="49"/>
        <v>202503</v>
      </c>
      <c r="C150" s="1181" t="s">
        <v>2945</v>
      </c>
      <c r="D150" s="1401" t="str" cm="1">
        <f t="array" ref="D150">+INDEX('Panorama B.'!$F$11:$F$46,Base_Monet!H150)</f>
        <v>19..02.01.02.01.</v>
      </c>
      <c r="E150" s="1181">
        <f t="shared" si="50"/>
        <v>0</v>
      </c>
      <c r="F150" s="1810" cm="1">
        <f t="array" ref="F150">+INDEX('Panorama B.'!$F$11:$M$46,H150,Base_Monet!I150+2)</f>
        <v>0</v>
      </c>
      <c r="G150" s="1424" t="s">
        <v>2258</v>
      </c>
      <c r="H150" s="12">
        <f t="shared" si="59"/>
        <v>25</v>
      </c>
      <c r="I150" s="12">
        <f t="shared" si="58"/>
        <v>5</v>
      </c>
      <c r="J150" s="1181" t="str">
        <f t="shared" ca="1" si="54"/>
        <v>Panorama B.</v>
      </c>
      <c r="K150" s="1409" t="s">
        <v>2266</v>
      </c>
      <c r="M150" s="1434"/>
    </row>
    <row r="151" spans="1:13">
      <c r="A151" s="1408" t="s">
        <v>2944</v>
      </c>
      <c r="B151" s="1408" t="str">
        <f t="shared" si="49"/>
        <v>202503</v>
      </c>
      <c r="C151" s="1181" t="s">
        <v>2945</v>
      </c>
      <c r="D151" s="1401" t="str" cm="1">
        <f t="array" ref="D151">+INDEX('Panorama B.'!$F$11:$F$46,Base_Monet!H151)</f>
        <v>19..02.01.02.01.</v>
      </c>
      <c r="E151" s="1181">
        <f t="shared" si="50"/>
        <v>0</v>
      </c>
      <c r="F151" s="1810" cm="1">
        <f t="array" ref="F151">+INDEX('Panorama B.'!$F$11:$M$46,H151,Base_Monet!I151+2)</f>
        <v>0</v>
      </c>
      <c r="G151" s="1424" t="s">
        <v>2259</v>
      </c>
      <c r="H151" s="12">
        <f t="shared" si="59"/>
        <v>25</v>
      </c>
      <c r="I151" s="12">
        <f t="shared" si="58"/>
        <v>6</v>
      </c>
      <c r="J151" s="1181" t="str">
        <f t="shared" ca="1" si="54"/>
        <v>Panorama B.</v>
      </c>
      <c r="K151" s="1409" t="s">
        <v>2266</v>
      </c>
      <c r="M151" s="1434"/>
    </row>
    <row r="152" spans="1:13">
      <c r="A152" s="1406" t="s">
        <v>2944</v>
      </c>
      <c r="B152" s="1406" t="str">
        <f t="shared" si="49"/>
        <v>202502</v>
      </c>
      <c r="C152" s="1406" t="s">
        <v>2946</v>
      </c>
      <c r="D152" s="1403" t="str" cm="1">
        <f t="array" ref="D152">+INDEX('Panorama B.'!$F$11:$F$46,Base_Monet!H152)</f>
        <v>19..02.01.02.02.</v>
      </c>
      <c r="E152" s="1406">
        <f t="shared" si="50"/>
        <v>0</v>
      </c>
      <c r="F152" s="1811" cm="1">
        <f t="array" ref="F152">+INDEX('Panorama B.'!$F$11:$M$46,H152,Base_Monet!I152+2)</f>
        <v>0</v>
      </c>
      <c r="G152" s="1425" t="s">
        <v>2254</v>
      </c>
      <c r="H152" s="1402">
        <f>+H146+1</f>
        <v>26</v>
      </c>
      <c r="I152" s="1402">
        <f>+I146</f>
        <v>1</v>
      </c>
      <c r="J152" s="1406" t="str">
        <f t="shared" ca="1" si="54"/>
        <v>Panorama B.</v>
      </c>
      <c r="K152" s="1410" t="s">
        <v>2266</v>
      </c>
      <c r="L152" s="1405">
        <f>+L146+1</f>
        <v>26</v>
      </c>
      <c r="M152" s="1434"/>
    </row>
    <row r="153" spans="1:13">
      <c r="A153" s="1406" t="s">
        <v>2944</v>
      </c>
      <c r="B153" s="1406" t="str">
        <f t="shared" si="49"/>
        <v>202502</v>
      </c>
      <c r="C153" s="1406" t="s">
        <v>2946</v>
      </c>
      <c r="D153" s="1403" t="str" cm="1">
        <f t="array" ref="D153">+INDEX('Panorama B.'!$F$11:$F$46,Base_Monet!H153)</f>
        <v>19..02.01.02.02.</v>
      </c>
      <c r="E153" s="1406">
        <f t="shared" si="50"/>
        <v>0</v>
      </c>
      <c r="F153" s="1811" cm="1">
        <f t="array" ref="F153">+INDEX('Panorama B.'!$F$11:$M$46,H153,Base_Monet!I153+2)</f>
        <v>0</v>
      </c>
      <c r="G153" s="1425" t="s">
        <v>2255</v>
      </c>
      <c r="H153" s="1402">
        <f>+H152</f>
        <v>26</v>
      </c>
      <c r="I153" s="1402">
        <f t="shared" ref="I153:I157" si="60">+I147</f>
        <v>2</v>
      </c>
      <c r="J153" s="1406" t="str">
        <f t="shared" ca="1" si="54"/>
        <v>Panorama B.</v>
      </c>
      <c r="K153" s="1410" t="s">
        <v>2266</v>
      </c>
      <c r="L153" s="1405"/>
      <c r="M153" s="1434"/>
    </row>
    <row r="154" spans="1:13">
      <c r="A154" s="1406" t="s">
        <v>2944</v>
      </c>
      <c r="B154" s="1406" t="str">
        <f t="shared" si="49"/>
        <v>202502</v>
      </c>
      <c r="C154" s="1406" t="s">
        <v>2946</v>
      </c>
      <c r="D154" s="1403" t="str" cm="1">
        <f t="array" ref="D154">+INDEX('Panorama B.'!$F$11:$F$46,Base_Monet!H154)</f>
        <v>19..02.01.02.02.</v>
      </c>
      <c r="E154" s="1406">
        <f t="shared" si="50"/>
        <v>0</v>
      </c>
      <c r="F154" s="1811" cm="1">
        <f t="array" ref="F154">+INDEX('Panorama B.'!$F$11:$M$46,H154,Base_Monet!I154+2)</f>
        <v>0</v>
      </c>
      <c r="G154" s="1425" t="s">
        <v>2256</v>
      </c>
      <c r="H154" s="1402">
        <f t="shared" ref="H154:H157" si="61">+H153</f>
        <v>26</v>
      </c>
      <c r="I154" s="1402">
        <f t="shared" si="60"/>
        <v>3</v>
      </c>
      <c r="J154" s="1406" t="str">
        <f t="shared" ca="1" si="54"/>
        <v>Panorama B.</v>
      </c>
      <c r="K154" s="1410" t="s">
        <v>2266</v>
      </c>
      <c r="L154" s="1405"/>
      <c r="M154" s="1434"/>
    </row>
    <row r="155" spans="1:13">
      <c r="A155" s="1406" t="s">
        <v>2944</v>
      </c>
      <c r="B155" s="1406" t="str">
        <f t="shared" si="49"/>
        <v>202503</v>
      </c>
      <c r="C155" s="1406" t="s">
        <v>2945</v>
      </c>
      <c r="D155" s="1403" t="str" cm="1">
        <f t="array" ref="D155">+INDEX('Panorama B.'!$F$11:$F$46,Base_Monet!H155)</f>
        <v>19..02.01.02.02.</v>
      </c>
      <c r="E155" s="1406">
        <f t="shared" si="50"/>
        <v>0</v>
      </c>
      <c r="F155" s="1811" cm="1">
        <f t="array" ref="F155">+INDEX('Panorama B.'!$F$11:$M$46,H155,Base_Monet!I155+2)</f>
        <v>0</v>
      </c>
      <c r="G155" s="1425" t="s">
        <v>2257</v>
      </c>
      <c r="H155" s="1402">
        <f t="shared" si="61"/>
        <v>26</v>
      </c>
      <c r="I155" s="1402">
        <f t="shared" si="60"/>
        <v>4</v>
      </c>
      <c r="J155" s="1406" t="str">
        <f t="shared" ca="1" si="54"/>
        <v>Panorama B.</v>
      </c>
      <c r="K155" s="1410" t="s">
        <v>2266</v>
      </c>
      <c r="L155" s="1405"/>
      <c r="M155" s="1434"/>
    </row>
    <row r="156" spans="1:13">
      <c r="A156" s="1406" t="s">
        <v>2944</v>
      </c>
      <c r="B156" s="1406" t="str">
        <f t="shared" si="49"/>
        <v>202503</v>
      </c>
      <c r="C156" s="1406" t="s">
        <v>2945</v>
      </c>
      <c r="D156" s="1403" t="str" cm="1">
        <f t="array" ref="D156">+INDEX('Panorama B.'!$F$11:$F$46,Base_Monet!H156)</f>
        <v>19..02.01.02.02.</v>
      </c>
      <c r="E156" s="1406">
        <f t="shared" si="50"/>
        <v>0</v>
      </c>
      <c r="F156" s="1811" cm="1">
        <f t="array" ref="F156">+INDEX('Panorama B.'!$F$11:$M$46,H156,Base_Monet!I156+2)</f>
        <v>0</v>
      </c>
      <c r="G156" s="1425" t="s">
        <v>2258</v>
      </c>
      <c r="H156" s="1402">
        <f t="shared" si="61"/>
        <v>26</v>
      </c>
      <c r="I156" s="1402">
        <f t="shared" si="60"/>
        <v>5</v>
      </c>
      <c r="J156" s="1406" t="str">
        <f t="shared" ca="1" si="54"/>
        <v>Panorama B.</v>
      </c>
      <c r="K156" s="1410" t="s">
        <v>2266</v>
      </c>
      <c r="L156" s="1405"/>
      <c r="M156" s="1434"/>
    </row>
    <row r="157" spans="1:13">
      <c r="A157" s="1406" t="s">
        <v>2944</v>
      </c>
      <c r="B157" s="1406" t="str">
        <f t="shared" si="49"/>
        <v>202503</v>
      </c>
      <c r="C157" s="1406" t="s">
        <v>2945</v>
      </c>
      <c r="D157" s="1403" t="str" cm="1">
        <f t="array" ref="D157">+INDEX('Panorama B.'!$F$11:$F$46,Base_Monet!H157)</f>
        <v>19..02.01.02.02.</v>
      </c>
      <c r="E157" s="1406">
        <f t="shared" si="50"/>
        <v>0</v>
      </c>
      <c r="F157" s="1811" cm="1">
        <f t="array" ref="F157">+INDEX('Panorama B.'!$F$11:$M$46,H157,Base_Monet!I157+2)</f>
        <v>0</v>
      </c>
      <c r="G157" s="1425" t="s">
        <v>2259</v>
      </c>
      <c r="H157" s="1402">
        <f t="shared" si="61"/>
        <v>26</v>
      </c>
      <c r="I157" s="1402">
        <f t="shared" si="60"/>
        <v>6</v>
      </c>
      <c r="J157" s="1406" t="str">
        <f t="shared" ca="1" si="54"/>
        <v>Panorama B.</v>
      </c>
      <c r="K157" s="1410" t="s">
        <v>2266</v>
      </c>
      <c r="L157" s="1405"/>
      <c r="M157" s="1434"/>
    </row>
    <row r="158" spans="1:13">
      <c r="A158" s="1408" t="s">
        <v>2944</v>
      </c>
      <c r="B158" s="1408" t="str">
        <f t="shared" si="49"/>
        <v>202502</v>
      </c>
      <c r="C158" s="1181" t="s">
        <v>2946</v>
      </c>
      <c r="D158" s="1401" t="str" cm="1">
        <f t="array" ref="D158">+INDEX('Panorama B.'!$F$11:$F$46,Base_Monet!H158)</f>
        <v>19..02.01.03.</v>
      </c>
      <c r="E158" s="1181">
        <f t="shared" si="50"/>
        <v>0</v>
      </c>
      <c r="F158" s="1810" cm="1">
        <f t="array" ref="F158">+INDEX('Panorama B.'!$F$11:$M$46,H158,Base_Monet!I158+2)</f>
        <v>0</v>
      </c>
      <c r="G158" s="1424" t="s">
        <v>2254</v>
      </c>
      <c r="H158" s="12">
        <f t="shared" ref="H158" si="62">+H152+1</f>
        <v>27</v>
      </c>
      <c r="I158" s="12">
        <f>+I152</f>
        <v>1</v>
      </c>
      <c r="J158" s="1181" t="str">
        <f t="shared" ca="1" si="54"/>
        <v>Panorama B.</v>
      </c>
      <c r="K158" s="1409" t="s">
        <v>2266</v>
      </c>
      <c r="L158" s="1399">
        <f>+L152+1</f>
        <v>27</v>
      </c>
      <c r="M158" s="1434"/>
    </row>
    <row r="159" spans="1:13">
      <c r="A159" s="1408" t="s">
        <v>2944</v>
      </c>
      <c r="B159" s="1408" t="str">
        <f t="shared" si="49"/>
        <v>202502</v>
      </c>
      <c r="C159" s="1181" t="s">
        <v>2946</v>
      </c>
      <c r="D159" s="1401" t="str" cm="1">
        <f t="array" ref="D159">+INDEX('Panorama B.'!$F$11:$F$46,Base_Monet!H159)</f>
        <v>19..02.01.03.</v>
      </c>
      <c r="E159" s="1181">
        <f t="shared" si="50"/>
        <v>0</v>
      </c>
      <c r="F159" s="1810" cm="1">
        <f t="array" ref="F159">+INDEX('Panorama B.'!$F$11:$M$46,H159,Base_Monet!I159+2)</f>
        <v>0</v>
      </c>
      <c r="G159" s="1424" t="s">
        <v>2255</v>
      </c>
      <c r="H159" s="12">
        <f t="shared" ref="H159:H199" si="63">+H158</f>
        <v>27</v>
      </c>
      <c r="I159" s="12">
        <f t="shared" ref="I159:I217" si="64">+I153</f>
        <v>2</v>
      </c>
      <c r="J159" s="1181" t="str">
        <f t="shared" ca="1" si="54"/>
        <v>Panorama B.</v>
      </c>
      <c r="K159" s="1409" t="s">
        <v>2266</v>
      </c>
      <c r="M159" s="1434"/>
    </row>
    <row r="160" spans="1:13">
      <c r="A160" s="1408" t="s">
        <v>2944</v>
      </c>
      <c r="B160" s="1408" t="str">
        <f t="shared" si="49"/>
        <v>202502</v>
      </c>
      <c r="C160" s="1181" t="s">
        <v>2946</v>
      </c>
      <c r="D160" s="1401" t="str" cm="1">
        <f t="array" ref="D160">+INDEX('Panorama B.'!$F$11:$F$46,Base_Monet!H160)</f>
        <v>19..02.01.03.</v>
      </c>
      <c r="E160" s="1181">
        <f t="shared" si="50"/>
        <v>0</v>
      </c>
      <c r="F160" s="1810" cm="1">
        <f t="array" ref="F160">+INDEX('Panorama B.'!$F$11:$M$46,H160,Base_Monet!I160+2)</f>
        <v>0</v>
      </c>
      <c r="G160" s="1424" t="s">
        <v>2256</v>
      </c>
      <c r="H160" s="12">
        <f t="shared" si="63"/>
        <v>27</v>
      </c>
      <c r="I160" s="12">
        <f t="shared" si="64"/>
        <v>3</v>
      </c>
      <c r="J160" s="1181" t="str">
        <f t="shared" ca="1" si="54"/>
        <v>Panorama B.</v>
      </c>
      <c r="K160" s="1409" t="s">
        <v>2266</v>
      </c>
      <c r="M160" s="1434"/>
    </row>
    <row r="161" spans="1:13">
      <c r="A161" s="1408" t="s">
        <v>2944</v>
      </c>
      <c r="B161" s="1408" t="str">
        <f t="shared" si="49"/>
        <v>202503</v>
      </c>
      <c r="C161" s="1181" t="s">
        <v>2945</v>
      </c>
      <c r="D161" s="1401" t="str" cm="1">
        <f t="array" ref="D161">+INDEX('Panorama B.'!$F$11:$F$46,Base_Monet!H161)</f>
        <v>19..02.01.03.</v>
      </c>
      <c r="E161" s="1181">
        <f t="shared" si="50"/>
        <v>0</v>
      </c>
      <c r="F161" s="1810" cm="1">
        <f t="array" ref="F161">+INDEX('Panorama B.'!$F$11:$M$46,H161,Base_Monet!I161+2)</f>
        <v>0</v>
      </c>
      <c r="G161" s="1424" t="s">
        <v>2257</v>
      </c>
      <c r="H161" s="12">
        <f t="shared" si="63"/>
        <v>27</v>
      </c>
      <c r="I161" s="12">
        <f t="shared" si="64"/>
        <v>4</v>
      </c>
      <c r="J161" s="1181" t="str">
        <f t="shared" ca="1" si="54"/>
        <v>Panorama B.</v>
      </c>
      <c r="K161" s="1409" t="s">
        <v>2266</v>
      </c>
      <c r="M161" s="1434"/>
    </row>
    <row r="162" spans="1:13">
      <c r="A162" s="1408" t="s">
        <v>2944</v>
      </c>
      <c r="B162" s="1408" t="str">
        <f t="shared" si="49"/>
        <v>202503</v>
      </c>
      <c r="C162" s="1181" t="s">
        <v>2945</v>
      </c>
      <c r="D162" s="1401" t="str" cm="1">
        <f t="array" ref="D162">+INDEX('Panorama B.'!$F$11:$F$46,Base_Monet!H162)</f>
        <v>19..02.01.03.</v>
      </c>
      <c r="E162" s="1181">
        <f t="shared" si="50"/>
        <v>0</v>
      </c>
      <c r="F162" s="1810" cm="1">
        <f t="array" ref="F162">+INDEX('Panorama B.'!$F$11:$M$46,H162,Base_Monet!I162+2)</f>
        <v>0</v>
      </c>
      <c r="G162" s="1424" t="s">
        <v>2258</v>
      </c>
      <c r="H162" s="12">
        <f t="shared" si="63"/>
        <v>27</v>
      </c>
      <c r="I162" s="12">
        <f t="shared" si="64"/>
        <v>5</v>
      </c>
      <c r="J162" s="1181" t="str">
        <f t="shared" ca="1" si="54"/>
        <v>Panorama B.</v>
      </c>
      <c r="K162" s="1409" t="s">
        <v>2266</v>
      </c>
      <c r="M162" s="1434"/>
    </row>
    <row r="163" spans="1:13">
      <c r="A163" s="1408" t="s">
        <v>2944</v>
      </c>
      <c r="B163" s="1408" t="str">
        <f t="shared" si="49"/>
        <v>202503</v>
      </c>
      <c r="C163" s="1181" t="s">
        <v>2945</v>
      </c>
      <c r="D163" s="1401" t="str" cm="1">
        <f t="array" ref="D163">+INDEX('Panorama B.'!$F$11:$F$46,Base_Monet!H163)</f>
        <v>19..02.01.03.</v>
      </c>
      <c r="E163" s="1181">
        <f t="shared" si="50"/>
        <v>0</v>
      </c>
      <c r="F163" s="1810" cm="1">
        <f t="array" ref="F163">+INDEX('Panorama B.'!$F$11:$M$46,H163,Base_Monet!I163+2)</f>
        <v>0</v>
      </c>
      <c r="G163" s="1424" t="s">
        <v>2259</v>
      </c>
      <c r="H163" s="12">
        <f t="shared" si="63"/>
        <v>27</v>
      </c>
      <c r="I163" s="12">
        <f t="shared" si="64"/>
        <v>6</v>
      </c>
      <c r="J163" s="1181" t="str">
        <f t="shared" ca="1" si="54"/>
        <v>Panorama B.</v>
      </c>
      <c r="K163" s="1409" t="s">
        <v>2266</v>
      </c>
      <c r="M163" s="1434"/>
    </row>
    <row r="164" spans="1:13">
      <c r="A164" s="1406" t="s">
        <v>2944</v>
      </c>
      <c r="B164" s="1406" t="str">
        <f t="shared" si="49"/>
        <v>202502</v>
      </c>
      <c r="C164" s="1406" t="s">
        <v>2946</v>
      </c>
      <c r="D164" s="1403" t="str" cm="1">
        <f t="array" ref="D164">+INDEX('Panorama B.'!$F$11:$F$46,Base_Monet!H164)</f>
        <v>19..02.02.</v>
      </c>
      <c r="E164" s="1406">
        <f t="shared" si="50"/>
        <v>0</v>
      </c>
      <c r="F164" s="1811" cm="1">
        <f t="array" ref="F164">+INDEX('Panorama B.'!$F$11:$M$46,H164,Base_Monet!I164+2)</f>
        <v>0</v>
      </c>
      <c r="G164" s="1425" t="str">
        <f>+G158</f>
        <v>01</v>
      </c>
      <c r="H164" s="1402">
        <f t="shared" ref="H164" si="65">+H158+1</f>
        <v>28</v>
      </c>
      <c r="I164" s="1402">
        <f t="shared" si="64"/>
        <v>1</v>
      </c>
      <c r="J164" s="1406" t="str">
        <f t="shared" ca="1" si="54"/>
        <v>Panorama B.</v>
      </c>
      <c r="K164" s="1410" t="s">
        <v>2266</v>
      </c>
      <c r="L164" s="1405">
        <f t="shared" ref="L164" si="66">+L158+1</f>
        <v>28</v>
      </c>
      <c r="M164" s="1434"/>
    </row>
    <row r="165" spans="1:13">
      <c r="A165" s="1406" t="s">
        <v>2944</v>
      </c>
      <c r="B165" s="1406" t="str">
        <f t="shared" si="49"/>
        <v>202502</v>
      </c>
      <c r="C165" s="1406" t="s">
        <v>2946</v>
      </c>
      <c r="D165" s="1403" t="str" cm="1">
        <f t="array" ref="D165">+INDEX('Panorama B.'!$F$11:$F$46,Base_Monet!H165)</f>
        <v>19..02.02.</v>
      </c>
      <c r="E165" s="1406">
        <f t="shared" si="50"/>
        <v>0</v>
      </c>
      <c r="F165" s="1811" cm="1">
        <f t="array" ref="F165">+INDEX('Panorama B.'!$F$11:$M$46,H165,Base_Monet!I165+2)</f>
        <v>0</v>
      </c>
      <c r="G165" s="1425" t="str">
        <f t="shared" ref="G165:G217" si="67">+G159</f>
        <v>02</v>
      </c>
      <c r="H165" s="1402">
        <f t="shared" ref="H165" si="68">+H164</f>
        <v>28</v>
      </c>
      <c r="I165" s="1402">
        <f t="shared" si="64"/>
        <v>2</v>
      </c>
      <c r="J165" s="1406" t="str">
        <f t="shared" ca="1" si="54"/>
        <v>Panorama B.</v>
      </c>
      <c r="K165" s="1410" t="s">
        <v>2266</v>
      </c>
      <c r="L165" s="1405"/>
      <c r="M165" s="1434"/>
    </row>
    <row r="166" spans="1:13">
      <c r="A166" s="1406" t="s">
        <v>2944</v>
      </c>
      <c r="B166" s="1406" t="str">
        <f t="shared" si="49"/>
        <v>202502</v>
      </c>
      <c r="C166" s="1406" t="s">
        <v>2946</v>
      </c>
      <c r="D166" s="1403" t="str" cm="1">
        <f t="array" ref="D166">+INDEX('Panorama B.'!$F$11:$F$46,Base_Monet!H166)</f>
        <v>19..02.02.</v>
      </c>
      <c r="E166" s="1406">
        <f t="shared" si="50"/>
        <v>0</v>
      </c>
      <c r="F166" s="1811" cm="1">
        <f t="array" ref="F166">+INDEX('Panorama B.'!$F$11:$M$46,H166,Base_Monet!I166+2)</f>
        <v>0</v>
      </c>
      <c r="G166" s="1425" t="str">
        <f t="shared" si="67"/>
        <v>03</v>
      </c>
      <c r="H166" s="1402">
        <f t="shared" si="63"/>
        <v>28</v>
      </c>
      <c r="I166" s="1402">
        <f t="shared" si="64"/>
        <v>3</v>
      </c>
      <c r="J166" s="1406" t="str">
        <f t="shared" ca="1" si="54"/>
        <v>Panorama B.</v>
      </c>
      <c r="K166" s="1410" t="s">
        <v>2266</v>
      </c>
      <c r="L166" s="1405"/>
      <c r="M166" s="1434"/>
    </row>
    <row r="167" spans="1:13">
      <c r="A167" s="1406" t="s">
        <v>2944</v>
      </c>
      <c r="B167" s="1406" t="str">
        <f t="shared" si="49"/>
        <v>202503</v>
      </c>
      <c r="C167" s="1406" t="s">
        <v>2945</v>
      </c>
      <c r="D167" s="1403" t="str" cm="1">
        <f t="array" ref="D167">+INDEX('Panorama B.'!$F$11:$F$46,Base_Monet!H167)</f>
        <v>19..02.02.</v>
      </c>
      <c r="E167" s="1406">
        <f t="shared" si="50"/>
        <v>0</v>
      </c>
      <c r="F167" s="1811" cm="1">
        <f t="array" ref="F167">+INDEX('Panorama B.'!$F$11:$M$46,H167,Base_Monet!I167+2)</f>
        <v>0</v>
      </c>
      <c r="G167" s="1425" t="str">
        <f t="shared" si="67"/>
        <v>04</v>
      </c>
      <c r="H167" s="1402">
        <f t="shared" si="63"/>
        <v>28</v>
      </c>
      <c r="I167" s="1402">
        <f t="shared" si="64"/>
        <v>4</v>
      </c>
      <c r="J167" s="1406" t="str">
        <f t="shared" ca="1" si="54"/>
        <v>Panorama B.</v>
      </c>
      <c r="K167" s="1410" t="s">
        <v>2266</v>
      </c>
      <c r="L167" s="1405"/>
      <c r="M167" s="1434"/>
    </row>
    <row r="168" spans="1:13">
      <c r="A168" s="1406" t="s">
        <v>2944</v>
      </c>
      <c r="B168" s="1406" t="str">
        <f t="shared" si="49"/>
        <v>202503</v>
      </c>
      <c r="C168" s="1406" t="s">
        <v>2945</v>
      </c>
      <c r="D168" s="1403" t="str" cm="1">
        <f t="array" ref="D168">+INDEX('Panorama B.'!$F$11:$F$46,Base_Monet!H168)</f>
        <v>19..02.02.</v>
      </c>
      <c r="E168" s="1406">
        <f t="shared" si="50"/>
        <v>0</v>
      </c>
      <c r="F168" s="1811" cm="1">
        <f t="array" ref="F168">+INDEX('Panorama B.'!$F$11:$M$46,H168,Base_Monet!I168+2)</f>
        <v>0</v>
      </c>
      <c r="G168" s="1425" t="str">
        <f t="shared" si="67"/>
        <v>05</v>
      </c>
      <c r="H168" s="1402">
        <f t="shared" si="63"/>
        <v>28</v>
      </c>
      <c r="I168" s="1402">
        <f t="shared" si="64"/>
        <v>5</v>
      </c>
      <c r="J168" s="1406" t="str">
        <f t="shared" ca="1" si="54"/>
        <v>Panorama B.</v>
      </c>
      <c r="K168" s="1410" t="s">
        <v>2266</v>
      </c>
      <c r="L168" s="1405"/>
      <c r="M168" s="1434"/>
    </row>
    <row r="169" spans="1:13">
      <c r="A169" s="1406" t="s">
        <v>2944</v>
      </c>
      <c r="B169" s="1406" t="str">
        <f t="shared" si="49"/>
        <v>202503</v>
      </c>
      <c r="C169" s="1406" t="s">
        <v>2945</v>
      </c>
      <c r="D169" s="1403" t="str" cm="1">
        <f t="array" ref="D169">+INDEX('Panorama B.'!$F$11:$F$46,Base_Monet!H169)</f>
        <v>19..02.02.</v>
      </c>
      <c r="E169" s="1406">
        <f t="shared" si="50"/>
        <v>0</v>
      </c>
      <c r="F169" s="1811" cm="1">
        <f t="array" ref="F169">+INDEX('Panorama B.'!$F$11:$M$46,H169,Base_Monet!I169+2)</f>
        <v>0</v>
      </c>
      <c r="G169" s="1425" t="str">
        <f t="shared" si="67"/>
        <v>06</v>
      </c>
      <c r="H169" s="1402">
        <f t="shared" si="63"/>
        <v>28</v>
      </c>
      <c r="I169" s="1402">
        <f t="shared" si="64"/>
        <v>6</v>
      </c>
      <c r="J169" s="1406" t="str">
        <f t="shared" ca="1" si="54"/>
        <v>Panorama B.</v>
      </c>
      <c r="K169" s="1410" t="s">
        <v>2266</v>
      </c>
      <c r="L169" s="1405"/>
      <c r="M169" s="1434"/>
    </row>
    <row r="170" spans="1:13">
      <c r="A170" s="1408" t="s">
        <v>2944</v>
      </c>
      <c r="B170" s="1408" t="str">
        <f t="shared" si="49"/>
        <v>202502</v>
      </c>
      <c r="C170" s="1181" t="s">
        <v>2946</v>
      </c>
      <c r="D170" s="1401" t="str" cm="1">
        <f t="array" ref="D170">+INDEX('Panorama B.'!$F$11:$F$46,Base_Monet!H170)</f>
        <v>19..02.02.01.</v>
      </c>
      <c r="E170" s="1181">
        <f t="shared" si="50"/>
        <v>0</v>
      </c>
      <c r="F170" s="1810" cm="1">
        <f t="array" ref="F170">+INDEX('Panorama B.'!$F$11:$M$46,H170,Base_Monet!I170+2)</f>
        <v>0</v>
      </c>
      <c r="G170" s="1424" t="str">
        <f t="shared" si="67"/>
        <v>01</v>
      </c>
      <c r="H170" s="12">
        <f t="shared" ref="H170" si="69">+H164+1</f>
        <v>29</v>
      </c>
      <c r="I170" s="12">
        <f t="shared" si="64"/>
        <v>1</v>
      </c>
      <c r="J170" s="1181" t="str">
        <f t="shared" ca="1" si="54"/>
        <v>Panorama B.</v>
      </c>
      <c r="K170" s="1409" t="s">
        <v>2266</v>
      </c>
      <c r="L170" s="1399">
        <f t="shared" ref="L170" si="70">+L164+1</f>
        <v>29</v>
      </c>
      <c r="M170" s="1434"/>
    </row>
    <row r="171" spans="1:13">
      <c r="A171" s="1408" t="s">
        <v>2944</v>
      </c>
      <c r="B171" s="1408" t="str">
        <f t="shared" si="49"/>
        <v>202502</v>
      </c>
      <c r="C171" s="1181" t="s">
        <v>2946</v>
      </c>
      <c r="D171" s="1401" t="str" cm="1">
        <f t="array" ref="D171">+INDEX('Panorama B.'!$F$11:$F$46,Base_Monet!H171)</f>
        <v>19..02.02.01.</v>
      </c>
      <c r="E171" s="1181">
        <f t="shared" si="50"/>
        <v>0</v>
      </c>
      <c r="F171" s="1810" cm="1">
        <f t="array" ref="F171">+INDEX('Panorama B.'!$F$11:$M$46,H171,Base_Monet!I171+2)</f>
        <v>0</v>
      </c>
      <c r="G171" s="1424" t="str">
        <f t="shared" si="67"/>
        <v>02</v>
      </c>
      <c r="H171" s="12">
        <f t="shared" ref="H171" si="71">+H170</f>
        <v>29</v>
      </c>
      <c r="I171" s="12">
        <f t="shared" si="64"/>
        <v>2</v>
      </c>
      <c r="J171" s="1181" t="str">
        <f t="shared" ca="1" si="54"/>
        <v>Panorama B.</v>
      </c>
      <c r="K171" s="1409" t="s">
        <v>2266</v>
      </c>
      <c r="M171" s="1434"/>
    </row>
    <row r="172" spans="1:13">
      <c r="A172" s="1408" t="s">
        <v>2944</v>
      </c>
      <c r="B172" s="1408" t="str">
        <f t="shared" si="49"/>
        <v>202502</v>
      </c>
      <c r="C172" s="1181" t="s">
        <v>2946</v>
      </c>
      <c r="D172" s="1401" t="str" cm="1">
        <f t="array" ref="D172">+INDEX('Panorama B.'!$F$11:$F$46,Base_Monet!H172)</f>
        <v>19..02.02.01.</v>
      </c>
      <c r="E172" s="1181">
        <f t="shared" si="50"/>
        <v>0</v>
      </c>
      <c r="F172" s="1810" cm="1">
        <f t="array" ref="F172">+INDEX('Panorama B.'!$F$11:$M$46,H172,Base_Monet!I172+2)</f>
        <v>0</v>
      </c>
      <c r="G172" s="1424" t="str">
        <f t="shared" si="67"/>
        <v>03</v>
      </c>
      <c r="H172" s="12">
        <f t="shared" si="63"/>
        <v>29</v>
      </c>
      <c r="I172" s="12">
        <f t="shared" si="64"/>
        <v>3</v>
      </c>
      <c r="J172" s="1181" t="str">
        <f t="shared" ca="1" si="54"/>
        <v>Panorama B.</v>
      </c>
      <c r="K172" s="1409" t="s">
        <v>2266</v>
      </c>
      <c r="M172" s="1434"/>
    </row>
    <row r="173" spans="1:13">
      <c r="A173" s="1408" t="s">
        <v>2944</v>
      </c>
      <c r="B173" s="1408" t="str">
        <f t="shared" si="49"/>
        <v>202503</v>
      </c>
      <c r="C173" s="1181" t="s">
        <v>2945</v>
      </c>
      <c r="D173" s="1401" t="str" cm="1">
        <f t="array" ref="D173">+INDEX('Panorama B.'!$F$11:$F$46,Base_Monet!H173)</f>
        <v>19..02.02.01.</v>
      </c>
      <c r="E173" s="1181">
        <f t="shared" si="50"/>
        <v>0</v>
      </c>
      <c r="F173" s="1810" cm="1">
        <f t="array" ref="F173">+INDEX('Panorama B.'!$F$11:$M$46,H173,Base_Monet!I173+2)</f>
        <v>0</v>
      </c>
      <c r="G173" s="1424" t="str">
        <f t="shared" si="67"/>
        <v>04</v>
      </c>
      <c r="H173" s="12">
        <f t="shared" si="63"/>
        <v>29</v>
      </c>
      <c r="I173" s="12">
        <f t="shared" si="64"/>
        <v>4</v>
      </c>
      <c r="J173" s="1181" t="str">
        <f t="shared" ca="1" si="54"/>
        <v>Panorama B.</v>
      </c>
      <c r="K173" s="1409" t="s">
        <v>2266</v>
      </c>
      <c r="M173" s="1434"/>
    </row>
    <row r="174" spans="1:13">
      <c r="A174" s="1408" t="s">
        <v>2944</v>
      </c>
      <c r="B174" s="1408" t="str">
        <f t="shared" si="49"/>
        <v>202503</v>
      </c>
      <c r="C174" s="1181" t="s">
        <v>2945</v>
      </c>
      <c r="D174" s="1401" t="str" cm="1">
        <f t="array" ref="D174">+INDEX('Panorama B.'!$F$11:$F$46,Base_Monet!H174)</f>
        <v>19..02.02.01.</v>
      </c>
      <c r="E174" s="1181">
        <f t="shared" si="50"/>
        <v>0</v>
      </c>
      <c r="F174" s="1810" cm="1">
        <f t="array" ref="F174">+INDEX('Panorama B.'!$F$11:$M$46,H174,Base_Monet!I174+2)</f>
        <v>0</v>
      </c>
      <c r="G174" s="1424" t="str">
        <f t="shared" si="67"/>
        <v>05</v>
      </c>
      <c r="H174" s="12">
        <f t="shared" si="63"/>
        <v>29</v>
      </c>
      <c r="I174" s="12">
        <f t="shared" si="64"/>
        <v>5</v>
      </c>
      <c r="J174" s="1181" t="str">
        <f t="shared" ca="1" si="54"/>
        <v>Panorama B.</v>
      </c>
      <c r="K174" s="1409" t="s">
        <v>2266</v>
      </c>
      <c r="M174" s="1434"/>
    </row>
    <row r="175" spans="1:13">
      <c r="A175" s="1408" t="s">
        <v>2944</v>
      </c>
      <c r="B175" s="1408" t="str">
        <f t="shared" si="49"/>
        <v>202503</v>
      </c>
      <c r="C175" s="1181" t="s">
        <v>2945</v>
      </c>
      <c r="D175" s="1401" t="str" cm="1">
        <f t="array" ref="D175">+INDEX('Panorama B.'!$F$11:$F$46,Base_Monet!H175)</f>
        <v>19..02.02.01.</v>
      </c>
      <c r="E175" s="1181">
        <f t="shared" si="50"/>
        <v>0</v>
      </c>
      <c r="F175" s="1810" cm="1">
        <f t="array" ref="F175">+INDEX('Panorama B.'!$F$11:$M$46,H175,Base_Monet!I175+2)</f>
        <v>0</v>
      </c>
      <c r="G175" s="1424" t="str">
        <f t="shared" si="67"/>
        <v>06</v>
      </c>
      <c r="H175" s="12">
        <f t="shared" si="63"/>
        <v>29</v>
      </c>
      <c r="I175" s="12">
        <f t="shared" si="64"/>
        <v>6</v>
      </c>
      <c r="J175" s="1181" t="str">
        <f t="shared" ca="1" si="54"/>
        <v>Panorama B.</v>
      </c>
      <c r="K175" s="1409" t="s">
        <v>2266</v>
      </c>
      <c r="M175" s="1434"/>
    </row>
    <row r="176" spans="1:13">
      <c r="A176" s="1406" t="s">
        <v>2944</v>
      </c>
      <c r="B176" s="1406" t="str">
        <f t="shared" si="49"/>
        <v>202502</v>
      </c>
      <c r="C176" s="1406" t="s">
        <v>2946</v>
      </c>
      <c r="D176" s="1403" t="str" cm="1">
        <f t="array" ref="D176">+INDEX('Panorama B.'!$F$11:$F$46,Base_Monet!H176)</f>
        <v>19..02.02.01.01.</v>
      </c>
      <c r="E176" s="1406">
        <f t="shared" si="50"/>
        <v>0</v>
      </c>
      <c r="F176" s="1811" cm="1">
        <f t="array" ref="F176">+INDEX('Panorama B.'!$F$11:$M$46,H176,Base_Monet!I176+2)</f>
        <v>0</v>
      </c>
      <c r="G176" s="1425" t="str">
        <f t="shared" si="67"/>
        <v>01</v>
      </c>
      <c r="H176" s="1402">
        <f t="shared" ref="H176" si="72">+H170+1</f>
        <v>30</v>
      </c>
      <c r="I176" s="1402">
        <f t="shared" si="64"/>
        <v>1</v>
      </c>
      <c r="J176" s="1406" t="str">
        <f t="shared" ca="1" si="54"/>
        <v>Panorama B.</v>
      </c>
      <c r="K176" s="1410" t="s">
        <v>2266</v>
      </c>
      <c r="L176" s="1405">
        <f t="shared" ref="L176" si="73">+L170+1</f>
        <v>30</v>
      </c>
      <c r="M176" s="1434"/>
    </row>
    <row r="177" spans="1:13">
      <c r="A177" s="1406" t="s">
        <v>2944</v>
      </c>
      <c r="B177" s="1406" t="str">
        <f t="shared" si="49"/>
        <v>202502</v>
      </c>
      <c r="C177" s="1406" t="s">
        <v>2946</v>
      </c>
      <c r="D177" s="1403" t="str" cm="1">
        <f t="array" ref="D177">+INDEX('Panorama B.'!$F$11:$F$46,Base_Monet!H177)</f>
        <v>19..02.02.01.01.</v>
      </c>
      <c r="E177" s="1406">
        <f t="shared" si="50"/>
        <v>0</v>
      </c>
      <c r="F177" s="1811" cm="1">
        <f t="array" ref="F177">+INDEX('Panorama B.'!$F$11:$M$46,H177,Base_Monet!I177+2)</f>
        <v>0</v>
      </c>
      <c r="G177" s="1425" t="str">
        <f t="shared" si="67"/>
        <v>02</v>
      </c>
      <c r="H177" s="1402">
        <f t="shared" ref="H177" si="74">+H176</f>
        <v>30</v>
      </c>
      <c r="I177" s="1402">
        <f t="shared" si="64"/>
        <v>2</v>
      </c>
      <c r="J177" s="1406" t="str">
        <f t="shared" ca="1" si="54"/>
        <v>Panorama B.</v>
      </c>
      <c r="K177" s="1410" t="s">
        <v>2266</v>
      </c>
      <c r="L177" s="1405"/>
      <c r="M177" s="1434"/>
    </row>
    <row r="178" spans="1:13">
      <c r="A178" s="1406" t="s">
        <v>2944</v>
      </c>
      <c r="B178" s="1406" t="str">
        <f t="shared" si="49"/>
        <v>202502</v>
      </c>
      <c r="C178" s="1406" t="s">
        <v>2946</v>
      </c>
      <c r="D178" s="1403" t="str" cm="1">
        <f t="array" ref="D178">+INDEX('Panorama B.'!$F$11:$F$46,Base_Monet!H178)</f>
        <v>19..02.02.01.01.</v>
      </c>
      <c r="E178" s="1406">
        <f t="shared" si="50"/>
        <v>0</v>
      </c>
      <c r="F178" s="1811" cm="1">
        <f t="array" ref="F178">+INDEX('Panorama B.'!$F$11:$M$46,H178,Base_Monet!I178+2)</f>
        <v>0</v>
      </c>
      <c r="G178" s="1425" t="str">
        <f t="shared" si="67"/>
        <v>03</v>
      </c>
      <c r="H178" s="1402">
        <f t="shared" si="63"/>
        <v>30</v>
      </c>
      <c r="I178" s="1402">
        <f t="shared" si="64"/>
        <v>3</v>
      </c>
      <c r="J178" s="1406" t="str">
        <f t="shared" ca="1" si="54"/>
        <v>Panorama B.</v>
      </c>
      <c r="K178" s="1410" t="s">
        <v>2266</v>
      </c>
      <c r="L178" s="1405"/>
      <c r="M178" s="1434"/>
    </row>
    <row r="179" spans="1:13">
      <c r="A179" s="1406" t="s">
        <v>2944</v>
      </c>
      <c r="B179" s="1406" t="str">
        <f t="shared" si="49"/>
        <v>202503</v>
      </c>
      <c r="C179" s="1406" t="s">
        <v>2945</v>
      </c>
      <c r="D179" s="1403" t="str" cm="1">
        <f t="array" ref="D179">+INDEX('Panorama B.'!$F$11:$F$46,Base_Monet!H179)</f>
        <v>19..02.02.01.01.</v>
      </c>
      <c r="E179" s="1406">
        <f t="shared" si="50"/>
        <v>0</v>
      </c>
      <c r="F179" s="1811" cm="1">
        <f t="array" ref="F179">+INDEX('Panorama B.'!$F$11:$M$46,H179,Base_Monet!I179+2)</f>
        <v>0</v>
      </c>
      <c r="G179" s="1425" t="str">
        <f t="shared" si="67"/>
        <v>04</v>
      </c>
      <c r="H179" s="1402">
        <f t="shared" si="63"/>
        <v>30</v>
      </c>
      <c r="I179" s="1402">
        <f t="shared" si="64"/>
        <v>4</v>
      </c>
      <c r="J179" s="1406" t="str">
        <f t="shared" ca="1" si="54"/>
        <v>Panorama B.</v>
      </c>
      <c r="K179" s="1410" t="s">
        <v>2266</v>
      </c>
      <c r="L179" s="1405"/>
      <c r="M179" s="1434"/>
    </row>
    <row r="180" spans="1:13">
      <c r="A180" s="1406" t="s">
        <v>2944</v>
      </c>
      <c r="B180" s="1406" t="str">
        <f t="shared" si="49"/>
        <v>202503</v>
      </c>
      <c r="C180" s="1406" t="s">
        <v>2945</v>
      </c>
      <c r="D180" s="1403" t="str" cm="1">
        <f t="array" ref="D180">+INDEX('Panorama B.'!$F$11:$F$46,Base_Monet!H180)</f>
        <v>19..02.02.01.01.</v>
      </c>
      <c r="E180" s="1406">
        <f t="shared" si="50"/>
        <v>0</v>
      </c>
      <c r="F180" s="1811" cm="1">
        <f t="array" ref="F180">+INDEX('Panorama B.'!$F$11:$M$46,H180,Base_Monet!I180+2)</f>
        <v>0</v>
      </c>
      <c r="G180" s="1425" t="str">
        <f t="shared" si="67"/>
        <v>05</v>
      </c>
      <c r="H180" s="1402">
        <f t="shared" si="63"/>
        <v>30</v>
      </c>
      <c r="I180" s="1402">
        <f t="shared" si="64"/>
        <v>5</v>
      </c>
      <c r="J180" s="1406" t="str">
        <f t="shared" ca="1" si="54"/>
        <v>Panorama B.</v>
      </c>
      <c r="K180" s="1410" t="s">
        <v>2266</v>
      </c>
      <c r="L180" s="1405"/>
      <c r="M180" s="1434"/>
    </row>
    <row r="181" spans="1:13">
      <c r="A181" s="1406" t="s">
        <v>2944</v>
      </c>
      <c r="B181" s="1406" t="str">
        <f t="shared" si="49"/>
        <v>202503</v>
      </c>
      <c r="C181" s="1406" t="s">
        <v>2945</v>
      </c>
      <c r="D181" s="1403" t="str" cm="1">
        <f t="array" ref="D181">+INDEX('Panorama B.'!$F$11:$F$46,Base_Monet!H181)</f>
        <v>19..02.02.01.01.</v>
      </c>
      <c r="E181" s="1406">
        <f t="shared" si="50"/>
        <v>0</v>
      </c>
      <c r="F181" s="1811" cm="1">
        <f t="array" ref="F181">+INDEX('Panorama B.'!$F$11:$M$46,H181,Base_Monet!I181+2)</f>
        <v>0</v>
      </c>
      <c r="G181" s="1425" t="str">
        <f t="shared" si="67"/>
        <v>06</v>
      </c>
      <c r="H181" s="1402">
        <f t="shared" si="63"/>
        <v>30</v>
      </c>
      <c r="I181" s="1402">
        <f t="shared" si="64"/>
        <v>6</v>
      </c>
      <c r="J181" s="1406" t="str">
        <f t="shared" ca="1" si="54"/>
        <v>Panorama B.</v>
      </c>
      <c r="K181" s="1410" t="s">
        <v>2266</v>
      </c>
      <c r="L181" s="1405"/>
      <c r="M181" s="1434"/>
    </row>
    <row r="182" spans="1:13">
      <c r="A182" s="1408" t="s">
        <v>2944</v>
      </c>
      <c r="B182" s="1408" t="str">
        <f t="shared" si="49"/>
        <v>202502</v>
      </c>
      <c r="C182" s="1181" t="s">
        <v>2946</v>
      </c>
      <c r="D182" s="1401" t="str" cm="1">
        <f t="array" ref="D182">+INDEX('Panorama B.'!$F$11:$F$46,Base_Monet!H182)</f>
        <v>19..02.02.01.02.</v>
      </c>
      <c r="E182" s="1181">
        <f t="shared" si="50"/>
        <v>0</v>
      </c>
      <c r="F182" s="1810" cm="1">
        <f t="array" ref="F182">+INDEX('Panorama B.'!$F$11:$M$46,H182,Base_Monet!I182+2)</f>
        <v>0</v>
      </c>
      <c r="G182" s="1424" t="str">
        <f t="shared" si="67"/>
        <v>01</v>
      </c>
      <c r="H182" s="12">
        <f t="shared" ref="H182" si="75">+H176+1</f>
        <v>31</v>
      </c>
      <c r="I182" s="12">
        <f t="shared" si="64"/>
        <v>1</v>
      </c>
      <c r="J182" s="1181" t="str">
        <f t="shared" ca="1" si="54"/>
        <v>Panorama B.</v>
      </c>
      <c r="K182" s="1409" t="s">
        <v>2266</v>
      </c>
      <c r="L182" s="1399">
        <f t="shared" ref="L182" si="76">+L176+1</f>
        <v>31</v>
      </c>
      <c r="M182" s="1434"/>
    </row>
    <row r="183" spans="1:13">
      <c r="A183" s="1408" t="s">
        <v>2944</v>
      </c>
      <c r="B183" s="1408" t="str">
        <f t="shared" si="49"/>
        <v>202502</v>
      </c>
      <c r="C183" s="1181" t="s">
        <v>2946</v>
      </c>
      <c r="D183" s="1401" t="str" cm="1">
        <f t="array" ref="D183">+INDEX('Panorama B.'!$F$11:$F$46,Base_Monet!H183)</f>
        <v>19..02.02.01.02.</v>
      </c>
      <c r="E183" s="1181">
        <f t="shared" si="50"/>
        <v>0</v>
      </c>
      <c r="F183" s="1810" cm="1">
        <f t="array" ref="F183">+INDEX('Panorama B.'!$F$11:$M$46,H183,Base_Monet!I183+2)</f>
        <v>0</v>
      </c>
      <c r="G183" s="1424" t="str">
        <f t="shared" si="67"/>
        <v>02</v>
      </c>
      <c r="H183" s="12">
        <f t="shared" ref="H183" si="77">+H182</f>
        <v>31</v>
      </c>
      <c r="I183" s="12">
        <f t="shared" si="64"/>
        <v>2</v>
      </c>
      <c r="J183" s="1181" t="str">
        <f t="shared" ca="1" si="54"/>
        <v>Panorama B.</v>
      </c>
      <c r="K183" s="1409" t="s">
        <v>2266</v>
      </c>
      <c r="M183" s="1434"/>
    </row>
    <row r="184" spans="1:13">
      <c r="A184" s="1408" t="s">
        <v>2944</v>
      </c>
      <c r="B184" s="1408" t="str">
        <f t="shared" si="49"/>
        <v>202502</v>
      </c>
      <c r="C184" s="1181" t="s">
        <v>2946</v>
      </c>
      <c r="D184" s="1401" t="str" cm="1">
        <f t="array" ref="D184">+INDEX('Panorama B.'!$F$11:$F$46,Base_Monet!H184)</f>
        <v>19..02.02.01.02.</v>
      </c>
      <c r="E184" s="1181">
        <f t="shared" si="50"/>
        <v>0</v>
      </c>
      <c r="F184" s="1810" cm="1">
        <f t="array" ref="F184">+INDEX('Panorama B.'!$F$11:$M$46,H184,Base_Monet!I184+2)</f>
        <v>0</v>
      </c>
      <c r="G184" s="1424" t="str">
        <f t="shared" si="67"/>
        <v>03</v>
      </c>
      <c r="H184" s="12">
        <f t="shared" si="63"/>
        <v>31</v>
      </c>
      <c r="I184" s="12">
        <f t="shared" si="64"/>
        <v>3</v>
      </c>
      <c r="J184" s="1181" t="str">
        <f t="shared" ca="1" si="54"/>
        <v>Panorama B.</v>
      </c>
      <c r="K184" s="1409" t="s">
        <v>2266</v>
      </c>
      <c r="M184" s="1434"/>
    </row>
    <row r="185" spans="1:13">
      <c r="A185" s="1408" t="s">
        <v>2944</v>
      </c>
      <c r="B185" s="1408" t="str">
        <f t="shared" si="49"/>
        <v>202503</v>
      </c>
      <c r="C185" s="1181" t="s">
        <v>2945</v>
      </c>
      <c r="D185" s="1401" t="str" cm="1">
        <f t="array" ref="D185">+INDEX('Panorama B.'!$F$11:$F$46,Base_Monet!H185)</f>
        <v>19..02.02.01.02.</v>
      </c>
      <c r="E185" s="1181">
        <f t="shared" si="50"/>
        <v>0</v>
      </c>
      <c r="F185" s="1810" cm="1">
        <f t="array" ref="F185">+INDEX('Panorama B.'!$F$11:$M$46,H185,Base_Monet!I185+2)</f>
        <v>0</v>
      </c>
      <c r="G185" s="1424" t="str">
        <f t="shared" si="67"/>
        <v>04</v>
      </c>
      <c r="H185" s="12">
        <f t="shared" si="63"/>
        <v>31</v>
      </c>
      <c r="I185" s="12">
        <f t="shared" si="64"/>
        <v>4</v>
      </c>
      <c r="J185" s="1181" t="str">
        <f t="shared" ca="1" si="54"/>
        <v>Panorama B.</v>
      </c>
      <c r="K185" s="1409" t="s">
        <v>2266</v>
      </c>
      <c r="M185" s="1434"/>
    </row>
    <row r="186" spans="1:13">
      <c r="A186" s="1408" t="s">
        <v>2944</v>
      </c>
      <c r="B186" s="1408" t="str">
        <f t="shared" si="49"/>
        <v>202503</v>
      </c>
      <c r="C186" s="1181" t="s">
        <v>2945</v>
      </c>
      <c r="D186" s="1401" t="str" cm="1">
        <f t="array" ref="D186">+INDEX('Panorama B.'!$F$11:$F$46,Base_Monet!H186)</f>
        <v>19..02.02.01.02.</v>
      </c>
      <c r="E186" s="1181">
        <f t="shared" si="50"/>
        <v>0</v>
      </c>
      <c r="F186" s="1810" cm="1">
        <f t="array" ref="F186">+INDEX('Panorama B.'!$F$11:$M$46,H186,Base_Monet!I186+2)</f>
        <v>0</v>
      </c>
      <c r="G186" s="1424" t="str">
        <f t="shared" si="67"/>
        <v>05</v>
      </c>
      <c r="H186" s="12">
        <f t="shared" si="63"/>
        <v>31</v>
      </c>
      <c r="I186" s="12">
        <f t="shared" si="64"/>
        <v>5</v>
      </c>
      <c r="J186" s="1181" t="str">
        <f t="shared" ca="1" si="54"/>
        <v>Panorama B.</v>
      </c>
      <c r="K186" s="1409" t="s">
        <v>2266</v>
      </c>
      <c r="M186" s="1434"/>
    </row>
    <row r="187" spans="1:13">
      <c r="A187" s="1408" t="s">
        <v>2944</v>
      </c>
      <c r="B187" s="1408" t="str">
        <f t="shared" si="49"/>
        <v>202503</v>
      </c>
      <c r="C187" s="1181" t="s">
        <v>2945</v>
      </c>
      <c r="D187" s="1401" t="str" cm="1">
        <f t="array" ref="D187">+INDEX('Panorama B.'!$F$11:$F$46,Base_Monet!H187)</f>
        <v>19..02.02.01.02.</v>
      </c>
      <c r="E187" s="1181">
        <f t="shared" si="50"/>
        <v>0</v>
      </c>
      <c r="F187" s="1810" cm="1">
        <f t="array" ref="F187">+INDEX('Panorama B.'!$F$11:$M$46,H187,Base_Monet!I187+2)</f>
        <v>0</v>
      </c>
      <c r="G187" s="1424" t="str">
        <f t="shared" si="67"/>
        <v>06</v>
      </c>
      <c r="H187" s="12">
        <f t="shared" si="63"/>
        <v>31</v>
      </c>
      <c r="I187" s="12">
        <f t="shared" si="64"/>
        <v>6</v>
      </c>
      <c r="J187" s="1181" t="str">
        <f t="shared" ca="1" si="54"/>
        <v>Panorama B.</v>
      </c>
      <c r="K187" s="1409" t="s">
        <v>2266</v>
      </c>
      <c r="M187" s="1434"/>
    </row>
    <row r="188" spans="1:13">
      <c r="A188" s="1406" t="s">
        <v>2944</v>
      </c>
      <c r="B188" s="1406" t="str">
        <f t="shared" si="49"/>
        <v>202502</v>
      </c>
      <c r="C188" s="1406" t="s">
        <v>2946</v>
      </c>
      <c r="D188" s="1403" t="str" cm="1">
        <f t="array" ref="D188">+INDEX('Panorama B.'!$F$11:$F$46,Base_Monet!H188)</f>
        <v>19..02.02.02.</v>
      </c>
      <c r="E188" s="1406">
        <f t="shared" si="50"/>
        <v>0</v>
      </c>
      <c r="F188" s="1811" cm="1">
        <f t="array" ref="F188">+INDEX('Panorama B.'!$F$11:$M$46,H188,Base_Monet!I188+2)</f>
        <v>0</v>
      </c>
      <c r="G188" s="1425" t="str">
        <f t="shared" si="67"/>
        <v>01</v>
      </c>
      <c r="H188" s="1402">
        <f t="shared" ref="H188" si="78">+H182+1</f>
        <v>32</v>
      </c>
      <c r="I188" s="1402">
        <f t="shared" si="64"/>
        <v>1</v>
      </c>
      <c r="J188" s="1406" t="str">
        <f t="shared" ca="1" si="54"/>
        <v>Panorama B.</v>
      </c>
      <c r="K188" s="1410" t="s">
        <v>2266</v>
      </c>
      <c r="L188" s="1405">
        <f t="shared" ref="L188" si="79">+L182+1</f>
        <v>32</v>
      </c>
      <c r="M188" s="1434"/>
    </row>
    <row r="189" spans="1:13">
      <c r="A189" s="1406" t="s">
        <v>2944</v>
      </c>
      <c r="B189" s="1406" t="str">
        <f t="shared" si="49"/>
        <v>202502</v>
      </c>
      <c r="C189" s="1406" t="s">
        <v>2946</v>
      </c>
      <c r="D189" s="1403" t="str" cm="1">
        <f t="array" ref="D189">+INDEX('Panorama B.'!$F$11:$F$46,Base_Monet!H189)</f>
        <v>19..02.02.02.</v>
      </c>
      <c r="E189" s="1406">
        <f t="shared" si="50"/>
        <v>0</v>
      </c>
      <c r="F189" s="1811" cm="1">
        <f t="array" ref="F189">+INDEX('Panorama B.'!$F$11:$M$46,H189,Base_Monet!I189+2)</f>
        <v>0</v>
      </c>
      <c r="G189" s="1425" t="str">
        <f t="shared" si="67"/>
        <v>02</v>
      </c>
      <c r="H189" s="1402">
        <f t="shared" ref="H189" si="80">+H188</f>
        <v>32</v>
      </c>
      <c r="I189" s="1402">
        <f t="shared" si="64"/>
        <v>2</v>
      </c>
      <c r="J189" s="1406" t="str">
        <f t="shared" ca="1" si="54"/>
        <v>Panorama B.</v>
      </c>
      <c r="K189" s="1410" t="s">
        <v>2266</v>
      </c>
      <c r="L189" s="1405"/>
      <c r="M189" s="1434"/>
    </row>
    <row r="190" spans="1:13">
      <c r="A190" s="1406" t="s">
        <v>2944</v>
      </c>
      <c r="B190" s="1406" t="str">
        <f t="shared" si="49"/>
        <v>202502</v>
      </c>
      <c r="C190" s="1406" t="s">
        <v>2946</v>
      </c>
      <c r="D190" s="1403" t="str" cm="1">
        <f t="array" ref="D190">+INDEX('Panorama B.'!$F$11:$F$46,Base_Monet!H190)</f>
        <v>19..02.02.02.</v>
      </c>
      <c r="E190" s="1406">
        <f t="shared" si="50"/>
        <v>0</v>
      </c>
      <c r="F190" s="1811" cm="1">
        <f t="array" ref="F190">+INDEX('Panorama B.'!$F$11:$M$46,H190,Base_Monet!I190+2)</f>
        <v>0</v>
      </c>
      <c r="G190" s="1425" t="str">
        <f t="shared" si="67"/>
        <v>03</v>
      </c>
      <c r="H190" s="1402">
        <f t="shared" si="63"/>
        <v>32</v>
      </c>
      <c r="I190" s="1402">
        <f t="shared" si="64"/>
        <v>3</v>
      </c>
      <c r="J190" s="1406" t="str">
        <f t="shared" ca="1" si="54"/>
        <v>Panorama B.</v>
      </c>
      <c r="K190" s="1410" t="s">
        <v>2266</v>
      </c>
      <c r="L190" s="1405"/>
      <c r="M190" s="1434"/>
    </row>
    <row r="191" spans="1:13">
      <c r="A191" s="1406" t="s">
        <v>2944</v>
      </c>
      <c r="B191" s="1406" t="str">
        <f t="shared" si="49"/>
        <v>202503</v>
      </c>
      <c r="C191" s="1406" t="s">
        <v>2945</v>
      </c>
      <c r="D191" s="1403" t="str" cm="1">
        <f t="array" ref="D191">+INDEX('Panorama B.'!$F$11:$F$46,Base_Monet!H191)</f>
        <v>19..02.02.02.</v>
      </c>
      <c r="E191" s="1406">
        <f t="shared" si="50"/>
        <v>0</v>
      </c>
      <c r="F191" s="1811" cm="1">
        <f t="array" ref="F191">+INDEX('Panorama B.'!$F$11:$M$46,H191,Base_Monet!I191+2)</f>
        <v>0</v>
      </c>
      <c r="G191" s="1425" t="str">
        <f t="shared" si="67"/>
        <v>04</v>
      </c>
      <c r="H191" s="1402">
        <f t="shared" si="63"/>
        <v>32</v>
      </c>
      <c r="I191" s="1402">
        <f t="shared" si="64"/>
        <v>4</v>
      </c>
      <c r="J191" s="1406" t="str">
        <f t="shared" ca="1" si="54"/>
        <v>Panorama B.</v>
      </c>
      <c r="K191" s="1410" t="s">
        <v>2266</v>
      </c>
      <c r="L191" s="1405"/>
      <c r="M191" s="1434"/>
    </row>
    <row r="192" spans="1:13">
      <c r="A192" s="1406" t="s">
        <v>2944</v>
      </c>
      <c r="B192" s="1406" t="str">
        <f t="shared" si="49"/>
        <v>202503</v>
      </c>
      <c r="C192" s="1406" t="s">
        <v>2945</v>
      </c>
      <c r="D192" s="1403" t="str" cm="1">
        <f t="array" ref="D192">+INDEX('Panorama B.'!$F$11:$F$46,Base_Monet!H192)</f>
        <v>19..02.02.02.</v>
      </c>
      <c r="E192" s="1406">
        <f t="shared" si="50"/>
        <v>0</v>
      </c>
      <c r="F192" s="1811" cm="1">
        <f t="array" ref="F192">+INDEX('Panorama B.'!$F$11:$M$46,H192,Base_Monet!I192+2)</f>
        <v>0</v>
      </c>
      <c r="G192" s="1425" t="str">
        <f t="shared" si="67"/>
        <v>05</v>
      </c>
      <c r="H192" s="1402">
        <f t="shared" si="63"/>
        <v>32</v>
      </c>
      <c r="I192" s="1402">
        <f t="shared" si="64"/>
        <v>5</v>
      </c>
      <c r="J192" s="1406" t="str">
        <f t="shared" ca="1" si="54"/>
        <v>Panorama B.</v>
      </c>
      <c r="K192" s="1410" t="s">
        <v>2266</v>
      </c>
      <c r="L192" s="1405"/>
      <c r="M192" s="1434"/>
    </row>
    <row r="193" spans="1:13">
      <c r="A193" s="1406" t="s">
        <v>2944</v>
      </c>
      <c r="B193" s="1406" t="str">
        <f t="shared" si="49"/>
        <v>202503</v>
      </c>
      <c r="C193" s="1406" t="s">
        <v>2945</v>
      </c>
      <c r="D193" s="1403" t="str" cm="1">
        <f t="array" ref="D193">+INDEX('Panorama B.'!$F$11:$F$46,Base_Monet!H193)</f>
        <v>19..02.02.02.</v>
      </c>
      <c r="E193" s="1406">
        <f t="shared" si="50"/>
        <v>0</v>
      </c>
      <c r="F193" s="1811" cm="1">
        <f t="array" ref="F193">+INDEX('Panorama B.'!$F$11:$M$46,H193,Base_Monet!I193+2)</f>
        <v>0</v>
      </c>
      <c r="G193" s="1425" t="str">
        <f t="shared" si="67"/>
        <v>06</v>
      </c>
      <c r="H193" s="1402">
        <f t="shared" si="63"/>
        <v>32</v>
      </c>
      <c r="I193" s="1402">
        <f t="shared" si="64"/>
        <v>6</v>
      </c>
      <c r="J193" s="1406" t="str">
        <f t="shared" ca="1" si="54"/>
        <v>Panorama B.</v>
      </c>
      <c r="K193" s="1410" t="s">
        <v>2266</v>
      </c>
      <c r="L193" s="1405"/>
      <c r="M193" s="1434"/>
    </row>
    <row r="194" spans="1:13">
      <c r="A194" s="1408" t="s">
        <v>2944</v>
      </c>
      <c r="B194" s="1408" t="str">
        <f t="shared" ref="B194:B257" si="81">+IF(C194="v2",IF(TRIM&gt;1,ANUAL&amp;"0"&amp;(TRIM-1),(ANUAL-1)&amp;"04"),ANUAL&amp;"0"&amp;TRIM)</f>
        <v>202502</v>
      </c>
      <c r="C194" s="1181" t="s">
        <v>2946</v>
      </c>
      <c r="D194" s="1401" t="str" cm="1">
        <f t="array" ref="D194">+INDEX('Panorama B.'!$F$11:$F$46,Base_Monet!H194)</f>
        <v>19..02.02.02.01.</v>
      </c>
      <c r="E194" s="1181">
        <f t="shared" ref="E194:E221" si="82">RUC</f>
        <v>0</v>
      </c>
      <c r="F194" s="1810" cm="1">
        <f t="array" ref="F194">+INDEX('Panorama B.'!$F$11:$M$46,H194,Base_Monet!I194+2)</f>
        <v>0</v>
      </c>
      <c r="G194" s="1424" t="str">
        <f t="shared" si="67"/>
        <v>01</v>
      </c>
      <c r="H194" s="12">
        <f t="shared" ref="H194" si="83">+H188+1</f>
        <v>33</v>
      </c>
      <c r="I194" s="12">
        <f t="shared" si="64"/>
        <v>1</v>
      </c>
      <c r="J194" s="1181" t="str">
        <f t="shared" ca="1" si="54"/>
        <v>Panorama B.</v>
      </c>
      <c r="K194" s="1409" t="s">
        <v>2266</v>
      </c>
      <c r="L194" s="1399">
        <f t="shared" ref="L194" si="84">+L188+1</f>
        <v>33</v>
      </c>
      <c r="M194" s="1434"/>
    </row>
    <row r="195" spans="1:13">
      <c r="A195" s="1408" t="s">
        <v>2944</v>
      </c>
      <c r="B195" s="1408" t="str">
        <f t="shared" si="81"/>
        <v>202502</v>
      </c>
      <c r="C195" s="1181" t="s">
        <v>2946</v>
      </c>
      <c r="D195" s="1401" t="str" cm="1">
        <f t="array" ref="D195">+INDEX('Panorama B.'!$F$11:$F$46,Base_Monet!H195)</f>
        <v>19..02.02.02.01.</v>
      </c>
      <c r="E195" s="1181">
        <f t="shared" si="82"/>
        <v>0</v>
      </c>
      <c r="F195" s="1810" cm="1">
        <f t="array" ref="F195">+INDEX('Panorama B.'!$F$11:$M$46,H195,Base_Monet!I195+2)</f>
        <v>0</v>
      </c>
      <c r="G195" s="1424" t="str">
        <f t="shared" si="67"/>
        <v>02</v>
      </c>
      <c r="H195" s="12">
        <f t="shared" ref="H195" si="85">+H194</f>
        <v>33</v>
      </c>
      <c r="I195" s="12">
        <f t="shared" si="64"/>
        <v>2</v>
      </c>
      <c r="J195" s="1181" t="str">
        <f t="shared" ca="1" si="54"/>
        <v>Panorama B.</v>
      </c>
      <c r="K195" s="1409" t="s">
        <v>2266</v>
      </c>
      <c r="M195" s="1434"/>
    </row>
    <row r="196" spans="1:13">
      <c r="A196" s="1408" t="s">
        <v>2944</v>
      </c>
      <c r="B196" s="1408" t="str">
        <f t="shared" si="81"/>
        <v>202502</v>
      </c>
      <c r="C196" s="1181" t="s">
        <v>2946</v>
      </c>
      <c r="D196" s="1401" t="str" cm="1">
        <f t="array" ref="D196">+INDEX('Panorama B.'!$F$11:$F$46,Base_Monet!H196)</f>
        <v>19..02.02.02.01.</v>
      </c>
      <c r="E196" s="1181">
        <f t="shared" si="82"/>
        <v>0</v>
      </c>
      <c r="F196" s="1810" cm="1">
        <f t="array" ref="F196">+INDEX('Panorama B.'!$F$11:$M$46,H196,Base_Monet!I196+2)</f>
        <v>0</v>
      </c>
      <c r="G196" s="1424" t="str">
        <f t="shared" si="67"/>
        <v>03</v>
      </c>
      <c r="H196" s="12">
        <f t="shared" si="63"/>
        <v>33</v>
      </c>
      <c r="I196" s="12">
        <f t="shared" si="64"/>
        <v>3</v>
      </c>
      <c r="J196" s="1181" t="str">
        <f t="shared" ca="1" si="54"/>
        <v>Panorama B.</v>
      </c>
      <c r="K196" s="1409" t="s">
        <v>2266</v>
      </c>
      <c r="M196" s="1434"/>
    </row>
    <row r="197" spans="1:13">
      <c r="A197" s="1408" t="s">
        <v>2944</v>
      </c>
      <c r="B197" s="1408" t="str">
        <f t="shared" si="81"/>
        <v>202503</v>
      </c>
      <c r="C197" s="1181" t="s">
        <v>2945</v>
      </c>
      <c r="D197" s="1401" t="str" cm="1">
        <f t="array" ref="D197">+INDEX('Panorama B.'!$F$11:$F$46,Base_Monet!H197)</f>
        <v>19..02.02.02.01.</v>
      </c>
      <c r="E197" s="1181">
        <f t="shared" si="82"/>
        <v>0</v>
      </c>
      <c r="F197" s="1810" cm="1">
        <f t="array" ref="F197">+INDEX('Panorama B.'!$F$11:$M$46,H197,Base_Monet!I197+2)</f>
        <v>0</v>
      </c>
      <c r="G197" s="1424" t="str">
        <f t="shared" si="67"/>
        <v>04</v>
      </c>
      <c r="H197" s="12">
        <f t="shared" si="63"/>
        <v>33</v>
      </c>
      <c r="I197" s="12">
        <f t="shared" si="64"/>
        <v>4</v>
      </c>
      <c r="J197" s="1181" t="str">
        <f t="shared" ca="1" si="54"/>
        <v>Panorama B.</v>
      </c>
      <c r="K197" s="1409" t="s">
        <v>2266</v>
      </c>
      <c r="M197" s="1434"/>
    </row>
    <row r="198" spans="1:13">
      <c r="A198" s="1408" t="s">
        <v>2944</v>
      </c>
      <c r="B198" s="1408" t="str">
        <f t="shared" si="81"/>
        <v>202503</v>
      </c>
      <c r="C198" s="1181" t="s">
        <v>2945</v>
      </c>
      <c r="D198" s="1401" t="str" cm="1">
        <f t="array" ref="D198">+INDEX('Panorama B.'!$F$11:$F$46,Base_Monet!H198)</f>
        <v>19..02.02.02.01.</v>
      </c>
      <c r="E198" s="1181">
        <f t="shared" si="82"/>
        <v>0</v>
      </c>
      <c r="F198" s="1810" cm="1">
        <f t="array" ref="F198">+INDEX('Panorama B.'!$F$11:$M$46,H198,Base_Monet!I198+2)</f>
        <v>0</v>
      </c>
      <c r="G198" s="1424" t="str">
        <f t="shared" si="67"/>
        <v>05</v>
      </c>
      <c r="H198" s="12">
        <f t="shared" si="63"/>
        <v>33</v>
      </c>
      <c r="I198" s="12">
        <f t="shared" si="64"/>
        <v>5</v>
      </c>
      <c r="J198" s="1181" t="str">
        <f t="shared" ca="1" si="54"/>
        <v>Panorama B.</v>
      </c>
      <c r="K198" s="1409" t="s">
        <v>2266</v>
      </c>
      <c r="M198" s="1434"/>
    </row>
    <row r="199" spans="1:13">
      <c r="A199" s="1408" t="s">
        <v>2944</v>
      </c>
      <c r="B199" s="1408" t="str">
        <f t="shared" si="81"/>
        <v>202503</v>
      </c>
      <c r="C199" s="1181" t="s">
        <v>2945</v>
      </c>
      <c r="D199" s="1401" t="str" cm="1">
        <f t="array" ref="D199">+INDEX('Panorama B.'!$F$11:$F$46,Base_Monet!H199)</f>
        <v>19..02.02.02.01.</v>
      </c>
      <c r="E199" s="1181">
        <f t="shared" si="82"/>
        <v>0</v>
      </c>
      <c r="F199" s="1810" cm="1">
        <f t="array" ref="F199">+INDEX('Panorama B.'!$F$11:$M$46,H199,Base_Monet!I199+2)</f>
        <v>0</v>
      </c>
      <c r="G199" s="1424" t="str">
        <f t="shared" si="67"/>
        <v>06</v>
      </c>
      <c r="H199" s="12">
        <f t="shared" si="63"/>
        <v>33</v>
      </c>
      <c r="I199" s="12">
        <f t="shared" si="64"/>
        <v>6</v>
      </c>
      <c r="J199" s="1181" t="str">
        <f t="shared" ref="J199:J221" ca="1" si="86">+J198</f>
        <v>Panorama B.</v>
      </c>
      <c r="K199" s="1409" t="s">
        <v>2266</v>
      </c>
      <c r="M199" s="1434"/>
    </row>
    <row r="200" spans="1:13">
      <c r="A200" s="1406" t="s">
        <v>2944</v>
      </c>
      <c r="B200" s="1406" t="str">
        <f t="shared" si="81"/>
        <v>202502</v>
      </c>
      <c r="C200" s="1406" t="s">
        <v>2946</v>
      </c>
      <c r="D200" s="1403" t="str" cm="1">
        <f t="array" ref="D200">+INDEX('Panorama B.'!$F$11:$F$46,Base_Monet!H200)</f>
        <v>19..02.02.02.02.</v>
      </c>
      <c r="E200" s="1406">
        <f t="shared" si="82"/>
        <v>0</v>
      </c>
      <c r="F200" s="1811" cm="1">
        <f t="array" ref="F200">+INDEX('Panorama B.'!$F$11:$M$46,H200,Base_Monet!I200+2)</f>
        <v>0</v>
      </c>
      <c r="G200" s="1425" t="str">
        <f t="shared" si="67"/>
        <v>01</v>
      </c>
      <c r="H200" s="1402">
        <f t="shared" ref="H200" si="87">+H194+1</f>
        <v>34</v>
      </c>
      <c r="I200" s="1402">
        <f t="shared" si="64"/>
        <v>1</v>
      </c>
      <c r="J200" s="1406" t="str">
        <f t="shared" ca="1" si="86"/>
        <v>Panorama B.</v>
      </c>
      <c r="K200" s="1410" t="s">
        <v>2266</v>
      </c>
      <c r="L200" s="1405">
        <f t="shared" ref="L200" si="88">+L194+1</f>
        <v>34</v>
      </c>
      <c r="M200" s="1434"/>
    </row>
    <row r="201" spans="1:13">
      <c r="A201" s="1406" t="s">
        <v>2944</v>
      </c>
      <c r="B201" s="1406" t="str">
        <f t="shared" si="81"/>
        <v>202502</v>
      </c>
      <c r="C201" s="1406" t="s">
        <v>2946</v>
      </c>
      <c r="D201" s="1403" t="str" cm="1">
        <f t="array" ref="D201">+INDEX('Panorama B.'!$F$11:$F$46,Base_Monet!H201)</f>
        <v>19..02.02.02.02.</v>
      </c>
      <c r="E201" s="1406">
        <f t="shared" si="82"/>
        <v>0</v>
      </c>
      <c r="F201" s="1811" cm="1">
        <f t="array" ref="F201">+INDEX('Panorama B.'!$F$11:$M$46,H201,Base_Monet!I201+2)</f>
        <v>0</v>
      </c>
      <c r="G201" s="1425" t="str">
        <f t="shared" si="67"/>
        <v>02</v>
      </c>
      <c r="H201" s="1402">
        <f t="shared" ref="H201:H205" si="89">+H200</f>
        <v>34</v>
      </c>
      <c r="I201" s="1402">
        <f t="shared" si="64"/>
        <v>2</v>
      </c>
      <c r="J201" s="1406" t="str">
        <f t="shared" ca="1" si="86"/>
        <v>Panorama B.</v>
      </c>
      <c r="K201" s="1410" t="s">
        <v>2266</v>
      </c>
      <c r="L201" s="1405"/>
      <c r="M201" s="1434"/>
    </row>
    <row r="202" spans="1:13">
      <c r="A202" s="1406" t="s">
        <v>2944</v>
      </c>
      <c r="B202" s="1406" t="str">
        <f t="shared" si="81"/>
        <v>202502</v>
      </c>
      <c r="C202" s="1406" t="s">
        <v>2946</v>
      </c>
      <c r="D202" s="1403" t="str" cm="1">
        <f t="array" ref="D202">+INDEX('Panorama B.'!$F$11:$F$46,Base_Monet!H202)</f>
        <v>19..02.02.02.02.</v>
      </c>
      <c r="E202" s="1406">
        <f t="shared" si="82"/>
        <v>0</v>
      </c>
      <c r="F202" s="1811" cm="1">
        <f t="array" ref="F202">+INDEX('Panorama B.'!$F$11:$M$46,H202,Base_Monet!I202+2)</f>
        <v>0</v>
      </c>
      <c r="G202" s="1425" t="str">
        <f t="shared" si="67"/>
        <v>03</v>
      </c>
      <c r="H202" s="1402">
        <f t="shared" si="89"/>
        <v>34</v>
      </c>
      <c r="I202" s="1402">
        <f t="shared" si="64"/>
        <v>3</v>
      </c>
      <c r="J202" s="1406" t="str">
        <f t="shared" ca="1" si="86"/>
        <v>Panorama B.</v>
      </c>
      <c r="K202" s="1410" t="s">
        <v>2266</v>
      </c>
      <c r="L202" s="1405"/>
      <c r="M202" s="1434"/>
    </row>
    <row r="203" spans="1:13">
      <c r="A203" s="1406" t="s">
        <v>2944</v>
      </c>
      <c r="B203" s="1406" t="str">
        <f t="shared" si="81"/>
        <v>202503</v>
      </c>
      <c r="C203" s="1406" t="s">
        <v>2945</v>
      </c>
      <c r="D203" s="1403" t="str" cm="1">
        <f t="array" ref="D203">+INDEX('Panorama B.'!$F$11:$F$46,Base_Monet!H203)</f>
        <v>19..02.02.02.02.</v>
      </c>
      <c r="E203" s="1406">
        <f t="shared" si="82"/>
        <v>0</v>
      </c>
      <c r="F203" s="1811" cm="1">
        <f t="array" ref="F203">+INDEX('Panorama B.'!$F$11:$M$46,H203,Base_Monet!I203+2)</f>
        <v>0</v>
      </c>
      <c r="G203" s="1425" t="str">
        <f t="shared" si="67"/>
        <v>04</v>
      </c>
      <c r="H203" s="1402">
        <f t="shared" si="89"/>
        <v>34</v>
      </c>
      <c r="I203" s="1402">
        <f t="shared" si="64"/>
        <v>4</v>
      </c>
      <c r="J203" s="1406" t="str">
        <f t="shared" ca="1" si="86"/>
        <v>Panorama B.</v>
      </c>
      <c r="K203" s="1410" t="s">
        <v>2266</v>
      </c>
      <c r="L203" s="1405"/>
      <c r="M203" s="1434"/>
    </row>
    <row r="204" spans="1:13">
      <c r="A204" s="1406" t="s">
        <v>2944</v>
      </c>
      <c r="B204" s="1406" t="str">
        <f t="shared" si="81"/>
        <v>202503</v>
      </c>
      <c r="C204" s="1406" t="s">
        <v>2945</v>
      </c>
      <c r="D204" s="1403" t="str" cm="1">
        <f t="array" ref="D204">+INDEX('Panorama B.'!$F$11:$F$46,Base_Monet!H204)</f>
        <v>19..02.02.02.02.</v>
      </c>
      <c r="E204" s="1406">
        <f t="shared" si="82"/>
        <v>0</v>
      </c>
      <c r="F204" s="1811" cm="1">
        <f t="array" ref="F204">+INDEX('Panorama B.'!$F$11:$M$46,H204,Base_Monet!I204+2)</f>
        <v>0</v>
      </c>
      <c r="G204" s="1425" t="str">
        <f t="shared" si="67"/>
        <v>05</v>
      </c>
      <c r="H204" s="1402">
        <f t="shared" si="89"/>
        <v>34</v>
      </c>
      <c r="I204" s="1402">
        <f t="shared" si="64"/>
        <v>5</v>
      </c>
      <c r="J204" s="1406" t="str">
        <f t="shared" ca="1" si="86"/>
        <v>Panorama B.</v>
      </c>
      <c r="K204" s="1410" t="s">
        <v>2266</v>
      </c>
      <c r="L204" s="1405"/>
      <c r="M204" s="1434"/>
    </row>
    <row r="205" spans="1:13">
      <c r="A205" s="1406" t="s">
        <v>2944</v>
      </c>
      <c r="B205" s="1406" t="str">
        <f t="shared" si="81"/>
        <v>202503</v>
      </c>
      <c r="C205" s="1406" t="s">
        <v>2945</v>
      </c>
      <c r="D205" s="1403" t="str" cm="1">
        <f t="array" ref="D205">+INDEX('Panorama B.'!$F$11:$F$46,Base_Monet!H205)</f>
        <v>19..02.02.02.02.</v>
      </c>
      <c r="E205" s="1406">
        <f t="shared" si="82"/>
        <v>0</v>
      </c>
      <c r="F205" s="1811" cm="1">
        <f t="array" ref="F205">+INDEX('Panorama B.'!$F$11:$M$46,H205,Base_Monet!I205+2)</f>
        <v>0</v>
      </c>
      <c r="G205" s="1425" t="str">
        <f t="shared" si="67"/>
        <v>06</v>
      </c>
      <c r="H205" s="1402">
        <f t="shared" si="89"/>
        <v>34</v>
      </c>
      <c r="I205" s="1402">
        <f t="shared" si="64"/>
        <v>6</v>
      </c>
      <c r="J205" s="1406" t="str">
        <f t="shared" ca="1" si="86"/>
        <v>Panorama B.</v>
      </c>
      <c r="K205" s="1410" t="s">
        <v>2266</v>
      </c>
      <c r="L205" s="1405"/>
      <c r="M205" s="1434"/>
    </row>
    <row r="206" spans="1:13">
      <c r="A206" s="1408" t="s">
        <v>2944</v>
      </c>
      <c r="B206" s="1408" t="str">
        <f t="shared" si="81"/>
        <v>202502</v>
      </c>
      <c r="C206" s="1181" t="s">
        <v>2946</v>
      </c>
      <c r="D206" s="1401" t="str" cm="1">
        <f t="array" ref="D206">+INDEX('Panorama B.'!$F$11:$F$46,Base_Monet!H206)</f>
        <v>19..02.02.03.</v>
      </c>
      <c r="E206" s="1181">
        <f t="shared" si="82"/>
        <v>0</v>
      </c>
      <c r="F206" s="1810" cm="1">
        <f t="array" ref="F206">+INDEX('Panorama B.'!$F$11:$M$46,H206,Base_Monet!I206+2)</f>
        <v>0</v>
      </c>
      <c r="G206" s="1424" t="str">
        <f t="shared" si="67"/>
        <v>01</v>
      </c>
      <c r="H206" s="12">
        <f t="shared" ref="H206" si="90">+H200+1</f>
        <v>35</v>
      </c>
      <c r="I206" s="12">
        <f t="shared" si="64"/>
        <v>1</v>
      </c>
      <c r="J206" s="1181" t="str">
        <f t="shared" ca="1" si="86"/>
        <v>Panorama B.</v>
      </c>
      <c r="K206" s="1409" t="s">
        <v>2266</v>
      </c>
      <c r="L206" s="1399">
        <f t="shared" ref="L206" si="91">+L200+1</f>
        <v>35</v>
      </c>
      <c r="M206" s="1434"/>
    </row>
    <row r="207" spans="1:13">
      <c r="A207" s="1408" t="s">
        <v>2944</v>
      </c>
      <c r="B207" s="1408" t="str">
        <f t="shared" si="81"/>
        <v>202502</v>
      </c>
      <c r="C207" s="1181" t="s">
        <v>2946</v>
      </c>
      <c r="D207" s="1401" t="str" cm="1">
        <f t="array" ref="D207">+INDEX('Panorama B.'!$F$11:$F$46,Base_Monet!H207)</f>
        <v>19..02.02.03.</v>
      </c>
      <c r="E207" s="1181">
        <f t="shared" si="82"/>
        <v>0</v>
      </c>
      <c r="F207" s="1810" cm="1">
        <f t="array" ref="F207">+INDEX('Panorama B.'!$F$11:$M$46,H207,Base_Monet!I207+2)</f>
        <v>0</v>
      </c>
      <c r="G207" s="1424" t="str">
        <f t="shared" si="67"/>
        <v>02</v>
      </c>
      <c r="H207" s="12">
        <f t="shared" ref="H207:H211" si="92">+H206</f>
        <v>35</v>
      </c>
      <c r="I207" s="12">
        <f t="shared" si="64"/>
        <v>2</v>
      </c>
      <c r="J207" s="1181" t="str">
        <f t="shared" ca="1" si="86"/>
        <v>Panorama B.</v>
      </c>
      <c r="K207" s="1409" t="s">
        <v>2266</v>
      </c>
      <c r="M207" s="1434"/>
    </row>
    <row r="208" spans="1:13">
      <c r="A208" s="1408" t="s">
        <v>2944</v>
      </c>
      <c r="B208" s="1408" t="str">
        <f t="shared" si="81"/>
        <v>202502</v>
      </c>
      <c r="C208" s="1181" t="s">
        <v>2946</v>
      </c>
      <c r="D208" s="1401" t="str" cm="1">
        <f t="array" ref="D208">+INDEX('Panorama B.'!$F$11:$F$46,Base_Monet!H208)</f>
        <v>19..02.02.03.</v>
      </c>
      <c r="E208" s="1181">
        <f t="shared" si="82"/>
        <v>0</v>
      </c>
      <c r="F208" s="1810" cm="1">
        <f t="array" ref="F208">+INDEX('Panorama B.'!$F$11:$M$46,H208,Base_Monet!I208+2)</f>
        <v>0</v>
      </c>
      <c r="G208" s="1424" t="str">
        <f t="shared" si="67"/>
        <v>03</v>
      </c>
      <c r="H208" s="12">
        <f t="shared" si="92"/>
        <v>35</v>
      </c>
      <c r="I208" s="12">
        <f t="shared" si="64"/>
        <v>3</v>
      </c>
      <c r="J208" s="1181" t="str">
        <f t="shared" ca="1" si="86"/>
        <v>Panorama B.</v>
      </c>
      <c r="K208" s="1409" t="s">
        <v>2266</v>
      </c>
      <c r="M208" s="1434"/>
    </row>
    <row r="209" spans="1:13">
      <c r="A209" s="1408" t="s">
        <v>2944</v>
      </c>
      <c r="B209" s="1408" t="str">
        <f t="shared" si="81"/>
        <v>202503</v>
      </c>
      <c r="C209" s="1181" t="s">
        <v>2945</v>
      </c>
      <c r="D209" s="1401" t="str" cm="1">
        <f t="array" ref="D209">+INDEX('Panorama B.'!$F$11:$F$46,Base_Monet!H209)</f>
        <v>19..02.02.03.</v>
      </c>
      <c r="E209" s="1181">
        <f t="shared" si="82"/>
        <v>0</v>
      </c>
      <c r="F209" s="1810" cm="1">
        <f t="array" ref="F209">+INDEX('Panorama B.'!$F$11:$M$46,H209,Base_Monet!I209+2)</f>
        <v>0</v>
      </c>
      <c r="G209" s="1424" t="str">
        <f t="shared" si="67"/>
        <v>04</v>
      </c>
      <c r="H209" s="12">
        <f t="shared" si="92"/>
        <v>35</v>
      </c>
      <c r="I209" s="12">
        <f t="shared" si="64"/>
        <v>4</v>
      </c>
      <c r="J209" s="1181" t="str">
        <f t="shared" ca="1" si="86"/>
        <v>Panorama B.</v>
      </c>
      <c r="K209" s="1409" t="s">
        <v>2266</v>
      </c>
      <c r="M209" s="1434"/>
    </row>
    <row r="210" spans="1:13">
      <c r="A210" s="1408" t="s">
        <v>2944</v>
      </c>
      <c r="B210" s="1408" t="str">
        <f t="shared" si="81"/>
        <v>202503</v>
      </c>
      <c r="C210" s="1181" t="s">
        <v>2945</v>
      </c>
      <c r="D210" s="1401" t="str" cm="1">
        <f t="array" ref="D210">+INDEX('Panorama B.'!$F$11:$F$46,Base_Monet!H210)</f>
        <v>19..02.02.03.</v>
      </c>
      <c r="E210" s="1181">
        <f t="shared" si="82"/>
        <v>0</v>
      </c>
      <c r="F210" s="1810" cm="1">
        <f t="array" ref="F210">+INDEX('Panorama B.'!$F$11:$M$46,H210,Base_Monet!I210+2)</f>
        <v>0</v>
      </c>
      <c r="G210" s="1424" t="str">
        <f t="shared" si="67"/>
        <v>05</v>
      </c>
      <c r="H210" s="12">
        <f t="shared" si="92"/>
        <v>35</v>
      </c>
      <c r="I210" s="12">
        <f t="shared" si="64"/>
        <v>5</v>
      </c>
      <c r="J210" s="1181" t="str">
        <f t="shared" ca="1" si="86"/>
        <v>Panorama B.</v>
      </c>
      <c r="K210" s="1409" t="s">
        <v>2266</v>
      </c>
      <c r="M210" s="1434"/>
    </row>
    <row r="211" spans="1:13">
      <c r="A211" s="1408" t="s">
        <v>2944</v>
      </c>
      <c r="B211" s="1408" t="str">
        <f t="shared" si="81"/>
        <v>202503</v>
      </c>
      <c r="C211" s="1181" t="s">
        <v>2945</v>
      </c>
      <c r="D211" s="1401" t="str" cm="1">
        <f t="array" ref="D211">+INDEX('Panorama B.'!$F$11:$F$46,Base_Monet!H211)</f>
        <v>19..02.02.03.</v>
      </c>
      <c r="E211" s="1181">
        <f t="shared" si="82"/>
        <v>0</v>
      </c>
      <c r="F211" s="1810" cm="1">
        <f t="array" ref="F211">+INDEX('Panorama B.'!$F$11:$M$46,H211,Base_Monet!I211+2)</f>
        <v>0</v>
      </c>
      <c r="G211" s="1424" t="str">
        <f t="shared" si="67"/>
        <v>06</v>
      </c>
      <c r="H211" s="12">
        <f t="shared" si="92"/>
        <v>35</v>
      </c>
      <c r="I211" s="12">
        <f t="shared" si="64"/>
        <v>6</v>
      </c>
      <c r="J211" s="1181" t="str">
        <f t="shared" ca="1" si="86"/>
        <v>Panorama B.</v>
      </c>
      <c r="K211" s="1409" t="s">
        <v>2266</v>
      </c>
      <c r="M211" s="1434"/>
    </row>
    <row r="212" spans="1:13">
      <c r="A212" s="1406" t="s">
        <v>2944</v>
      </c>
      <c r="B212" s="1406" t="str">
        <f t="shared" si="81"/>
        <v>202502</v>
      </c>
      <c r="C212" s="1406" t="s">
        <v>2946</v>
      </c>
      <c r="D212" s="1403" t="str" cm="1">
        <f t="array" ref="D212">+INDEX('Panorama B.'!$F$11:$F$46,Base_Monet!H212)</f>
        <v>19..99.</v>
      </c>
      <c r="E212" s="1406">
        <f t="shared" si="82"/>
        <v>0</v>
      </c>
      <c r="F212" s="1811" cm="1">
        <f t="array" ref="F212">+INDEX('Panorama B.'!$F$11:$M$46,H212,Base_Monet!I212+2)</f>
        <v>0</v>
      </c>
      <c r="G212" s="1425" t="str">
        <f t="shared" si="67"/>
        <v>01</v>
      </c>
      <c r="H212" s="1402">
        <f t="shared" ref="H212" si="93">+H206+1</f>
        <v>36</v>
      </c>
      <c r="I212" s="1402">
        <f t="shared" si="64"/>
        <v>1</v>
      </c>
      <c r="J212" s="1406" t="str">
        <f t="shared" ca="1" si="86"/>
        <v>Panorama B.</v>
      </c>
      <c r="K212" s="1410" t="s">
        <v>2266</v>
      </c>
      <c r="L212" s="1405">
        <f t="shared" ref="L212" si="94">+L206+1</f>
        <v>36</v>
      </c>
      <c r="M212" s="1434"/>
    </row>
    <row r="213" spans="1:13">
      <c r="A213" s="1406" t="s">
        <v>2944</v>
      </c>
      <c r="B213" s="1406" t="str">
        <f t="shared" si="81"/>
        <v>202502</v>
      </c>
      <c r="C213" s="1406" t="s">
        <v>2946</v>
      </c>
      <c r="D213" s="1403" t="str" cm="1">
        <f t="array" ref="D213">+INDEX('Panorama B.'!$F$11:$F$46,Base_Monet!H213)</f>
        <v>19..99.</v>
      </c>
      <c r="E213" s="1406">
        <f t="shared" si="82"/>
        <v>0</v>
      </c>
      <c r="F213" s="1811" cm="1">
        <f t="array" ref="F213">+INDEX('Panorama B.'!$F$11:$M$46,H213,Base_Monet!I213+2)</f>
        <v>0</v>
      </c>
      <c r="G213" s="1425" t="str">
        <f t="shared" si="67"/>
        <v>02</v>
      </c>
      <c r="H213" s="1402">
        <f t="shared" ref="H213:H217" si="95">+H212</f>
        <v>36</v>
      </c>
      <c r="I213" s="1402">
        <f t="shared" si="64"/>
        <v>2</v>
      </c>
      <c r="J213" s="1406" t="str">
        <f t="shared" ca="1" si="86"/>
        <v>Panorama B.</v>
      </c>
      <c r="K213" s="1410" t="s">
        <v>2266</v>
      </c>
      <c r="L213" s="1405"/>
      <c r="M213" s="1434"/>
    </row>
    <row r="214" spans="1:13">
      <c r="A214" s="1406" t="s">
        <v>2944</v>
      </c>
      <c r="B214" s="1406" t="str">
        <f t="shared" si="81"/>
        <v>202502</v>
      </c>
      <c r="C214" s="1406" t="s">
        <v>2946</v>
      </c>
      <c r="D214" s="1403" t="str" cm="1">
        <f t="array" ref="D214">+INDEX('Panorama B.'!$F$11:$F$46,Base_Monet!H214)</f>
        <v>19..99.</v>
      </c>
      <c r="E214" s="1406">
        <f t="shared" si="82"/>
        <v>0</v>
      </c>
      <c r="F214" s="1811" cm="1">
        <f t="array" ref="F214">+INDEX('Panorama B.'!$F$11:$M$46,H214,Base_Monet!I214+2)</f>
        <v>0</v>
      </c>
      <c r="G214" s="1425" t="str">
        <f t="shared" si="67"/>
        <v>03</v>
      </c>
      <c r="H214" s="1402">
        <f t="shared" si="95"/>
        <v>36</v>
      </c>
      <c r="I214" s="1402">
        <f t="shared" si="64"/>
        <v>3</v>
      </c>
      <c r="J214" s="1406" t="str">
        <f t="shared" ca="1" si="86"/>
        <v>Panorama B.</v>
      </c>
      <c r="K214" s="1410" t="s">
        <v>2266</v>
      </c>
      <c r="L214" s="1405"/>
      <c r="M214" s="1434"/>
    </row>
    <row r="215" spans="1:13">
      <c r="A215" s="1406" t="s">
        <v>2944</v>
      </c>
      <c r="B215" s="1406" t="str">
        <f t="shared" si="81"/>
        <v>202503</v>
      </c>
      <c r="C215" s="1406" t="s">
        <v>2945</v>
      </c>
      <c r="D215" s="1403" t="str" cm="1">
        <f t="array" ref="D215">+INDEX('Panorama B.'!$F$11:$F$46,Base_Monet!H215)</f>
        <v>19..99.</v>
      </c>
      <c r="E215" s="1406">
        <f t="shared" si="82"/>
        <v>0</v>
      </c>
      <c r="F215" s="1811" cm="1">
        <f t="array" ref="F215">+INDEX('Panorama B.'!$F$11:$M$46,H215,Base_Monet!I215+2)</f>
        <v>0</v>
      </c>
      <c r="G215" s="1425" t="str">
        <f t="shared" si="67"/>
        <v>04</v>
      </c>
      <c r="H215" s="1402">
        <f t="shared" si="95"/>
        <v>36</v>
      </c>
      <c r="I215" s="1402">
        <f t="shared" si="64"/>
        <v>4</v>
      </c>
      <c r="J215" s="1406" t="str">
        <f t="shared" ca="1" si="86"/>
        <v>Panorama B.</v>
      </c>
      <c r="K215" s="1410" t="s">
        <v>2266</v>
      </c>
      <c r="L215" s="1405"/>
      <c r="M215" s="1434"/>
    </row>
    <row r="216" spans="1:13">
      <c r="A216" s="1406" t="s">
        <v>2944</v>
      </c>
      <c r="B216" s="1406" t="str">
        <f t="shared" si="81"/>
        <v>202503</v>
      </c>
      <c r="C216" s="1406" t="s">
        <v>2945</v>
      </c>
      <c r="D216" s="1403" t="str" cm="1">
        <f t="array" ref="D216">+INDEX('Panorama B.'!$F$11:$F$46,Base_Monet!H216)</f>
        <v>19..99.</v>
      </c>
      <c r="E216" s="1406">
        <f t="shared" si="82"/>
        <v>0</v>
      </c>
      <c r="F216" s="1811" cm="1">
        <f t="array" ref="F216">+INDEX('Panorama B.'!$F$11:$M$46,H216,Base_Monet!I216+2)</f>
        <v>0</v>
      </c>
      <c r="G216" s="1425" t="str">
        <f t="shared" si="67"/>
        <v>05</v>
      </c>
      <c r="H216" s="1402">
        <f t="shared" si="95"/>
        <v>36</v>
      </c>
      <c r="I216" s="1402">
        <f t="shared" si="64"/>
        <v>5</v>
      </c>
      <c r="J216" s="1406" t="str">
        <f t="shared" ca="1" si="86"/>
        <v>Panorama B.</v>
      </c>
      <c r="K216" s="1410" t="s">
        <v>2266</v>
      </c>
      <c r="L216" s="1405"/>
      <c r="M216" s="1434"/>
    </row>
    <row r="217" spans="1:13" s="1182" customFormat="1">
      <c r="A217" s="1797" t="s">
        <v>2944</v>
      </c>
      <c r="B217" s="1797" t="str">
        <f t="shared" si="81"/>
        <v>202503</v>
      </c>
      <c r="C217" s="1797" t="s">
        <v>2945</v>
      </c>
      <c r="D217" s="1805" t="str" cm="1">
        <f t="array" ref="D217">+INDEX('Panorama B.'!$F$11:$F$46,Base_Monet!H217)</f>
        <v>19..99.</v>
      </c>
      <c r="E217" s="1797">
        <f t="shared" si="82"/>
        <v>0</v>
      </c>
      <c r="F217" s="1812" cm="1">
        <f t="array" ref="F217">+INDEX('Panorama B.'!$F$11:$M$46,H217,Base_Monet!I217+2)</f>
        <v>0</v>
      </c>
      <c r="G217" s="1806" t="str">
        <f t="shared" si="67"/>
        <v>06</v>
      </c>
      <c r="H217" s="1795">
        <f t="shared" si="95"/>
        <v>36</v>
      </c>
      <c r="I217" s="1795">
        <f t="shared" si="64"/>
        <v>6</v>
      </c>
      <c r="J217" s="1797" t="str">
        <f t="shared" ca="1" si="86"/>
        <v>Panorama B.</v>
      </c>
      <c r="K217" s="1807" t="s">
        <v>2266</v>
      </c>
      <c r="L217" s="1808"/>
      <c r="M217" s="1804"/>
    </row>
    <row r="218" spans="1:13">
      <c r="A218" s="1408" t="s">
        <v>2944</v>
      </c>
      <c r="B218" s="1408" t="str">
        <f t="shared" si="81"/>
        <v>202502</v>
      </c>
      <c r="C218" s="1181" t="s">
        <v>2946</v>
      </c>
      <c r="D218" s="1401" t="s">
        <v>4466</v>
      </c>
      <c r="E218" s="1181">
        <f t="shared" si="82"/>
        <v>0</v>
      </c>
      <c r="F218" s="1810">
        <f>+'Panorama B.'!H50</f>
        <v>0</v>
      </c>
      <c r="G218" s="1424" t="s">
        <v>2254</v>
      </c>
      <c r="H218" s="12">
        <v>37</v>
      </c>
      <c r="I218" s="12">
        <v>1</v>
      </c>
      <c r="J218" s="1181" t="str">
        <f t="shared" ca="1" si="86"/>
        <v>Panorama B.</v>
      </c>
      <c r="K218" s="1409" t="s">
        <v>2267</v>
      </c>
      <c r="L218" s="1399">
        <f>+L212+1</f>
        <v>37</v>
      </c>
      <c r="M218" s="1434"/>
    </row>
    <row r="219" spans="1:13">
      <c r="A219" s="1408" t="s">
        <v>2944</v>
      </c>
      <c r="B219" s="1408" t="str">
        <f t="shared" si="81"/>
        <v>202503</v>
      </c>
      <c r="C219" s="1181" t="s">
        <v>2945</v>
      </c>
      <c r="D219" s="1401" t="s">
        <v>4466</v>
      </c>
      <c r="E219" s="1181">
        <f t="shared" si="82"/>
        <v>0</v>
      </c>
      <c r="F219" s="1810">
        <f>+'Panorama B.'!K50</f>
        <v>0</v>
      </c>
      <c r="G219" s="1424" t="s">
        <v>2255</v>
      </c>
      <c r="H219" s="12">
        <v>37</v>
      </c>
      <c r="I219" s="12">
        <v>2</v>
      </c>
      <c r="J219" s="1181" t="str">
        <f t="shared" ca="1" si="86"/>
        <v>Panorama B.</v>
      </c>
      <c r="K219" s="1409" t="s">
        <v>2267</v>
      </c>
      <c r="M219" s="1434"/>
    </row>
    <row r="220" spans="1:13">
      <c r="A220" s="1408" t="s">
        <v>2944</v>
      </c>
      <c r="B220" s="1408" t="str">
        <f t="shared" si="81"/>
        <v>202502</v>
      </c>
      <c r="C220" s="1181" t="s">
        <v>2946</v>
      </c>
      <c r="D220" s="1401" t="s">
        <v>4467</v>
      </c>
      <c r="E220" s="1181">
        <f t="shared" si="82"/>
        <v>0</v>
      </c>
      <c r="F220" s="1810">
        <f>+'Panorama B.'!H51</f>
        <v>0</v>
      </c>
      <c r="G220" s="1424" t="s">
        <v>2254</v>
      </c>
      <c r="H220" s="12">
        <v>38</v>
      </c>
      <c r="I220" s="12">
        <v>1</v>
      </c>
      <c r="J220" s="1181" t="str">
        <f t="shared" ca="1" si="86"/>
        <v>Panorama B.</v>
      </c>
      <c r="K220" s="1409" t="s">
        <v>2267</v>
      </c>
      <c r="L220" s="1399">
        <f>+L218+1</f>
        <v>38</v>
      </c>
      <c r="M220" s="1434"/>
    </row>
    <row r="221" spans="1:13" s="1182" customFormat="1">
      <c r="A221" s="1802" t="s">
        <v>2944</v>
      </c>
      <c r="B221" s="1802" t="str">
        <f t="shared" si="81"/>
        <v>202503</v>
      </c>
      <c r="C221" s="1803" t="s">
        <v>2945</v>
      </c>
      <c r="D221" s="1796" t="s">
        <v>4467</v>
      </c>
      <c r="E221" s="1803">
        <f t="shared" si="82"/>
        <v>0</v>
      </c>
      <c r="F221" s="1813">
        <f>+'Panorama B.'!K51</f>
        <v>0</v>
      </c>
      <c r="G221" s="1798" t="s">
        <v>2255</v>
      </c>
      <c r="H221" s="1799">
        <v>38</v>
      </c>
      <c r="I221" s="1799">
        <v>2</v>
      </c>
      <c r="J221" s="1803" t="str">
        <f t="shared" ca="1" si="86"/>
        <v>Panorama B.</v>
      </c>
      <c r="K221" s="1800" t="s">
        <v>2267</v>
      </c>
      <c r="L221" s="1801"/>
      <c r="M221" s="1804"/>
    </row>
    <row r="222" spans="1:13" s="1423" customFormat="1">
      <c r="A222" s="1419" t="s">
        <v>2944</v>
      </c>
      <c r="B222" s="1419" t="str">
        <f t="shared" si="81"/>
        <v>202503</v>
      </c>
      <c r="C222" s="1419" t="s">
        <v>2945</v>
      </c>
      <c r="D222" s="1420" t="str">
        <f>'Tabla IV.3.'!D9</f>
        <v>15..</v>
      </c>
      <c r="E222" s="1427">
        <f t="shared" ref="E222:E260" si="96">RUC</f>
        <v>0</v>
      </c>
      <c r="F222" s="1814">
        <f>'Tabla IV.3.'!F9</f>
        <v>0</v>
      </c>
      <c r="G222" s="1426" t="s">
        <v>2254</v>
      </c>
      <c r="H222" s="1419">
        <v>1</v>
      </c>
      <c r="I222" s="1419">
        <v>1</v>
      </c>
      <c r="J222" s="1454" t="str">
        <f ca="1">+'Tabla IV.3.'!B2</f>
        <v>Tabla IV.3.</v>
      </c>
      <c r="K222" s="1421" t="s">
        <v>2266</v>
      </c>
      <c r="L222" s="1422">
        <v>1</v>
      </c>
      <c r="M222" s="1437"/>
    </row>
    <row r="223" spans="1:13" s="1423" customFormat="1">
      <c r="A223" s="1419" t="s">
        <v>2944</v>
      </c>
      <c r="B223" s="1419" t="str">
        <f t="shared" si="81"/>
        <v>202503</v>
      </c>
      <c r="C223" s="1419" t="s">
        <v>2945</v>
      </c>
      <c r="D223" s="1420" t="str">
        <f>+D222</f>
        <v>15..</v>
      </c>
      <c r="E223" s="1427">
        <f t="shared" si="96"/>
        <v>0</v>
      </c>
      <c r="F223" s="1814">
        <f>'Tabla IV.3.'!G9</f>
        <v>0</v>
      </c>
      <c r="G223" s="1426" t="s">
        <v>2255</v>
      </c>
      <c r="H223" s="1419">
        <f>+H222</f>
        <v>1</v>
      </c>
      <c r="I223" s="1419">
        <f>+I222+1</f>
        <v>2</v>
      </c>
      <c r="J223" s="1454" t="str">
        <f t="shared" ref="J223:J260" ca="1" si="97">+J222</f>
        <v>Tabla IV.3.</v>
      </c>
      <c r="K223" s="1421" t="s">
        <v>2266</v>
      </c>
      <c r="L223" s="1422"/>
      <c r="M223" s="1437"/>
    </row>
    <row r="224" spans="1:13" s="1423" customFormat="1">
      <c r="A224" s="1419" t="s">
        <v>2944</v>
      </c>
      <c r="B224" s="1419" t="str">
        <f t="shared" si="81"/>
        <v>202503</v>
      </c>
      <c r="C224" s="1419" t="s">
        <v>2945</v>
      </c>
      <c r="D224" s="1420" t="str">
        <f>+D223</f>
        <v>15..</v>
      </c>
      <c r="E224" s="1427">
        <f t="shared" si="96"/>
        <v>0</v>
      </c>
      <c r="F224" s="1814">
        <f>'Tabla IV.3.'!H9</f>
        <v>0</v>
      </c>
      <c r="G224" s="1426" t="s">
        <v>2256</v>
      </c>
      <c r="H224" s="1419">
        <f>+H223</f>
        <v>1</v>
      </c>
      <c r="I224" s="1419">
        <f>+I223+1</f>
        <v>3</v>
      </c>
      <c r="J224" s="1454" t="str">
        <f t="shared" ca="1" si="97"/>
        <v>Tabla IV.3.</v>
      </c>
      <c r="K224" s="1421" t="s">
        <v>2266</v>
      </c>
      <c r="L224" s="1422"/>
      <c r="M224" s="1437"/>
    </row>
    <row r="225" spans="1:13">
      <c r="A225" s="1406" t="s">
        <v>2944</v>
      </c>
      <c r="B225" s="1406" t="str">
        <f t="shared" si="81"/>
        <v>202503</v>
      </c>
      <c r="C225" s="1406" t="s">
        <v>2945</v>
      </c>
      <c r="D225" s="1403" t="str">
        <f>'Tabla IV.3.'!D10</f>
        <v>15..01.</v>
      </c>
      <c r="E225" s="1406">
        <f t="shared" si="96"/>
        <v>0</v>
      </c>
      <c r="F225" s="1811">
        <f>'Tabla IV.3.'!F10</f>
        <v>0</v>
      </c>
      <c r="G225" s="1424" t="s">
        <v>2254</v>
      </c>
      <c r="H225" s="1402">
        <f>+H222+1</f>
        <v>2</v>
      </c>
      <c r="I225" s="1402">
        <v>1</v>
      </c>
      <c r="J225" s="1406" t="str">
        <f t="shared" ca="1" si="97"/>
        <v>Tabla IV.3.</v>
      </c>
      <c r="K225" s="1409" t="s">
        <v>2266</v>
      </c>
      <c r="L225" s="1399">
        <f>+L222+1</f>
        <v>2</v>
      </c>
      <c r="M225" s="1434"/>
    </row>
    <row r="226" spans="1:13">
      <c r="A226" s="1406" t="s">
        <v>2944</v>
      </c>
      <c r="B226" s="1406" t="str">
        <f t="shared" si="81"/>
        <v>202503</v>
      </c>
      <c r="C226" s="1406" t="s">
        <v>2945</v>
      </c>
      <c r="D226" s="1403" t="str">
        <f>+D225</f>
        <v>15..01.</v>
      </c>
      <c r="E226" s="1406">
        <f t="shared" si="96"/>
        <v>0</v>
      </c>
      <c r="F226" s="1811">
        <f>'Tabla IV.3.'!G10</f>
        <v>0</v>
      </c>
      <c r="G226" s="1424" t="s">
        <v>2255</v>
      </c>
      <c r="H226" s="1402">
        <f>+H225</f>
        <v>2</v>
      </c>
      <c r="I226" s="1402">
        <f>+I225+1</f>
        <v>2</v>
      </c>
      <c r="J226" s="1406" t="str">
        <f t="shared" ca="1" si="97"/>
        <v>Tabla IV.3.</v>
      </c>
      <c r="K226" s="1409" t="s">
        <v>2266</v>
      </c>
      <c r="M226" s="1434"/>
    </row>
    <row r="227" spans="1:13">
      <c r="A227" s="1406" t="s">
        <v>2944</v>
      </c>
      <c r="B227" s="1406" t="str">
        <f t="shared" si="81"/>
        <v>202503</v>
      </c>
      <c r="C227" s="1406" t="s">
        <v>2945</v>
      </c>
      <c r="D227" s="1403" t="str">
        <f>+D226</f>
        <v>15..01.</v>
      </c>
      <c r="E227" s="1406">
        <f t="shared" si="96"/>
        <v>0</v>
      </c>
      <c r="F227" s="1811">
        <f>'Tabla IV.3.'!H10</f>
        <v>0</v>
      </c>
      <c r="G227" s="1424" t="s">
        <v>2256</v>
      </c>
      <c r="H227" s="1402">
        <f>+H226</f>
        <v>2</v>
      </c>
      <c r="I227" s="1402">
        <f>+I226+1</f>
        <v>3</v>
      </c>
      <c r="J227" s="1406" t="str">
        <f t="shared" ca="1" si="97"/>
        <v>Tabla IV.3.</v>
      </c>
      <c r="K227" s="1409" t="s">
        <v>2266</v>
      </c>
      <c r="M227" s="1434"/>
    </row>
    <row r="228" spans="1:13" s="1423" customFormat="1">
      <c r="A228" s="1419" t="s">
        <v>2944</v>
      </c>
      <c r="B228" s="1419" t="str">
        <f t="shared" si="81"/>
        <v>202503</v>
      </c>
      <c r="C228" s="1419" t="s">
        <v>2945</v>
      </c>
      <c r="D228" s="1420" t="str">
        <f>'Tabla IV.3.'!D11</f>
        <v>15..01.01.</v>
      </c>
      <c r="E228" s="1427">
        <f t="shared" si="96"/>
        <v>0</v>
      </c>
      <c r="F228" s="1814">
        <f>'Tabla IV.3.'!F11</f>
        <v>0</v>
      </c>
      <c r="G228" s="1426" t="s">
        <v>2254</v>
      </c>
      <c r="H228" s="1419">
        <f>+H225+1</f>
        <v>3</v>
      </c>
      <c r="I228" s="1419">
        <v>1</v>
      </c>
      <c r="J228" s="1454" t="str">
        <f t="shared" ca="1" si="97"/>
        <v>Tabla IV.3.</v>
      </c>
      <c r="K228" s="1421" t="s">
        <v>2266</v>
      </c>
      <c r="L228" s="1422">
        <f>+L225+1</f>
        <v>3</v>
      </c>
      <c r="M228" s="1437"/>
    </row>
    <row r="229" spans="1:13" s="1423" customFormat="1">
      <c r="A229" s="1419" t="s">
        <v>2944</v>
      </c>
      <c r="B229" s="1419" t="str">
        <f t="shared" si="81"/>
        <v>202503</v>
      </c>
      <c r="C229" s="1419" t="s">
        <v>2945</v>
      </c>
      <c r="D229" s="1420" t="str">
        <f>+D228</f>
        <v>15..01.01.</v>
      </c>
      <c r="E229" s="1427">
        <f t="shared" si="96"/>
        <v>0</v>
      </c>
      <c r="F229" s="1814">
        <f>'Tabla IV.3.'!G11</f>
        <v>0</v>
      </c>
      <c r="G229" s="1426" t="s">
        <v>2255</v>
      </c>
      <c r="H229" s="1419">
        <f>+H228</f>
        <v>3</v>
      </c>
      <c r="I229" s="1419">
        <f>+I228+1</f>
        <v>2</v>
      </c>
      <c r="J229" s="1454" t="str">
        <f t="shared" ca="1" si="97"/>
        <v>Tabla IV.3.</v>
      </c>
      <c r="K229" s="1421" t="s">
        <v>2266</v>
      </c>
      <c r="L229" s="1422"/>
      <c r="M229" s="1437"/>
    </row>
    <row r="230" spans="1:13" s="1423" customFormat="1">
      <c r="A230" s="1419" t="s">
        <v>2944</v>
      </c>
      <c r="B230" s="1419" t="str">
        <f t="shared" si="81"/>
        <v>202503</v>
      </c>
      <c r="C230" s="1419" t="s">
        <v>2945</v>
      </c>
      <c r="D230" s="1420" t="str">
        <f>+D229</f>
        <v>15..01.01.</v>
      </c>
      <c r="E230" s="1427">
        <f t="shared" si="96"/>
        <v>0</v>
      </c>
      <c r="F230" s="1814">
        <f>'Tabla IV.3.'!H11</f>
        <v>0</v>
      </c>
      <c r="G230" s="1426" t="s">
        <v>2256</v>
      </c>
      <c r="H230" s="1419">
        <f>+H229</f>
        <v>3</v>
      </c>
      <c r="I230" s="1419">
        <f>+I229+1</f>
        <v>3</v>
      </c>
      <c r="J230" s="1454" t="str">
        <f t="shared" ca="1" si="97"/>
        <v>Tabla IV.3.</v>
      </c>
      <c r="K230" s="1421" t="s">
        <v>2266</v>
      </c>
      <c r="L230" s="1422"/>
      <c r="M230" s="1437"/>
    </row>
    <row r="231" spans="1:13">
      <c r="A231" s="1406" t="s">
        <v>2944</v>
      </c>
      <c r="B231" s="1406" t="str">
        <f t="shared" si="81"/>
        <v>202503</v>
      </c>
      <c r="C231" s="1406" t="s">
        <v>2945</v>
      </c>
      <c r="D231" s="1403" t="str">
        <f>'Tabla IV.3.'!D12</f>
        <v>15..01.02.</v>
      </c>
      <c r="E231" s="1406">
        <f t="shared" si="96"/>
        <v>0</v>
      </c>
      <c r="F231" s="1811">
        <f>'Tabla IV.3.'!F12</f>
        <v>0</v>
      </c>
      <c r="G231" s="1424" t="s">
        <v>2254</v>
      </c>
      <c r="H231" s="1402">
        <f>+H228+1</f>
        <v>4</v>
      </c>
      <c r="I231" s="1402">
        <v>1</v>
      </c>
      <c r="J231" s="1406" t="str">
        <f t="shared" ca="1" si="97"/>
        <v>Tabla IV.3.</v>
      </c>
      <c r="K231" s="1409" t="s">
        <v>2266</v>
      </c>
      <c r="L231" s="1399">
        <f>+L228+1</f>
        <v>4</v>
      </c>
      <c r="M231" s="1434"/>
    </row>
    <row r="232" spans="1:13">
      <c r="A232" s="1406" t="s">
        <v>2944</v>
      </c>
      <c r="B232" s="1406" t="str">
        <f t="shared" si="81"/>
        <v>202503</v>
      </c>
      <c r="C232" s="1406" t="s">
        <v>2945</v>
      </c>
      <c r="D232" s="1403" t="str">
        <f>+D231</f>
        <v>15..01.02.</v>
      </c>
      <c r="E232" s="1406">
        <f t="shared" si="96"/>
        <v>0</v>
      </c>
      <c r="F232" s="1811">
        <f>'Tabla IV.3.'!G12</f>
        <v>0</v>
      </c>
      <c r="G232" s="1424" t="s">
        <v>2255</v>
      </c>
      <c r="H232" s="1402">
        <f>+H231</f>
        <v>4</v>
      </c>
      <c r="I232" s="1402">
        <f>+I231+1</f>
        <v>2</v>
      </c>
      <c r="J232" s="1406" t="str">
        <f t="shared" ca="1" si="97"/>
        <v>Tabla IV.3.</v>
      </c>
      <c r="K232" s="1409" t="s">
        <v>2266</v>
      </c>
      <c r="M232" s="1434"/>
    </row>
    <row r="233" spans="1:13">
      <c r="A233" s="1406" t="s">
        <v>2944</v>
      </c>
      <c r="B233" s="1406" t="str">
        <f t="shared" si="81"/>
        <v>202503</v>
      </c>
      <c r="C233" s="1406" t="s">
        <v>2945</v>
      </c>
      <c r="D233" s="1403" t="str">
        <f>+D232</f>
        <v>15..01.02.</v>
      </c>
      <c r="E233" s="1406">
        <f t="shared" si="96"/>
        <v>0</v>
      </c>
      <c r="F233" s="1811">
        <f>'Tabla IV.3.'!H12</f>
        <v>0</v>
      </c>
      <c r="G233" s="1424" t="s">
        <v>2256</v>
      </c>
      <c r="H233" s="1402">
        <f>+H232</f>
        <v>4</v>
      </c>
      <c r="I233" s="1402">
        <f>+I232+1</f>
        <v>3</v>
      </c>
      <c r="J233" s="1406" t="str">
        <f t="shared" ca="1" si="97"/>
        <v>Tabla IV.3.</v>
      </c>
      <c r="K233" s="1409" t="s">
        <v>2266</v>
      </c>
      <c r="M233" s="1434"/>
    </row>
    <row r="234" spans="1:13" s="1423" customFormat="1">
      <c r="A234" s="1419" t="s">
        <v>2944</v>
      </c>
      <c r="B234" s="1419" t="str">
        <f t="shared" si="81"/>
        <v>202503</v>
      </c>
      <c r="C234" s="1419" t="s">
        <v>2945</v>
      </c>
      <c r="D234" s="1420" t="str">
        <f>'Tabla IV.3.'!D13</f>
        <v>15..01.03.</v>
      </c>
      <c r="E234" s="1427">
        <f t="shared" si="96"/>
        <v>0</v>
      </c>
      <c r="F234" s="1814">
        <f>'Tabla IV.3.'!F13</f>
        <v>0</v>
      </c>
      <c r="G234" s="1426" t="s">
        <v>2254</v>
      </c>
      <c r="H234" s="1419">
        <f>+H231+1</f>
        <v>5</v>
      </c>
      <c r="I234" s="1419">
        <v>1</v>
      </c>
      <c r="J234" s="1454" t="str">
        <f t="shared" ca="1" si="97"/>
        <v>Tabla IV.3.</v>
      </c>
      <c r="K234" s="1421" t="s">
        <v>2266</v>
      </c>
      <c r="L234" s="1422">
        <f>+L231+1</f>
        <v>5</v>
      </c>
      <c r="M234" s="1437"/>
    </row>
    <row r="235" spans="1:13" s="1423" customFormat="1">
      <c r="A235" s="1419" t="s">
        <v>2944</v>
      </c>
      <c r="B235" s="1419" t="str">
        <f t="shared" si="81"/>
        <v>202503</v>
      </c>
      <c r="C235" s="1419" t="s">
        <v>2945</v>
      </c>
      <c r="D235" s="1420" t="str">
        <f>+D234</f>
        <v>15..01.03.</v>
      </c>
      <c r="E235" s="1427">
        <f t="shared" si="96"/>
        <v>0</v>
      </c>
      <c r="F235" s="1814">
        <f>'Tabla IV.3.'!G13</f>
        <v>0</v>
      </c>
      <c r="G235" s="1426" t="s">
        <v>2255</v>
      </c>
      <c r="H235" s="1419">
        <f>+H234</f>
        <v>5</v>
      </c>
      <c r="I235" s="1419">
        <f>+I234+1</f>
        <v>2</v>
      </c>
      <c r="J235" s="1454" t="str">
        <f t="shared" ca="1" si="97"/>
        <v>Tabla IV.3.</v>
      </c>
      <c r="K235" s="1421" t="s">
        <v>2266</v>
      </c>
      <c r="L235" s="1422"/>
      <c r="M235" s="1437"/>
    </row>
    <row r="236" spans="1:13" s="1423" customFormat="1">
      <c r="A236" s="1419" t="s">
        <v>2944</v>
      </c>
      <c r="B236" s="1419" t="str">
        <f t="shared" si="81"/>
        <v>202503</v>
      </c>
      <c r="C236" s="1419" t="s">
        <v>2945</v>
      </c>
      <c r="D236" s="1420" t="str">
        <f>+D235</f>
        <v>15..01.03.</v>
      </c>
      <c r="E236" s="1427">
        <f t="shared" si="96"/>
        <v>0</v>
      </c>
      <c r="F236" s="1814">
        <f>'Tabla IV.3.'!H13</f>
        <v>0</v>
      </c>
      <c r="G236" s="1426" t="s">
        <v>2256</v>
      </c>
      <c r="H236" s="1419">
        <f>+H235</f>
        <v>5</v>
      </c>
      <c r="I236" s="1419">
        <f>+I235+1</f>
        <v>3</v>
      </c>
      <c r="J236" s="1454" t="str">
        <f t="shared" ca="1" si="97"/>
        <v>Tabla IV.3.</v>
      </c>
      <c r="K236" s="1421" t="s">
        <v>2266</v>
      </c>
      <c r="L236" s="1422"/>
      <c r="M236" s="1437"/>
    </row>
    <row r="237" spans="1:13">
      <c r="A237" s="1406" t="s">
        <v>2944</v>
      </c>
      <c r="B237" s="1406" t="str">
        <f t="shared" si="81"/>
        <v>202503</v>
      </c>
      <c r="C237" s="1406" t="s">
        <v>2945</v>
      </c>
      <c r="D237" s="1403" t="str">
        <f>'Tabla IV.3.'!D14</f>
        <v>15..01.04.</v>
      </c>
      <c r="E237" s="1406">
        <f t="shared" si="96"/>
        <v>0</v>
      </c>
      <c r="F237" s="1811">
        <f>'Tabla IV.3.'!F14</f>
        <v>0</v>
      </c>
      <c r="G237" s="1424" t="s">
        <v>2254</v>
      </c>
      <c r="H237" s="1402">
        <f>+H234+1</f>
        <v>6</v>
      </c>
      <c r="I237" s="1402">
        <v>1</v>
      </c>
      <c r="J237" s="1406" t="str">
        <f t="shared" ca="1" si="97"/>
        <v>Tabla IV.3.</v>
      </c>
      <c r="K237" s="1409" t="s">
        <v>2266</v>
      </c>
      <c r="L237" s="1399">
        <f>+L234+1</f>
        <v>6</v>
      </c>
      <c r="M237" s="1434"/>
    </row>
    <row r="238" spans="1:13">
      <c r="A238" s="1406" t="s">
        <v>2944</v>
      </c>
      <c r="B238" s="1406" t="str">
        <f t="shared" si="81"/>
        <v>202503</v>
      </c>
      <c r="C238" s="1406" t="s">
        <v>2945</v>
      </c>
      <c r="D238" s="1403" t="str">
        <f>+D237</f>
        <v>15..01.04.</v>
      </c>
      <c r="E238" s="1406">
        <f t="shared" si="96"/>
        <v>0</v>
      </c>
      <c r="F238" s="1811">
        <f>'Tabla IV.3.'!G14</f>
        <v>0</v>
      </c>
      <c r="G238" s="1424" t="s">
        <v>2255</v>
      </c>
      <c r="H238" s="1402">
        <f>+H237</f>
        <v>6</v>
      </c>
      <c r="I238" s="1402">
        <f>+I237+1</f>
        <v>2</v>
      </c>
      <c r="J238" s="1406" t="str">
        <f t="shared" ca="1" si="97"/>
        <v>Tabla IV.3.</v>
      </c>
      <c r="K238" s="1409" t="s">
        <v>2266</v>
      </c>
      <c r="M238" s="1434"/>
    </row>
    <row r="239" spans="1:13">
      <c r="A239" s="1406" t="s">
        <v>2944</v>
      </c>
      <c r="B239" s="1406" t="str">
        <f t="shared" si="81"/>
        <v>202503</v>
      </c>
      <c r="C239" s="1406" t="s">
        <v>2945</v>
      </c>
      <c r="D239" s="1403" t="str">
        <f>+D238</f>
        <v>15..01.04.</v>
      </c>
      <c r="E239" s="1406">
        <f t="shared" si="96"/>
        <v>0</v>
      </c>
      <c r="F239" s="1811">
        <f>'Tabla IV.3.'!H14</f>
        <v>0</v>
      </c>
      <c r="G239" s="1424" t="s">
        <v>2256</v>
      </c>
      <c r="H239" s="1402">
        <f>+H238</f>
        <v>6</v>
      </c>
      <c r="I239" s="1402">
        <f>+I238+1</f>
        <v>3</v>
      </c>
      <c r="J239" s="1406" t="str">
        <f t="shared" ca="1" si="97"/>
        <v>Tabla IV.3.</v>
      </c>
      <c r="K239" s="1409" t="s">
        <v>2266</v>
      </c>
      <c r="M239" s="1434"/>
    </row>
    <row r="240" spans="1:13" s="1423" customFormat="1">
      <c r="A240" s="1419" t="s">
        <v>2944</v>
      </c>
      <c r="B240" s="1419" t="str">
        <f t="shared" si="81"/>
        <v>202503</v>
      </c>
      <c r="C240" s="1419" t="s">
        <v>2945</v>
      </c>
      <c r="D240" s="1420" t="str">
        <f>'Tabla IV.3.'!D15</f>
        <v>15..01.05.</v>
      </c>
      <c r="E240" s="1427">
        <f t="shared" si="96"/>
        <v>0</v>
      </c>
      <c r="F240" s="1814">
        <f>'Tabla IV.3.'!F15</f>
        <v>0</v>
      </c>
      <c r="G240" s="1426" t="s">
        <v>2254</v>
      </c>
      <c r="H240" s="1419">
        <f>+H237+1</f>
        <v>7</v>
      </c>
      <c r="I240" s="1419">
        <v>1</v>
      </c>
      <c r="J240" s="1454" t="str">
        <f t="shared" ca="1" si="97"/>
        <v>Tabla IV.3.</v>
      </c>
      <c r="K240" s="1421" t="s">
        <v>2266</v>
      </c>
      <c r="L240" s="1422">
        <f>+L237+1</f>
        <v>7</v>
      </c>
      <c r="M240" s="1437"/>
    </row>
    <row r="241" spans="1:13" s="1423" customFormat="1">
      <c r="A241" s="1419" t="s">
        <v>2944</v>
      </c>
      <c r="B241" s="1419" t="str">
        <f t="shared" si="81"/>
        <v>202503</v>
      </c>
      <c r="C241" s="1419" t="s">
        <v>2945</v>
      </c>
      <c r="D241" s="1420" t="str">
        <f>+D240</f>
        <v>15..01.05.</v>
      </c>
      <c r="E241" s="1427">
        <f t="shared" si="96"/>
        <v>0</v>
      </c>
      <c r="F241" s="1814">
        <f>'Tabla IV.3.'!G15</f>
        <v>0</v>
      </c>
      <c r="G241" s="1426" t="s">
        <v>2255</v>
      </c>
      <c r="H241" s="1419">
        <f>+H240</f>
        <v>7</v>
      </c>
      <c r="I241" s="1419">
        <f>+I240+1</f>
        <v>2</v>
      </c>
      <c r="J241" s="1454" t="str">
        <f t="shared" ca="1" si="97"/>
        <v>Tabla IV.3.</v>
      </c>
      <c r="K241" s="1421" t="s">
        <v>2266</v>
      </c>
      <c r="L241" s="1422"/>
      <c r="M241" s="1437"/>
    </row>
    <row r="242" spans="1:13" s="1423" customFormat="1">
      <c r="A242" s="1419" t="s">
        <v>2944</v>
      </c>
      <c r="B242" s="1419" t="str">
        <f t="shared" si="81"/>
        <v>202503</v>
      </c>
      <c r="C242" s="1419" t="s">
        <v>2945</v>
      </c>
      <c r="D242" s="1420" t="str">
        <f>+D241</f>
        <v>15..01.05.</v>
      </c>
      <c r="E242" s="1427">
        <f t="shared" si="96"/>
        <v>0</v>
      </c>
      <c r="F242" s="1814">
        <f>'Tabla IV.3.'!H15</f>
        <v>0</v>
      </c>
      <c r="G242" s="1426" t="s">
        <v>2256</v>
      </c>
      <c r="H242" s="1419">
        <f>+H241</f>
        <v>7</v>
      </c>
      <c r="I242" s="1419">
        <f>+I241+1</f>
        <v>3</v>
      </c>
      <c r="J242" s="1454" t="str">
        <f t="shared" ca="1" si="97"/>
        <v>Tabla IV.3.</v>
      </c>
      <c r="K242" s="1421" t="s">
        <v>2266</v>
      </c>
      <c r="L242" s="1422"/>
      <c r="M242" s="1437"/>
    </row>
    <row r="243" spans="1:13">
      <c r="A243" s="1406" t="s">
        <v>2944</v>
      </c>
      <c r="B243" s="1406" t="str">
        <f t="shared" si="81"/>
        <v>202503</v>
      </c>
      <c r="C243" s="1406" t="s">
        <v>2945</v>
      </c>
      <c r="D243" s="1403" t="str">
        <f>'Tabla IV.3.'!D16</f>
        <v>15..02.</v>
      </c>
      <c r="E243" s="1406">
        <f t="shared" si="96"/>
        <v>0</v>
      </c>
      <c r="F243" s="1811">
        <f>'Tabla IV.3.'!F16</f>
        <v>0</v>
      </c>
      <c r="G243" s="1424" t="s">
        <v>2254</v>
      </c>
      <c r="H243" s="1402">
        <f>+H240+1</f>
        <v>8</v>
      </c>
      <c r="I243" s="1402">
        <v>1</v>
      </c>
      <c r="J243" s="1406" t="str">
        <f t="shared" ca="1" si="97"/>
        <v>Tabla IV.3.</v>
      </c>
      <c r="K243" s="1409" t="s">
        <v>2266</v>
      </c>
      <c r="L243" s="1399">
        <f>+L240+1</f>
        <v>8</v>
      </c>
      <c r="M243" s="1434"/>
    </row>
    <row r="244" spans="1:13">
      <c r="A244" s="1406" t="s">
        <v>2944</v>
      </c>
      <c r="B244" s="1406" t="str">
        <f t="shared" si="81"/>
        <v>202503</v>
      </c>
      <c r="C244" s="1406" t="s">
        <v>2945</v>
      </c>
      <c r="D244" s="1403" t="str">
        <f>+D243</f>
        <v>15..02.</v>
      </c>
      <c r="E244" s="1406">
        <f t="shared" si="96"/>
        <v>0</v>
      </c>
      <c r="F244" s="1811">
        <f>'Tabla IV.3.'!G16</f>
        <v>0</v>
      </c>
      <c r="G244" s="1424" t="s">
        <v>2255</v>
      </c>
      <c r="H244" s="1402">
        <f>+H243</f>
        <v>8</v>
      </c>
      <c r="I244" s="1402">
        <f>+I243+1</f>
        <v>2</v>
      </c>
      <c r="J244" s="1406" t="str">
        <f t="shared" ca="1" si="97"/>
        <v>Tabla IV.3.</v>
      </c>
      <c r="K244" s="1409" t="s">
        <v>2266</v>
      </c>
      <c r="M244" s="1434"/>
    </row>
    <row r="245" spans="1:13">
      <c r="A245" s="1406" t="s">
        <v>2944</v>
      </c>
      <c r="B245" s="1406" t="str">
        <f t="shared" si="81"/>
        <v>202503</v>
      </c>
      <c r="C245" s="1406" t="s">
        <v>2945</v>
      </c>
      <c r="D245" s="1403" t="str">
        <f>+D244</f>
        <v>15..02.</v>
      </c>
      <c r="E245" s="1406">
        <f t="shared" si="96"/>
        <v>0</v>
      </c>
      <c r="F245" s="1811">
        <f>'Tabla IV.3.'!H16</f>
        <v>0</v>
      </c>
      <c r="G245" s="1424" t="s">
        <v>2256</v>
      </c>
      <c r="H245" s="1402">
        <f>+H244</f>
        <v>8</v>
      </c>
      <c r="I245" s="1402">
        <f>+I244+1</f>
        <v>3</v>
      </c>
      <c r="J245" s="1406" t="str">
        <f t="shared" ca="1" si="97"/>
        <v>Tabla IV.3.</v>
      </c>
      <c r="K245" s="1409" t="s">
        <v>2266</v>
      </c>
      <c r="M245" s="1434"/>
    </row>
    <row r="246" spans="1:13" s="1423" customFormat="1">
      <c r="A246" s="1419" t="s">
        <v>2944</v>
      </c>
      <c r="B246" s="1419" t="str">
        <f t="shared" si="81"/>
        <v>202503</v>
      </c>
      <c r="C246" s="1419" t="s">
        <v>2945</v>
      </c>
      <c r="D246" s="1420" t="str">
        <f>'Tabla IV.3.'!D17</f>
        <v>15..02.01.</v>
      </c>
      <c r="E246" s="1427">
        <f t="shared" si="96"/>
        <v>0</v>
      </c>
      <c r="F246" s="1814">
        <f>'Tabla IV.3.'!F17</f>
        <v>0</v>
      </c>
      <c r="G246" s="1426" t="s">
        <v>2254</v>
      </c>
      <c r="H246" s="1419">
        <f>+H243+1</f>
        <v>9</v>
      </c>
      <c r="I246" s="1419">
        <v>1</v>
      </c>
      <c r="J246" s="1454" t="str">
        <f t="shared" ca="1" si="97"/>
        <v>Tabla IV.3.</v>
      </c>
      <c r="K246" s="1421" t="s">
        <v>2266</v>
      </c>
      <c r="L246" s="1422">
        <f>+L243+1</f>
        <v>9</v>
      </c>
      <c r="M246" s="1437"/>
    </row>
    <row r="247" spans="1:13" s="1423" customFormat="1">
      <c r="A247" s="1419" t="s">
        <v>2944</v>
      </c>
      <c r="B247" s="1419" t="str">
        <f t="shared" si="81"/>
        <v>202503</v>
      </c>
      <c r="C247" s="1419" t="s">
        <v>2945</v>
      </c>
      <c r="D247" s="1420" t="str">
        <f>+D246</f>
        <v>15..02.01.</v>
      </c>
      <c r="E247" s="1427">
        <f t="shared" si="96"/>
        <v>0</v>
      </c>
      <c r="F247" s="1814">
        <f>'Tabla IV.3.'!G17</f>
        <v>0</v>
      </c>
      <c r="G247" s="1426" t="s">
        <v>2255</v>
      </c>
      <c r="H247" s="1419">
        <f>+H246</f>
        <v>9</v>
      </c>
      <c r="I247" s="1419">
        <f>+I246+1</f>
        <v>2</v>
      </c>
      <c r="J247" s="1454" t="str">
        <f t="shared" ca="1" si="97"/>
        <v>Tabla IV.3.</v>
      </c>
      <c r="K247" s="1421" t="s">
        <v>2266</v>
      </c>
      <c r="L247" s="1422"/>
      <c r="M247" s="1437"/>
    </row>
    <row r="248" spans="1:13" s="1423" customFormat="1">
      <c r="A248" s="1419" t="s">
        <v>2944</v>
      </c>
      <c r="B248" s="1419" t="str">
        <f t="shared" si="81"/>
        <v>202503</v>
      </c>
      <c r="C248" s="1419" t="s">
        <v>2945</v>
      </c>
      <c r="D248" s="1420" t="str">
        <f>+D247</f>
        <v>15..02.01.</v>
      </c>
      <c r="E248" s="1427">
        <f t="shared" si="96"/>
        <v>0</v>
      </c>
      <c r="F248" s="1814">
        <f>'Tabla IV.3.'!H17</f>
        <v>0</v>
      </c>
      <c r="G248" s="1426" t="s">
        <v>2256</v>
      </c>
      <c r="H248" s="1419">
        <f>+H247</f>
        <v>9</v>
      </c>
      <c r="I248" s="1419">
        <f>+I247+1</f>
        <v>3</v>
      </c>
      <c r="J248" s="1454" t="str">
        <f t="shared" ca="1" si="97"/>
        <v>Tabla IV.3.</v>
      </c>
      <c r="K248" s="1421" t="s">
        <v>2266</v>
      </c>
      <c r="L248" s="1422"/>
      <c r="M248" s="1437"/>
    </row>
    <row r="249" spans="1:13">
      <c r="A249" s="1406" t="s">
        <v>2944</v>
      </c>
      <c r="B249" s="1406" t="str">
        <f t="shared" si="81"/>
        <v>202503</v>
      </c>
      <c r="C249" s="1406" t="s">
        <v>2945</v>
      </c>
      <c r="D249" s="1403" t="str">
        <f>'Tabla IV.3.'!D18</f>
        <v>15..02.02.</v>
      </c>
      <c r="E249" s="1406">
        <f t="shared" si="96"/>
        <v>0</v>
      </c>
      <c r="F249" s="1811">
        <f>'Tabla IV.3.'!F18</f>
        <v>0</v>
      </c>
      <c r="G249" s="1424" t="s">
        <v>2254</v>
      </c>
      <c r="H249" s="1402">
        <f>+H246+1</f>
        <v>10</v>
      </c>
      <c r="I249" s="1402">
        <v>1</v>
      </c>
      <c r="J249" s="1406" t="str">
        <f t="shared" ca="1" si="97"/>
        <v>Tabla IV.3.</v>
      </c>
      <c r="K249" s="1409" t="s">
        <v>2266</v>
      </c>
      <c r="L249" s="1399">
        <f>+L246+1</f>
        <v>10</v>
      </c>
      <c r="M249" s="1434"/>
    </row>
    <row r="250" spans="1:13">
      <c r="A250" s="1406" t="s">
        <v>2944</v>
      </c>
      <c r="B250" s="1406" t="str">
        <f t="shared" si="81"/>
        <v>202503</v>
      </c>
      <c r="C250" s="1406" t="s">
        <v>2945</v>
      </c>
      <c r="D250" s="1403" t="str">
        <f>+D249</f>
        <v>15..02.02.</v>
      </c>
      <c r="E250" s="1406">
        <f t="shared" si="96"/>
        <v>0</v>
      </c>
      <c r="F250" s="1811">
        <f>'Tabla IV.3.'!G18</f>
        <v>0</v>
      </c>
      <c r="G250" s="1424" t="s">
        <v>2255</v>
      </c>
      <c r="H250" s="1402">
        <f>+H249</f>
        <v>10</v>
      </c>
      <c r="I250" s="1402">
        <f>+I249+1</f>
        <v>2</v>
      </c>
      <c r="J250" s="1406" t="str">
        <f t="shared" ca="1" si="97"/>
        <v>Tabla IV.3.</v>
      </c>
      <c r="K250" s="1409" t="s">
        <v>2266</v>
      </c>
      <c r="M250" s="1434"/>
    </row>
    <row r="251" spans="1:13">
      <c r="A251" s="1406" t="s">
        <v>2944</v>
      </c>
      <c r="B251" s="1406" t="str">
        <f t="shared" si="81"/>
        <v>202503</v>
      </c>
      <c r="C251" s="1406" t="s">
        <v>2945</v>
      </c>
      <c r="D251" s="1403" t="str">
        <f>+D250</f>
        <v>15..02.02.</v>
      </c>
      <c r="E251" s="1406">
        <f t="shared" si="96"/>
        <v>0</v>
      </c>
      <c r="F251" s="1811">
        <f>'Tabla IV.3.'!H18</f>
        <v>0</v>
      </c>
      <c r="G251" s="1424" t="s">
        <v>2256</v>
      </c>
      <c r="H251" s="1402">
        <f>+H250</f>
        <v>10</v>
      </c>
      <c r="I251" s="1402">
        <f>+I250+1</f>
        <v>3</v>
      </c>
      <c r="J251" s="1406" t="str">
        <f t="shared" ca="1" si="97"/>
        <v>Tabla IV.3.</v>
      </c>
      <c r="K251" s="1409" t="s">
        <v>2266</v>
      </c>
      <c r="M251" s="1434"/>
    </row>
    <row r="252" spans="1:13" s="1423" customFormat="1">
      <c r="A252" s="1419" t="s">
        <v>2944</v>
      </c>
      <c r="B252" s="1419" t="str">
        <f t="shared" si="81"/>
        <v>202503</v>
      </c>
      <c r="C252" s="1419" t="s">
        <v>2945</v>
      </c>
      <c r="D252" s="1420" t="str">
        <f>'Tabla IV.3.'!D19</f>
        <v>15..02.03.</v>
      </c>
      <c r="E252" s="1427">
        <f t="shared" si="96"/>
        <v>0</v>
      </c>
      <c r="F252" s="1814">
        <f>'Tabla IV.3.'!F19</f>
        <v>0</v>
      </c>
      <c r="G252" s="1426" t="s">
        <v>2254</v>
      </c>
      <c r="H252" s="1419">
        <f>+H249+1</f>
        <v>11</v>
      </c>
      <c r="I252" s="1419">
        <v>1</v>
      </c>
      <c r="J252" s="1454" t="str">
        <f t="shared" ca="1" si="97"/>
        <v>Tabla IV.3.</v>
      </c>
      <c r="K252" s="1421" t="s">
        <v>2266</v>
      </c>
      <c r="L252" s="1422">
        <f>+L249+1</f>
        <v>11</v>
      </c>
      <c r="M252" s="1437"/>
    </row>
    <row r="253" spans="1:13" s="1423" customFormat="1">
      <c r="A253" s="1419" t="s">
        <v>2944</v>
      </c>
      <c r="B253" s="1419" t="str">
        <f t="shared" si="81"/>
        <v>202503</v>
      </c>
      <c r="C253" s="1419" t="s">
        <v>2945</v>
      </c>
      <c r="D253" s="1420" t="str">
        <f>+D252</f>
        <v>15..02.03.</v>
      </c>
      <c r="E253" s="1427">
        <f t="shared" si="96"/>
        <v>0</v>
      </c>
      <c r="F253" s="1814">
        <f>'Tabla IV.3.'!G19</f>
        <v>0</v>
      </c>
      <c r="G253" s="1426" t="s">
        <v>2255</v>
      </c>
      <c r="H253" s="1419">
        <f>+H252</f>
        <v>11</v>
      </c>
      <c r="I253" s="1419">
        <f>+I252+1</f>
        <v>2</v>
      </c>
      <c r="J253" s="1454" t="str">
        <f t="shared" ca="1" si="97"/>
        <v>Tabla IV.3.</v>
      </c>
      <c r="K253" s="1421" t="s">
        <v>2266</v>
      </c>
      <c r="L253" s="1422"/>
      <c r="M253" s="1437"/>
    </row>
    <row r="254" spans="1:13" s="1423" customFormat="1">
      <c r="A254" s="1419" t="s">
        <v>2944</v>
      </c>
      <c r="B254" s="1419" t="str">
        <f t="shared" si="81"/>
        <v>202503</v>
      </c>
      <c r="C254" s="1419" t="s">
        <v>2945</v>
      </c>
      <c r="D254" s="1420" t="str">
        <f>+D253</f>
        <v>15..02.03.</v>
      </c>
      <c r="E254" s="1427">
        <f t="shared" si="96"/>
        <v>0</v>
      </c>
      <c r="F254" s="1814">
        <f>'Tabla IV.3.'!H19</f>
        <v>0</v>
      </c>
      <c r="G254" s="1426" t="s">
        <v>2256</v>
      </c>
      <c r="H254" s="1419">
        <f>+H253</f>
        <v>11</v>
      </c>
      <c r="I254" s="1419">
        <f>+I253+1</f>
        <v>3</v>
      </c>
      <c r="J254" s="1454" t="str">
        <f t="shared" ca="1" si="97"/>
        <v>Tabla IV.3.</v>
      </c>
      <c r="K254" s="1421" t="s">
        <v>2266</v>
      </c>
      <c r="L254" s="1422"/>
      <c r="M254" s="1437"/>
    </row>
    <row r="255" spans="1:13">
      <c r="A255" s="1406" t="s">
        <v>2944</v>
      </c>
      <c r="B255" s="1406" t="str">
        <f t="shared" si="81"/>
        <v>202503</v>
      </c>
      <c r="C255" s="1406" t="s">
        <v>2945</v>
      </c>
      <c r="D255" s="1403" t="str">
        <f>'Tabla IV.3.'!D20</f>
        <v>15..02.04.</v>
      </c>
      <c r="E255" s="1406">
        <f t="shared" si="96"/>
        <v>0</v>
      </c>
      <c r="F255" s="1811">
        <f>'Tabla IV.3.'!F20</f>
        <v>0</v>
      </c>
      <c r="G255" s="1424" t="s">
        <v>2254</v>
      </c>
      <c r="H255" s="1402">
        <f>+H252+1</f>
        <v>12</v>
      </c>
      <c r="I255" s="1402">
        <v>1</v>
      </c>
      <c r="J255" s="1406" t="str">
        <f t="shared" ca="1" si="97"/>
        <v>Tabla IV.3.</v>
      </c>
      <c r="K255" s="1409" t="s">
        <v>2266</v>
      </c>
      <c r="L255" s="1399">
        <f>+L252+1</f>
        <v>12</v>
      </c>
      <c r="M255" s="1434"/>
    </row>
    <row r="256" spans="1:13">
      <c r="A256" s="1406" t="s">
        <v>2944</v>
      </c>
      <c r="B256" s="1406" t="str">
        <f t="shared" si="81"/>
        <v>202503</v>
      </c>
      <c r="C256" s="1406" t="s">
        <v>2945</v>
      </c>
      <c r="D256" s="1403" t="str">
        <f>+D255</f>
        <v>15..02.04.</v>
      </c>
      <c r="E256" s="1406">
        <f t="shared" si="96"/>
        <v>0</v>
      </c>
      <c r="F256" s="1811">
        <f>'Tabla IV.3.'!G20</f>
        <v>0</v>
      </c>
      <c r="G256" s="1424" t="s">
        <v>2255</v>
      </c>
      <c r="H256" s="1402">
        <f>+H255</f>
        <v>12</v>
      </c>
      <c r="I256" s="1402">
        <f>+I255+1</f>
        <v>2</v>
      </c>
      <c r="J256" s="1406" t="str">
        <f t="shared" ca="1" si="97"/>
        <v>Tabla IV.3.</v>
      </c>
      <c r="K256" s="1409" t="s">
        <v>2266</v>
      </c>
      <c r="M256" s="1434"/>
    </row>
    <row r="257" spans="1:13">
      <c r="A257" s="1406" t="s">
        <v>2944</v>
      </c>
      <c r="B257" s="1406" t="str">
        <f t="shared" si="81"/>
        <v>202503</v>
      </c>
      <c r="C257" s="1406" t="s">
        <v>2945</v>
      </c>
      <c r="D257" s="1403" t="str">
        <f>+D256</f>
        <v>15..02.04.</v>
      </c>
      <c r="E257" s="1406">
        <f t="shared" si="96"/>
        <v>0</v>
      </c>
      <c r="F257" s="1811">
        <f>'Tabla IV.3.'!H20</f>
        <v>0</v>
      </c>
      <c r="G257" s="1424" t="s">
        <v>2256</v>
      </c>
      <c r="H257" s="1402">
        <f>+H256</f>
        <v>12</v>
      </c>
      <c r="I257" s="1402">
        <f>+I256+1</f>
        <v>3</v>
      </c>
      <c r="J257" s="1406" t="str">
        <f t="shared" ca="1" si="97"/>
        <v>Tabla IV.3.</v>
      </c>
      <c r="K257" s="1409" t="s">
        <v>2266</v>
      </c>
      <c r="M257" s="1434"/>
    </row>
    <row r="258" spans="1:13" s="1423" customFormat="1">
      <c r="A258" s="1419" t="s">
        <v>2944</v>
      </c>
      <c r="B258" s="1419" t="str">
        <f t="shared" ref="B258:B260" si="98">+IF(C258="v2",IF(TRIM&gt;1,ANUAL&amp;"0"&amp;(TRIM-1),(ANUAL-1)&amp;"04"),ANUAL&amp;"0"&amp;TRIM)</f>
        <v>202503</v>
      </c>
      <c r="C258" s="1419" t="s">
        <v>2945</v>
      </c>
      <c r="D258" s="1420" t="str">
        <f>'Tabla IV.3.'!D21</f>
        <v>15..02.05.</v>
      </c>
      <c r="E258" s="1427">
        <f t="shared" si="96"/>
        <v>0</v>
      </c>
      <c r="F258" s="1814">
        <f>'Tabla IV.3.'!F21</f>
        <v>0</v>
      </c>
      <c r="G258" s="1426" t="s">
        <v>2254</v>
      </c>
      <c r="H258" s="1419">
        <f>+H255+1</f>
        <v>13</v>
      </c>
      <c r="I258" s="1419">
        <v>1</v>
      </c>
      <c r="J258" s="1454" t="str">
        <f t="shared" ca="1" si="97"/>
        <v>Tabla IV.3.</v>
      </c>
      <c r="K258" s="1421" t="s">
        <v>2266</v>
      </c>
      <c r="L258" s="1422">
        <f>+L255+1</f>
        <v>13</v>
      </c>
      <c r="M258" s="1437"/>
    </row>
    <row r="259" spans="1:13" s="1423" customFormat="1">
      <c r="A259" s="1419" t="s">
        <v>2944</v>
      </c>
      <c r="B259" s="1419" t="str">
        <f t="shared" si="98"/>
        <v>202503</v>
      </c>
      <c r="C259" s="1419" t="s">
        <v>2945</v>
      </c>
      <c r="D259" s="1420" t="str">
        <f>+D258</f>
        <v>15..02.05.</v>
      </c>
      <c r="E259" s="1427">
        <f t="shared" si="96"/>
        <v>0</v>
      </c>
      <c r="F259" s="1814">
        <f>'Tabla IV.3.'!G21</f>
        <v>0</v>
      </c>
      <c r="G259" s="1426" t="s">
        <v>2255</v>
      </c>
      <c r="H259" s="1419">
        <f>+H258</f>
        <v>13</v>
      </c>
      <c r="I259" s="1419">
        <f>+I258+1</f>
        <v>2</v>
      </c>
      <c r="J259" s="1454" t="str">
        <f t="shared" ca="1" si="97"/>
        <v>Tabla IV.3.</v>
      </c>
      <c r="K259" s="1421" t="s">
        <v>2266</v>
      </c>
      <c r="L259" s="1422"/>
      <c r="M259" s="1437"/>
    </row>
    <row r="260" spans="1:13" s="1423" customFormat="1">
      <c r="A260" s="1419" t="s">
        <v>2944</v>
      </c>
      <c r="B260" s="1419" t="str">
        <f t="shared" si="98"/>
        <v>202503</v>
      </c>
      <c r="C260" s="1419" t="s">
        <v>2945</v>
      </c>
      <c r="D260" s="1420" t="str">
        <f>+D259</f>
        <v>15..02.05.</v>
      </c>
      <c r="E260" s="1427">
        <f t="shared" si="96"/>
        <v>0</v>
      </c>
      <c r="F260" s="1814">
        <f>'Tabla IV.3.'!H21</f>
        <v>0</v>
      </c>
      <c r="G260" s="1426" t="s">
        <v>2256</v>
      </c>
      <c r="H260" s="1419">
        <f>+H259</f>
        <v>13</v>
      </c>
      <c r="I260" s="1419">
        <f>+I259+1</f>
        <v>3</v>
      </c>
      <c r="J260" s="1454" t="str">
        <f t="shared" ca="1" si="97"/>
        <v>Tabla IV.3.</v>
      </c>
      <c r="K260" s="1421" t="s">
        <v>2266</v>
      </c>
      <c r="L260" s="1422"/>
      <c r="M260" s="1437"/>
    </row>
    <row r="261" spans="1:13">
      <c r="A261" s="1430"/>
      <c r="B261" s="1430"/>
      <c r="C261" s="1430"/>
      <c r="D261" s="1431"/>
      <c r="E261" s="1453"/>
      <c r="F261" s="1815"/>
      <c r="G261" s="1430"/>
      <c r="H261" s="1430"/>
      <c r="I261" s="1430"/>
      <c r="J261" s="1453"/>
      <c r="K261" s="1432"/>
      <c r="L261" s="1433"/>
      <c r="M261" s="1434"/>
    </row>
    <row r="262" spans="1:13" ht="19.5" customHeight="1"/>
    <row r="263" spans="1:13" ht="19.5" customHeight="1"/>
    <row r="264" spans="1:13" ht="19.5" customHeight="1"/>
    <row r="265" spans="1:13" ht="19.5" customHeight="1"/>
    <row r="266" spans="1:13" ht="19.5" customHeight="1"/>
  </sheetData>
  <autoFilter ref="A1:L260" xr:uid="{6CD13EA6-20C6-4799-849C-6E0DF23BD5B8}"/>
  <phoneticPr fontId="221" type="noConversion"/>
  <pageMargins left="0.7" right="0.7" top="0.75" bottom="0.75" header="0.3" footer="0.3"/>
  <pageSetup paperSize="9" orientation="portrait" horizontalDpi="4294967295" verticalDpi="4294967295" r:id="rId1"/>
  <ignoredErrors>
    <ignoredError sqref="G218:J221 G237:J240 G223:G236 J223:J236 G222:I222" numberStoredAsText="1"/>
    <ignoredError sqref="H223:I236 J222" numberStoredAsText="1"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8">
    <tabColor rgb="FF002060"/>
    <pageSetUpPr fitToPage="1"/>
  </sheetPr>
  <dimension ref="A1:AF24"/>
  <sheetViews>
    <sheetView showGridLines="0" topLeftCell="E2" zoomScale="70" zoomScaleNormal="70" workbookViewId="0">
      <pane xSplit="1" ySplit="5" topLeftCell="F7" activePane="bottomRight" state="frozen"/>
      <selection activeCell="H11" sqref="H11:XFD11"/>
      <selection pane="topRight" activeCell="H11" sqref="H11:XFD11"/>
      <selection pane="bottomLeft" activeCell="H11" sqref="H11:XFD11"/>
      <selection pane="bottomRight" activeCell="O16" sqref="O16"/>
    </sheetView>
  </sheetViews>
  <sheetFormatPr baseColWidth="10" defaultColWidth="11.42578125" defaultRowHeight="15.75"/>
  <cols>
    <col min="1" max="2" width="16.5703125" style="519" hidden="1" customWidth="1"/>
    <col min="3" max="3" width="22.42578125" style="519" hidden="1" customWidth="1"/>
    <col min="4" max="4" width="19.140625" style="519" hidden="1" customWidth="1"/>
    <col min="5" max="5" width="5" style="519" customWidth="1"/>
    <col min="6" max="6" width="18.7109375" style="1" customWidth="1"/>
    <col min="7" max="7" width="52.85546875" style="1" customWidth="1"/>
    <col min="8" max="9" width="25.28515625" style="1" customWidth="1"/>
    <col min="10" max="11" width="25.28515625" style="518" customWidth="1"/>
    <col min="12" max="17" width="11.42578125" style="518"/>
    <col min="18" max="18" width="66.5703125" style="518" customWidth="1"/>
    <col min="19" max="32" width="11.42578125" style="518"/>
    <col min="33" max="16384" width="11.42578125" style="1"/>
  </cols>
  <sheetData>
    <row r="1" spans="1:32" s="518" customFormat="1" ht="23.25" hidden="1">
      <c r="A1" s="519"/>
      <c r="B1" s="519"/>
      <c r="C1" s="519"/>
      <c r="D1" s="519"/>
      <c r="E1" s="519"/>
      <c r="F1" s="309" t="s">
        <v>2253</v>
      </c>
      <c r="G1" s="309"/>
      <c r="H1" s="311" t="s">
        <v>2254</v>
      </c>
      <c r="I1" s="311" t="s">
        <v>2255</v>
      </c>
      <c r="J1" s="311" t="s">
        <v>2256</v>
      </c>
      <c r="K1" s="311" t="s">
        <v>2257</v>
      </c>
    </row>
    <row r="2" spans="1:32" s="518" customFormat="1">
      <c r="A2" s="519"/>
      <c r="B2" s="519"/>
      <c r="C2" s="519"/>
      <c r="D2" s="519"/>
      <c r="E2" s="519"/>
    </row>
    <row r="3" spans="1:32" s="97" customFormat="1" ht="17.25" customHeight="1">
      <c r="C3" s="98"/>
      <c r="D3" s="98"/>
      <c r="E3" s="98"/>
      <c r="F3" s="178"/>
      <c r="G3" s="178"/>
      <c r="H3" s="180"/>
      <c r="I3" s="180"/>
      <c r="J3" s="178"/>
      <c r="K3" s="178"/>
    </row>
    <row r="4" spans="1:32" s="97" customFormat="1" ht="33.75">
      <c r="D4" s="98"/>
      <c r="E4" s="98"/>
      <c r="F4" s="170" t="str">
        <f ca="1">$C$6&amp;"  Programa de inversiones de la empresa declarante"</f>
        <v>Tabla V.  Programa de inversiones de la empresa declarante</v>
      </c>
      <c r="G4" s="160"/>
      <c r="H4" s="161"/>
      <c r="I4" s="160"/>
      <c r="J4" s="160"/>
      <c r="K4" s="160"/>
    </row>
    <row r="5" spans="1:32" s="97" customFormat="1" ht="36.75" customHeight="1">
      <c r="C5" s="98"/>
      <c r="D5" s="98"/>
      <c r="E5" s="98"/>
      <c r="F5" s="169" t="s">
        <v>2420</v>
      </c>
      <c r="G5" s="160"/>
      <c r="H5" s="168"/>
      <c r="I5" s="168"/>
      <c r="J5" s="168"/>
      <c r="K5" s="160"/>
    </row>
    <row r="6" spans="1:32" s="97" customFormat="1" ht="19.5" customHeight="1">
      <c r="C6" s="120" t="str">
        <f ca="1">RIGHT(CELL("nombrearchivo",$A$1),LEN(CELL("nombrearchivo",$A$1))-SEARCH("]",CELL("nombrearchivo",$A$1)))</f>
        <v>Tabla V.</v>
      </c>
      <c r="D6" s="98"/>
      <c r="E6" s="98"/>
      <c r="F6" s="178"/>
      <c r="G6" s="178"/>
      <c r="H6" s="616"/>
      <c r="I6" s="616"/>
      <c r="J6" s="616"/>
      <c r="K6" s="616"/>
    </row>
    <row r="7" spans="1:32" s="518" customFormat="1" ht="15" customHeight="1" thickBot="1">
      <c r="A7" s="519"/>
      <c r="B7" s="519"/>
      <c r="C7" s="519"/>
      <c r="D7" s="519"/>
      <c r="E7" s="519"/>
      <c r="F7" s="893"/>
      <c r="H7" s="894"/>
    </row>
    <row r="8" spans="1:32" s="523" customFormat="1" ht="28.5" customHeight="1" thickTop="1" thickBot="1">
      <c r="A8" s="525"/>
      <c r="B8" s="525"/>
      <c r="C8" s="2373" t="str">
        <f ca="1">RIGHT(CELL("nombrearchivo",$A$1),LEN(CELL("nombrearchivo",$A$1))-SEARCH("]",CELL("nombrearchivo",$A$1)))</f>
        <v>Tabla V.</v>
      </c>
      <c r="D8" s="2374"/>
      <c r="E8" s="525"/>
      <c r="F8" s="2470" t="s">
        <v>2169</v>
      </c>
      <c r="G8" s="2472" t="s">
        <v>2314</v>
      </c>
      <c r="H8" s="895" t="str">
        <f>"PROYECCIÓN "&amp;$D$18&amp;"/"</f>
        <v>PROYECCIÓN 4/</v>
      </c>
      <c r="I8" s="896"/>
      <c r="J8" s="896"/>
      <c r="K8" s="897"/>
      <c r="L8" s="522"/>
      <c r="M8" s="522"/>
      <c r="N8" s="522"/>
      <c r="O8" s="522"/>
      <c r="P8" s="522"/>
      <c r="Q8" s="522"/>
      <c r="R8" s="522"/>
      <c r="S8" s="522"/>
      <c r="T8" s="522"/>
      <c r="U8" s="522"/>
      <c r="V8" s="522"/>
      <c r="W8" s="522"/>
      <c r="X8" s="522"/>
      <c r="Y8" s="522"/>
      <c r="Z8" s="522"/>
      <c r="AA8" s="522"/>
      <c r="AB8" s="522"/>
      <c r="AC8" s="522"/>
      <c r="AD8" s="522"/>
      <c r="AE8" s="522"/>
      <c r="AF8" s="522"/>
    </row>
    <row r="9" spans="1:32" s="523" customFormat="1" ht="21" thickBot="1">
      <c r="A9" s="919" t="s">
        <v>2261</v>
      </c>
      <c r="B9" s="920" t="s">
        <v>2262</v>
      </c>
      <c r="C9" s="898" t="s">
        <v>2171</v>
      </c>
      <c r="D9" s="899" t="s">
        <v>2172</v>
      </c>
      <c r="E9" s="525"/>
      <c r="F9" s="2471"/>
      <c r="G9" s="2473"/>
      <c r="H9" s="900" t="str">
        <f>CONCATENATE(Menu!C3)&amp;" "&amp; $D$19&amp;"/"</f>
        <v>2025 5/</v>
      </c>
      <c r="I9" s="901">
        <f>Menu!C3+1</f>
        <v>2026</v>
      </c>
      <c r="J9" s="901">
        <f>+I9+1</f>
        <v>2027</v>
      </c>
      <c r="K9" s="236" t="str">
        <f>"SALDO "&amp;$D$20&amp;"/"</f>
        <v>SALDO 6/</v>
      </c>
      <c r="L9" s="522"/>
      <c r="M9" s="522"/>
      <c r="N9" s="522"/>
      <c r="O9" s="522"/>
      <c r="P9" s="522"/>
      <c r="Q9" s="522"/>
      <c r="R9" s="522"/>
      <c r="S9" s="522"/>
      <c r="T9" s="522"/>
      <c r="U9" s="522"/>
      <c r="V9" s="522"/>
      <c r="W9" s="522"/>
      <c r="X9" s="522"/>
      <c r="Y9" s="522"/>
      <c r="Z9" s="522"/>
      <c r="AA9" s="522"/>
      <c r="AB9" s="522"/>
      <c r="AC9" s="522"/>
      <c r="AD9" s="522"/>
      <c r="AE9" s="522"/>
      <c r="AF9" s="522"/>
    </row>
    <row r="10" spans="1:32" s="523" customFormat="1" ht="36" customHeight="1">
      <c r="A10" s="879">
        <f>+'Tabla IV.2.'!A86+1</f>
        <v>16</v>
      </c>
      <c r="B10" s="879" t="s">
        <v>2272</v>
      </c>
      <c r="C10" s="873" t="s">
        <v>2688</v>
      </c>
      <c r="D10" s="902" t="str">
        <f>CONCATENATE(A10,B10)</f>
        <v>16.01.</v>
      </c>
      <c r="E10" s="525"/>
      <c r="F10" s="1656" t="str">
        <f>+D10</f>
        <v>16.01.</v>
      </c>
      <c r="G10" s="1743" t="str">
        <f>" 1. VALOR DE LAS INVERSIONES "&amp;$D$15&amp;"/"</f>
        <v xml:space="preserve"> 1. VALOR DE LAS INVERSIONES 1/</v>
      </c>
      <c r="H10" s="1744"/>
      <c r="I10" s="1745"/>
      <c r="J10" s="1745"/>
      <c r="K10" s="1746"/>
      <c r="L10" s="522"/>
      <c r="M10" s="522"/>
      <c r="N10" s="522"/>
      <c r="O10" s="522"/>
      <c r="P10" s="522"/>
      <c r="Q10" s="522"/>
      <c r="R10" s="522"/>
      <c r="S10" s="522"/>
      <c r="T10" s="522"/>
      <c r="U10" s="522"/>
      <c r="V10" s="522"/>
      <c r="W10" s="522"/>
      <c r="X10" s="522"/>
      <c r="Y10" s="522"/>
      <c r="Z10" s="522"/>
      <c r="AA10" s="522"/>
      <c r="AB10" s="522"/>
      <c r="AC10" s="522"/>
      <c r="AD10" s="522"/>
      <c r="AE10" s="522"/>
      <c r="AF10" s="522"/>
    </row>
    <row r="11" spans="1:32" s="523" customFormat="1" ht="36" customHeight="1">
      <c r="A11" s="879">
        <f>+A10</f>
        <v>16</v>
      </c>
      <c r="B11" s="879" t="s">
        <v>2302</v>
      </c>
      <c r="C11" s="1710" t="s">
        <v>2689</v>
      </c>
      <c r="D11" s="1711" t="str">
        <f>CONCATENATE(A11,B11)</f>
        <v>16.02.</v>
      </c>
      <c r="E11" s="525"/>
      <c r="F11" s="1656" t="str">
        <f>+D11</f>
        <v>16.02.</v>
      </c>
      <c r="G11" s="1747" t="s">
        <v>2690</v>
      </c>
      <c r="H11" s="1748">
        <f>SUM(H12:H13)</f>
        <v>0</v>
      </c>
      <c r="I11" s="1749">
        <f>SUM(I12:I13)</f>
        <v>0</v>
      </c>
      <c r="J11" s="1749">
        <f>SUM(J12:J13)</f>
        <v>0</v>
      </c>
      <c r="K11" s="1750">
        <f>+K12+K13</f>
        <v>0</v>
      </c>
      <c r="L11" s="522"/>
      <c r="M11" s="522"/>
      <c r="N11" s="522"/>
      <c r="O11" s="522"/>
      <c r="P11" s="522"/>
      <c r="Q11" s="522"/>
      <c r="R11" s="522"/>
      <c r="S11" s="522"/>
      <c r="T11" s="522"/>
      <c r="U11" s="522"/>
      <c r="V11" s="522"/>
      <c r="W11" s="522"/>
      <c r="X11" s="522"/>
      <c r="Y11" s="522"/>
      <c r="Z11" s="522"/>
      <c r="AA11" s="522"/>
      <c r="AB11" s="522"/>
      <c r="AC11" s="522"/>
      <c r="AD11" s="522"/>
      <c r="AE11" s="522"/>
      <c r="AF11" s="522"/>
    </row>
    <row r="12" spans="1:32" s="523" customFormat="1" ht="36" customHeight="1">
      <c r="A12" s="879">
        <f>+A11</f>
        <v>16</v>
      </c>
      <c r="B12" s="879" t="s">
        <v>2691</v>
      </c>
      <c r="C12" s="1710" t="s">
        <v>2692</v>
      </c>
      <c r="D12" s="1711" t="str">
        <f>CONCATENATE(A12,B12)</f>
        <v>16.02.01</v>
      </c>
      <c r="E12" s="525"/>
      <c r="F12" s="1656" t="str">
        <f>+D12</f>
        <v>16.02.01</v>
      </c>
      <c r="G12" s="1751" t="str">
        <f>"2.1 ORIGEN EXTERNO "&amp;$D$16&amp;"/"</f>
        <v>2.1 ORIGEN EXTERNO 2/</v>
      </c>
      <c r="H12" s="1744"/>
      <c r="I12" s="1745"/>
      <c r="J12" s="1745"/>
      <c r="K12" s="1746"/>
      <c r="L12" s="522"/>
      <c r="M12" s="522"/>
      <c r="N12" s="522"/>
      <c r="O12" s="522"/>
      <c r="P12" s="522"/>
      <c r="Q12" s="522"/>
      <c r="R12" s="522"/>
      <c r="S12" s="522"/>
      <c r="T12" s="522"/>
      <c r="U12" s="522"/>
      <c r="V12" s="522"/>
      <c r="W12" s="522"/>
      <c r="X12" s="522"/>
      <c r="Y12" s="522"/>
      <c r="Z12" s="522"/>
      <c r="AA12" s="522"/>
      <c r="AB12" s="522"/>
      <c r="AC12" s="522"/>
      <c r="AD12" s="522"/>
      <c r="AE12" s="522"/>
      <c r="AF12" s="522"/>
    </row>
    <row r="13" spans="1:32" s="523" customFormat="1" ht="36" customHeight="1" thickBot="1">
      <c r="A13" s="879">
        <f>+A12</f>
        <v>16</v>
      </c>
      <c r="B13" s="879" t="s">
        <v>2693</v>
      </c>
      <c r="C13" s="1725" t="s">
        <v>2694</v>
      </c>
      <c r="D13" s="1726" t="str">
        <f>CONCATENATE(A13,B13)</f>
        <v>16.02.02</v>
      </c>
      <c r="E13" s="525"/>
      <c r="F13" s="1656" t="str">
        <f>+D13</f>
        <v>16.02.02</v>
      </c>
      <c r="G13" s="1752" t="str">
        <f>"2.2 ORIGEN INTERNO "&amp;$D$17&amp;"/"</f>
        <v>2.2 ORIGEN INTERNO 3/</v>
      </c>
      <c r="H13" s="1744"/>
      <c r="I13" s="1745"/>
      <c r="J13" s="1745"/>
      <c r="K13" s="1746"/>
      <c r="L13" s="522"/>
      <c r="M13" s="522"/>
      <c r="N13" s="522"/>
      <c r="O13" s="522"/>
      <c r="P13" s="522"/>
      <c r="Q13" s="522"/>
      <c r="R13" s="522"/>
      <c r="S13" s="522"/>
      <c r="T13" s="522"/>
      <c r="U13" s="522"/>
      <c r="V13" s="522"/>
      <c r="W13" s="522"/>
      <c r="X13" s="522"/>
      <c r="Y13" s="522"/>
      <c r="Z13" s="522"/>
      <c r="AA13" s="522"/>
      <c r="AB13" s="522"/>
      <c r="AC13" s="522"/>
      <c r="AD13" s="522"/>
      <c r="AE13" s="522"/>
      <c r="AF13" s="522"/>
    </row>
    <row r="14" spans="1:32" s="523" customFormat="1" ht="24" customHeight="1" thickTop="1">
      <c r="A14" s="525"/>
      <c r="B14" s="525"/>
      <c r="C14" s="528"/>
      <c r="D14" s="528"/>
      <c r="E14" s="525"/>
      <c r="F14" s="711" t="s">
        <v>2446</v>
      </c>
      <c r="G14" s="903"/>
      <c r="H14" s="218"/>
      <c r="I14" s="218"/>
      <c r="J14" s="218"/>
      <c r="K14" s="219"/>
      <c r="L14" s="522"/>
      <c r="M14" s="522"/>
      <c r="N14" s="522"/>
      <c r="O14" s="522"/>
      <c r="P14" s="522"/>
      <c r="Q14" s="522"/>
      <c r="R14" s="522"/>
      <c r="S14" s="522"/>
      <c r="T14" s="522"/>
      <c r="U14" s="522"/>
      <c r="V14" s="522"/>
      <c r="W14" s="522"/>
      <c r="X14" s="522"/>
      <c r="Y14" s="522"/>
      <c r="Z14" s="522"/>
      <c r="AA14" s="522"/>
      <c r="AB14" s="522"/>
      <c r="AC14" s="522"/>
      <c r="AD14" s="522"/>
      <c r="AE14" s="522"/>
      <c r="AF14" s="522"/>
    </row>
    <row r="15" spans="1:32" ht="23.25" customHeight="1">
      <c r="C15" s="522"/>
      <c r="D15" s="525">
        <v>1</v>
      </c>
      <c r="F15" s="202" t="str">
        <f>D15&amp;"/ "&amp;"Inversiones orientadas a aumentar la capacidad de producción de la empresa. Incluya los gastos en exploración minera o de hidrocarburos."</f>
        <v>1/ Inversiones orientadas a aumentar la capacidad de producción de la empresa. Incluya los gastos en exploración minera o de hidrocarburos.</v>
      </c>
      <c r="G15" s="904"/>
      <c r="H15" s="904"/>
      <c r="I15" s="904"/>
      <c r="J15" s="904"/>
      <c r="K15" s="905"/>
    </row>
    <row r="16" spans="1:32" ht="23.25" customHeight="1">
      <c r="C16" s="522"/>
      <c r="D16" s="525">
        <f>COUNTA($D$15:D15)+1</f>
        <v>2</v>
      </c>
      <c r="F16" s="202" t="str">
        <f>D16&amp;"/ "&amp;"Procedente del exterior bajo la forma de aportes de capital o préstamos de relacionadas y no relacionadas."</f>
        <v>2/ Procedente del exterior bajo la forma de aportes de capital o préstamos de relacionadas y no relacionadas.</v>
      </c>
      <c r="G16" s="904"/>
      <c r="H16" s="904"/>
      <c r="I16" s="904"/>
      <c r="J16" s="904"/>
      <c r="K16" s="905"/>
    </row>
    <row r="17" spans="3:11" ht="23.25" customHeight="1">
      <c r="C17" s="522"/>
      <c r="D17" s="525">
        <f>COUNTA($D$15:D16)+1</f>
        <v>3</v>
      </c>
      <c r="F17" s="202" t="str">
        <f>D17&amp;"/ "&amp;"Recursos de la propia empresa declarante u obtenidos del mercado local (banca, mercado de capitales, etc.)."</f>
        <v>3/ Recursos de la propia empresa declarante u obtenidos del mercado local (banca, mercado de capitales, etc.).</v>
      </c>
      <c r="G17" s="906"/>
      <c r="H17" s="906"/>
      <c r="I17" s="906"/>
      <c r="J17" s="906"/>
      <c r="K17" s="907"/>
    </row>
    <row r="18" spans="3:11" ht="23.25" customHeight="1">
      <c r="C18" s="522"/>
      <c r="D18" s="525">
        <f>COUNTA($D$15:D17)+1</f>
        <v>4</v>
      </c>
      <c r="F18" s="202" t="str">
        <f>D18&amp;"/ "&amp;"Montos anuales por inversiones nuevas o por inversiones iniciadas con anterioridad al "&amp;Menu!C3&amp;"."</f>
        <v>4/ Montos anuales por inversiones nuevas o por inversiones iniciadas con anterioridad al 2025.</v>
      </c>
      <c r="G18" s="904"/>
      <c r="H18" s="904"/>
      <c r="I18" s="904"/>
      <c r="J18" s="904"/>
      <c r="K18" s="905"/>
    </row>
    <row r="19" spans="3:11" ht="23.25" customHeight="1">
      <c r="C19" s="522"/>
      <c r="D19" s="525">
        <f>COUNTA($D$15:D18)+1</f>
        <v>5</v>
      </c>
      <c r="F19" s="202" t="str">
        <f>D19&amp;"/ "&amp;"Considerar el año completo (ene-dic)."</f>
        <v>5/ Considerar el año completo (ene-dic).</v>
      </c>
      <c r="G19" s="904"/>
      <c r="H19" s="904"/>
      <c r="I19" s="904"/>
      <c r="J19" s="904"/>
      <c r="K19" s="905"/>
    </row>
    <row r="20" spans="3:11" ht="23.25" customHeight="1" thickBot="1">
      <c r="C20" s="522"/>
      <c r="D20" s="525">
        <f>COUNTA($D$15:D19)+1</f>
        <v>6</v>
      </c>
      <c r="F20" s="203" t="str">
        <f>D20&amp;"/ "&amp;"Inversiones posteriores al año "&amp;J9&amp;", incluidos los proyectos futuros."</f>
        <v>6/ Inversiones posteriores al año 2027, incluidos los proyectos futuros.</v>
      </c>
      <c r="G20" s="908"/>
      <c r="H20" s="908"/>
      <c r="I20" s="908"/>
      <c r="J20" s="908"/>
      <c r="K20" s="909"/>
    </row>
    <row r="21" spans="3:11" ht="16.5" thickTop="1"/>
    <row r="22" spans="3:11" ht="32.25" customHeight="1">
      <c r="C22" s="522"/>
      <c r="D22" s="522"/>
      <c r="F22" s="518"/>
      <c r="G22" s="518"/>
      <c r="H22" s="518"/>
      <c r="I22" s="518"/>
    </row>
    <row r="23" spans="3:11">
      <c r="F23" s="518"/>
      <c r="G23" s="518"/>
      <c r="H23" s="518"/>
      <c r="I23" s="518"/>
    </row>
    <row r="24" spans="3:11">
      <c r="F24" s="518"/>
      <c r="G24" s="518"/>
      <c r="H24" s="518"/>
      <c r="I24" s="518"/>
    </row>
  </sheetData>
  <sheetProtection algorithmName="SHA-512" hashValue="LEE6PC3cscgoz1On8EwmB7cMxVPnT3JK6sKn4TPp60sMWb1PWywjj0d1sHxDi9J06OtFhowqJezeXCWW4qDn3w==" saltValue="44v8UgABoI4xKMN9fXlqIQ==" spinCount="100000" sheet="1" objects="1" scenarios="1"/>
  <mergeCells count="3">
    <mergeCell ref="C8:D8"/>
    <mergeCell ref="F8:F9"/>
    <mergeCell ref="G8:G9"/>
  </mergeCells>
  <phoneticPr fontId="0" type="noConversion"/>
  <printOptions horizontalCentered="1" headings="1"/>
  <pageMargins left="0.43307086614173229" right="0.74803149606299213" top="0.51181102362204722" bottom="0.51181102362204722" header="0.39370078740157483" footer="0"/>
  <pageSetup paperSize="9" scale="76" orientation="landscape" r:id="rId1"/>
  <headerFooter alignWithMargins="0">
    <oddFooter>&amp;L&amp;"Arial,Negrita"&amp;14&amp;D   &amp;T&amp;C&amp;"Arial,Negrita"&amp;14&amp;F&amp;R&amp;"Arial,Negrita"&amp;14&amp;A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4">
    <tabColor rgb="FF002060"/>
    <pageSetUpPr fitToPage="1"/>
  </sheetPr>
  <dimension ref="A1:AB75"/>
  <sheetViews>
    <sheetView showGridLines="0" topLeftCell="E4" zoomScale="40" zoomScaleNormal="40" zoomScaleSheetLayoutView="50" workbookViewId="0">
      <pane ySplit="4" topLeftCell="A8" activePane="bottomLeft" state="frozen"/>
      <selection activeCell="H11" sqref="H11:XFD11"/>
      <selection pane="bottomLeft" activeCell="S25" sqref="S25"/>
    </sheetView>
  </sheetViews>
  <sheetFormatPr baseColWidth="10" defaultColWidth="11.42578125" defaultRowHeight="15.75"/>
  <cols>
    <col min="1" max="1" width="17" hidden="1" customWidth="1"/>
    <col min="2" max="2" width="22.5703125" hidden="1" customWidth="1"/>
    <col min="3" max="3" width="21.140625" hidden="1" customWidth="1"/>
    <col min="4" max="4" width="21.7109375" hidden="1" customWidth="1"/>
    <col min="5" max="5" width="7.42578125" style="518" customWidth="1"/>
    <col min="6" max="6" width="20.140625" style="1" customWidth="1"/>
    <col min="7" max="7" width="96.85546875" style="1" customWidth="1"/>
    <col min="8" max="8" width="26.85546875" style="1" customWidth="1"/>
    <col min="9" max="9" width="31.5703125" style="1" customWidth="1"/>
    <col min="10" max="12" width="26.85546875" style="1" customWidth="1"/>
    <col min="13" max="13" width="31.85546875" style="1" customWidth="1"/>
    <col min="14" max="14" width="32.7109375" style="1" customWidth="1"/>
    <col min="15" max="15" width="31.42578125" style="1" customWidth="1"/>
    <col min="16" max="17" width="26.85546875" style="96" customWidth="1"/>
    <col min="18" max="19" width="23.5703125" style="96" customWidth="1"/>
    <col min="20" max="28" width="11.42578125" style="96"/>
  </cols>
  <sheetData>
    <row r="1" spans="1:28" s="518" customFormat="1" ht="23.25">
      <c r="F1" s="309" t="s">
        <v>2253</v>
      </c>
      <c r="G1" s="309"/>
      <c r="H1" s="311" t="s">
        <v>2254</v>
      </c>
      <c r="I1" s="311" t="s">
        <v>2255</v>
      </c>
      <c r="J1" s="311" t="s">
        <v>2256</v>
      </c>
      <c r="K1" s="311" t="s">
        <v>2257</v>
      </c>
      <c r="L1" s="311" t="s">
        <v>2258</v>
      </c>
      <c r="M1" s="311" t="s">
        <v>2259</v>
      </c>
      <c r="N1" s="311" t="s">
        <v>2419</v>
      </c>
      <c r="O1" s="311" t="s">
        <v>2544</v>
      </c>
      <c r="P1" s="311" t="s">
        <v>2545</v>
      </c>
      <c r="Q1" s="311" t="s">
        <v>2392</v>
      </c>
    </row>
    <row r="2" spans="1:28" s="518" customFormat="1" ht="23.25">
      <c r="F2" s="910"/>
    </row>
    <row r="3" spans="1:28" s="97" customFormat="1" ht="17.25" customHeight="1">
      <c r="C3" s="98"/>
      <c r="D3" s="98"/>
      <c r="E3" s="98"/>
      <c r="F3" s="178"/>
      <c r="G3" s="178"/>
      <c r="H3" s="179"/>
      <c r="I3" s="180"/>
      <c r="J3" s="180"/>
      <c r="K3" s="180"/>
      <c r="L3" s="180"/>
      <c r="M3" s="180"/>
      <c r="N3" s="180"/>
      <c r="O3" s="180"/>
      <c r="P3" s="911"/>
      <c r="Q3" s="911"/>
    </row>
    <row r="4" spans="1:28" s="97" customFormat="1" ht="35.25">
      <c r="E4" s="98"/>
      <c r="F4" s="162" t="str">
        <f ca="1">$C$10&amp;"  Derechos y obligaciones patrimoniales y en participaciones de capital. Posiciones y transacciones totales y con no residentes"</f>
        <v>Tabla VI.  Derechos y obligaciones patrimoniales y en participaciones de capital. Posiciones y transacciones totales y con no residentes</v>
      </c>
      <c r="G4" s="160"/>
      <c r="H4" s="160"/>
      <c r="I4" s="161"/>
      <c r="J4" s="160"/>
      <c r="K4" s="160"/>
      <c r="L4" s="160"/>
      <c r="M4" s="160"/>
      <c r="N4" s="160"/>
      <c r="O4" s="160"/>
      <c r="P4" s="160"/>
      <c r="Q4" s="160"/>
    </row>
    <row r="5" spans="1:28" s="97" customFormat="1" ht="6.75" customHeight="1">
      <c r="C5" s="98"/>
      <c r="D5" s="98"/>
      <c r="E5" s="98"/>
      <c r="F5" s="169"/>
      <c r="G5" s="160"/>
      <c r="H5" s="160"/>
      <c r="I5" s="168"/>
      <c r="J5" s="168"/>
      <c r="K5" s="160"/>
      <c r="L5" s="160"/>
      <c r="M5" s="160"/>
      <c r="N5" s="160"/>
      <c r="O5" s="160"/>
    </row>
    <row r="6" spans="1:28" s="97" customFormat="1" ht="62.25" customHeight="1">
      <c r="C6" s="98"/>
      <c r="D6" s="98"/>
      <c r="E6" s="98"/>
      <c r="F6" s="2489" t="s">
        <v>2695</v>
      </c>
      <c r="G6" s="2490"/>
      <c r="H6" s="2490"/>
      <c r="I6" s="2490"/>
      <c r="J6" s="2490"/>
      <c r="K6" s="2490"/>
      <c r="L6" s="2490"/>
      <c r="M6" s="2490"/>
      <c r="N6" s="2490"/>
      <c r="O6" s="2490"/>
      <c r="P6" s="2490"/>
      <c r="Q6" s="2490"/>
      <c r="R6" s="2490"/>
      <c r="S6" s="2490"/>
    </row>
    <row r="7" spans="1:28" ht="6" customHeight="1">
      <c r="A7" s="96"/>
      <c r="B7" s="96"/>
      <c r="C7" s="96"/>
      <c r="D7" s="96"/>
      <c r="F7" s="10"/>
      <c r="G7" s="518"/>
      <c r="H7" s="518"/>
      <c r="I7" s="518"/>
      <c r="J7" s="518"/>
      <c r="K7" s="518"/>
      <c r="L7" s="518"/>
      <c r="M7" s="518"/>
      <c r="N7" s="518"/>
      <c r="O7" s="518"/>
    </row>
    <row r="8" spans="1:28" ht="56.25">
      <c r="A8" s="96"/>
      <c r="B8" s="96"/>
      <c r="D8" s="96"/>
      <c r="F8" s="1283" t="s">
        <v>2696</v>
      </c>
      <c r="G8" s="618"/>
      <c r="H8" s="618"/>
      <c r="I8" s="618"/>
      <c r="J8" s="618"/>
      <c r="K8" s="618"/>
      <c r="L8" s="618"/>
      <c r="M8" s="618"/>
      <c r="N8" s="618"/>
      <c r="O8" s="618"/>
      <c r="P8" s="912"/>
      <c r="Q8" s="912"/>
    </row>
    <row r="9" spans="1:28" ht="30.75" customHeight="1">
      <c r="A9" s="96"/>
      <c r="B9" s="96"/>
      <c r="C9" s="96"/>
      <c r="D9" s="96"/>
      <c r="F9" s="1284" t="s">
        <v>2697</v>
      </c>
      <c r="G9" s="618"/>
      <c r="H9" s="618"/>
      <c r="I9" s="618"/>
      <c r="J9" s="618"/>
      <c r="K9" s="618"/>
      <c r="L9" s="618"/>
      <c r="M9" s="618"/>
      <c r="N9" s="618"/>
      <c r="O9" s="618"/>
      <c r="P9" s="912"/>
      <c r="Q9" s="912"/>
    </row>
    <row r="10" spans="1:28" ht="37.5" thickBot="1">
      <c r="A10" s="96"/>
      <c r="B10" s="96"/>
      <c r="C10" s="130" t="str">
        <f ca="1">RIGHT(CELL("nombrearchivo",$A$1),LEN(CELL("nombrearchivo",$A$1))-SEARCH("]",CELL("nombrearchivo",$A$1)))</f>
        <v>Tabla VI.</v>
      </c>
      <c r="D10" s="96"/>
      <c r="F10" s="913" t="s">
        <v>2420</v>
      </c>
      <c r="G10" s="518"/>
      <c r="H10" s="518"/>
      <c r="I10" s="518"/>
      <c r="J10" s="518"/>
      <c r="K10" s="518"/>
      <c r="L10" s="518"/>
      <c r="M10" s="518"/>
      <c r="N10" s="518"/>
      <c r="O10" s="518"/>
    </row>
    <row r="11" spans="1:28" ht="41.25" customHeight="1" thickTop="1">
      <c r="C11" s="2334" t="str">
        <f ca="1">RIGHT(CELL("nombrearchivo",$A$1),LEN(CELL("nombrearchivo",$A$1))-SEARCH("]",CELL("nombrearchivo",$A$1)))</f>
        <v>Tabla VI.</v>
      </c>
      <c r="D11" s="2335"/>
      <c r="F11" s="914"/>
      <c r="G11" s="915"/>
      <c r="H11" s="2487" t="s">
        <v>2698</v>
      </c>
      <c r="I11" s="2506" t="str">
        <f>CONCATENATE("MOVIMIENTO POR TRANSACCIONES Y VARIACIONES DEL ",Menu!D3,"T",Menu!C3," ",Menu!E4, " (*)")</f>
        <v>MOVIMIENTO POR TRANSACCIONES Y VARIACIONES DEL 3T2025 (JUL - SET) (*)</v>
      </c>
      <c r="J11" s="2506"/>
      <c r="K11" s="2506"/>
      <c r="L11" s="2506"/>
      <c r="M11" s="2506"/>
      <c r="N11" s="2506"/>
      <c r="O11" s="2487" t="s">
        <v>2699</v>
      </c>
      <c r="P11" s="2491"/>
      <c r="Q11" s="2492"/>
    </row>
    <row r="12" spans="1:28" ht="69.75" customHeight="1">
      <c r="C12" s="2477"/>
      <c r="D12" s="2478"/>
      <c r="F12" s="237"/>
      <c r="G12" s="916"/>
      <c r="H12" s="2488"/>
      <c r="I12" s="1315" t="s">
        <v>2700</v>
      </c>
      <c r="J12" s="2481" t="str">
        <f>"ESTADO DE RESULTADOS "&amp;
"
Ganancia / Pérdida Neta del Ejercicio "&amp;$D$31&amp;"/  "&amp;$D$32&amp;"/"</f>
        <v>ESTADO DE RESULTADOS 
Ganancia / Pérdida Neta del Ejercicio 7/  8/</v>
      </c>
      <c r="K12" s="2482"/>
      <c r="L12" s="2483" t="s">
        <v>2701</v>
      </c>
      <c r="M12" s="2484"/>
      <c r="N12" s="2485" t="str">
        <f>"OTRAS
 VARIACIONES "&amp;$D$36&amp;"/"</f>
        <v>OTRAS
 VARIACIONES 11/</v>
      </c>
      <c r="O12" s="2488"/>
      <c r="P12" s="2493"/>
      <c r="Q12" s="2494"/>
    </row>
    <row r="13" spans="1:28" ht="93.95" customHeight="1" thickBot="1">
      <c r="C13" s="2336"/>
      <c r="D13" s="2337"/>
      <c r="F13" s="2479"/>
      <c r="G13" s="2480"/>
      <c r="H13" s="995" t="str">
        <f>+'Tabla III.2.'!H10</f>
        <v>SALDO A FINES DE JUNIO 2025</v>
      </c>
      <c r="I13" s="1311" t="s">
        <v>2702</v>
      </c>
      <c r="J13" s="917" t="s">
        <v>2667</v>
      </c>
      <c r="K13" s="918" t="str">
        <f>"Del cual, exclusiones 
para la
Balanza de Pagos "&amp;$D$33&amp;"/"</f>
        <v>Del cual, exclusiones 
para la
Balanza de Pagos 9/</v>
      </c>
      <c r="L13" s="1310" t="str">
        <f>"Dividendos en efectivo declarados "&amp;$D$35&amp;"/"</f>
        <v>Dividendos en efectivo declarados 10/</v>
      </c>
      <c r="M13" s="1316" t="s">
        <v>2703</v>
      </c>
      <c r="N13" s="2486"/>
      <c r="O13" s="995" t="str">
        <f>+'Tabla III.2.'!L10</f>
        <v>SALDO A FINES DE SETIEMBRE 2025</v>
      </c>
      <c r="P13" s="2493"/>
      <c r="Q13" s="2494"/>
    </row>
    <row r="14" spans="1:28" ht="46.5" thickTop="1" thickBot="1">
      <c r="A14" s="919" t="s">
        <v>2261</v>
      </c>
      <c r="B14" s="920" t="s">
        <v>2262</v>
      </c>
      <c r="C14" s="898" t="s">
        <v>2171</v>
      </c>
      <c r="D14" s="899" t="s">
        <v>2172</v>
      </c>
      <c r="F14" s="1002" t="s">
        <v>2169</v>
      </c>
      <c r="G14" s="1000" t="s">
        <v>2704</v>
      </c>
      <c r="H14" s="998" t="s">
        <v>2266</v>
      </c>
      <c r="I14" s="998" t="s">
        <v>2267</v>
      </c>
      <c r="J14" s="999" t="s">
        <v>2268</v>
      </c>
      <c r="K14" s="1318" t="s">
        <v>2269</v>
      </c>
      <c r="L14" s="1001" t="s">
        <v>2270</v>
      </c>
      <c r="M14" s="1317" t="s">
        <v>2271</v>
      </c>
      <c r="N14" s="998" t="s">
        <v>2430</v>
      </c>
      <c r="O14" s="1097" t="s">
        <v>2705</v>
      </c>
      <c r="P14" s="2493"/>
      <c r="Q14" s="2494"/>
    </row>
    <row r="15" spans="1:28" s="131" customFormat="1" ht="36" customHeight="1" thickBot="1">
      <c r="A15" s="136">
        <f>+'Tabla V.'!A13+1</f>
        <v>17</v>
      </c>
      <c r="B15" s="255" t="s">
        <v>2272</v>
      </c>
      <c r="C15" s="921"/>
      <c r="D15" s="922" t="str">
        <f>CONCATENATE(A15,B15)</f>
        <v>17.01.</v>
      </c>
      <c r="E15" s="518"/>
      <c r="F15" s="996" t="str">
        <f>+D15</f>
        <v>17.01.</v>
      </c>
      <c r="G15" s="997" t="str">
        <f>"I. TOTAL DE DERECHOS EN EL EXTERIOR (1 + 2)   "&amp;D25&amp;"/"</f>
        <v>I. TOTAL DE DERECHOS EN EL EXTERIOR (1 + 2)   1/</v>
      </c>
      <c r="H15" s="389">
        <f>SUM(H16,H21)</f>
        <v>0</v>
      </c>
      <c r="I15" s="327">
        <f t="shared" ref="I15:O15" si="0">SUM(I16,I21)</f>
        <v>0</v>
      </c>
      <c r="J15" s="325">
        <f t="shared" si="0"/>
        <v>0</v>
      </c>
      <c r="K15" s="329">
        <f t="shared" si="0"/>
        <v>0</v>
      </c>
      <c r="L15" s="325">
        <f t="shared" si="0"/>
        <v>0</v>
      </c>
      <c r="M15" s="329">
        <f t="shared" si="0"/>
        <v>0</v>
      </c>
      <c r="N15" s="327">
        <f t="shared" si="0"/>
        <v>0</v>
      </c>
      <c r="O15" s="389">
        <f t="shared" si="0"/>
        <v>0</v>
      </c>
      <c r="P15" s="2493"/>
      <c r="Q15" s="2494"/>
      <c r="R15" s="588"/>
      <c r="S15" s="588"/>
      <c r="T15" s="588"/>
      <c r="U15" s="588"/>
      <c r="V15" s="588"/>
      <c r="W15" s="588"/>
      <c r="X15" s="588"/>
      <c r="Y15" s="588"/>
      <c r="Z15" s="588"/>
      <c r="AA15" s="588"/>
      <c r="AB15" s="588"/>
    </row>
    <row r="16" spans="1:28" s="131" customFormat="1" ht="31.5" customHeight="1">
      <c r="A16" s="136">
        <f t="shared" ref="A16:A21" si="1">+A15</f>
        <v>17</v>
      </c>
      <c r="B16" s="255" t="s">
        <v>2320</v>
      </c>
      <c r="C16" s="923" t="s">
        <v>20</v>
      </c>
      <c r="D16" s="794" t="str">
        <f t="shared" ref="D16:D21" si="2">CONCATENATE(A16,B16)</f>
        <v>17.01.01.</v>
      </c>
      <c r="E16" s="518"/>
      <c r="F16" s="953" t="str">
        <f t="shared" ref="F16:F21" si="3">+D16</f>
        <v>17.01.01.</v>
      </c>
      <c r="G16" s="992" t="s">
        <v>2706</v>
      </c>
      <c r="H16" s="389">
        <f>SUM(H17:H20)</f>
        <v>0</v>
      </c>
      <c r="I16" s="327">
        <f t="shared" ref="I16:O16" si="4">SUM(I17:I20)</f>
        <v>0</v>
      </c>
      <c r="J16" s="325">
        <f t="shared" si="4"/>
        <v>0</v>
      </c>
      <c r="K16" s="329">
        <f t="shared" si="4"/>
        <v>0</v>
      </c>
      <c r="L16" s="325">
        <f t="shared" si="4"/>
        <v>0</v>
      </c>
      <c r="M16" s="329">
        <f t="shared" si="4"/>
        <v>0</v>
      </c>
      <c r="N16" s="327">
        <f t="shared" si="4"/>
        <v>0</v>
      </c>
      <c r="O16" s="389">
        <f t="shared" si="4"/>
        <v>0</v>
      </c>
      <c r="P16" s="2493"/>
      <c r="Q16" s="2494"/>
      <c r="R16" s="588"/>
      <c r="S16" s="588"/>
      <c r="T16" s="588"/>
      <c r="U16" s="588"/>
      <c r="V16" s="588"/>
      <c r="W16" s="588"/>
      <c r="X16" s="588"/>
      <c r="Y16" s="588"/>
      <c r="Z16" s="588"/>
      <c r="AA16" s="588"/>
      <c r="AB16" s="588"/>
    </row>
    <row r="17" spans="1:28" s="131" customFormat="1" ht="45.75" customHeight="1">
      <c r="A17" s="136">
        <f t="shared" si="1"/>
        <v>17</v>
      </c>
      <c r="B17" s="255" t="s">
        <v>2613</v>
      </c>
      <c r="C17" s="814">
        <v>501</v>
      </c>
      <c r="D17" s="781" t="str">
        <f t="shared" si="2"/>
        <v>17.01.01.01</v>
      </c>
      <c r="E17" s="518"/>
      <c r="F17" s="825" t="str">
        <f t="shared" si="3"/>
        <v>17.01.01.01</v>
      </c>
      <c r="G17" s="1753" t="str">
        <f>"1.1.  EN EMPRESAS DE INVERSIÓN DIRECTA NO RESIDENTES  "&amp;D26&amp;"/"</f>
        <v>1.1.  EN EMPRESAS DE INVERSIÓN DIRECTA NO RESIDENTES  2/</v>
      </c>
      <c r="H17" s="1261"/>
      <c r="I17" s="1262"/>
      <c r="J17" s="1263"/>
      <c r="K17" s="1264"/>
      <c r="L17" s="1263"/>
      <c r="M17" s="1264"/>
      <c r="N17" s="1262"/>
      <c r="O17" s="1121">
        <f>+H17+I17+J17-L17+N17</f>
        <v>0</v>
      </c>
      <c r="P17" s="2493"/>
      <c r="Q17" s="2494"/>
      <c r="R17" s="588"/>
      <c r="S17" s="588"/>
      <c r="T17" s="588"/>
      <c r="U17" s="588"/>
      <c r="V17" s="588"/>
      <c r="W17" s="588"/>
      <c r="X17" s="588"/>
      <c r="Y17" s="588"/>
      <c r="Z17" s="588"/>
      <c r="AA17" s="588"/>
      <c r="AB17" s="588"/>
    </row>
    <row r="18" spans="1:28" s="131" customFormat="1" ht="45.75" customHeight="1">
      <c r="A18" s="136">
        <f t="shared" si="1"/>
        <v>17</v>
      </c>
      <c r="B18" s="255" t="s">
        <v>2615</v>
      </c>
      <c r="C18" s="1582">
        <v>501</v>
      </c>
      <c r="D18" s="1619" t="str">
        <f t="shared" si="2"/>
        <v>17.01.01.02</v>
      </c>
      <c r="E18" s="518"/>
      <c r="F18" s="1656" t="str">
        <f t="shared" si="3"/>
        <v>17.01.01.02</v>
      </c>
      <c r="G18" s="1753" t="str">
        <f>"1.2.  EN EL INVERSIONISTA DIRECTO (ID) NO RESIDENTE  "&amp;D27&amp;"/"</f>
        <v>1.2.  EN EL INVERSIONISTA DIRECTO (ID) NO RESIDENTE  3/</v>
      </c>
      <c r="H18" s="1754"/>
      <c r="I18" s="1755"/>
      <c r="J18" s="1756"/>
      <c r="K18" s="1757"/>
      <c r="L18" s="1756"/>
      <c r="M18" s="1757"/>
      <c r="N18" s="1755"/>
      <c r="O18" s="1758">
        <f t="shared" ref="O18:O21" si="5">+H18+I18+J18-L18+N18</f>
        <v>0</v>
      </c>
      <c r="P18" s="2493"/>
      <c r="Q18" s="2494"/>
      <c r="R18" s="588"/>
      <c r="S18" s="588"/>
      <c r="T18" s="588"/>
      <c r="U18" s="588"/>
      <c r="V18" s="588"/>
      <c r="W18" s="588"/>
      <c r="X18" s="588"/>
      <c r="Y18" s="588"/>
      <c r="Z18" s="588"/>
      <c r="AA18" s="588"/>
      <c r="AB18" s="588"/>
    </row>
    <row r="19" spans="1:28" s="131" customFormat="1" ht="45.75" customHeight="1">
      <c r="A19" s="136">
        <f t="shared" si="1"/>
        <v>17</v>
      </c>
      <c r="B19" s="255" t="s">
        <v>2707</v>
      </c>
      <c r="C19" s="1582">
        <v>501</v>
      </c>
      <c r="D19" s="1619" t="str">
        <f t="shared" si="2"/>
        <v>17.01.01.03</v>
      </c>
      <c r="E19" s="518"/>
      <c r="F19" s="1656" t="str">
        <f t="shared" si="3"/>
        <v>17.01.01.03</v>
      </c>
      <c r="G19" s="1753" t="str">
        <f>"1.3.  SOBRE EMPARENTADAS, SI MATRIZ COMÚN QUE EJERCE EL
         CONTROL FINAL RESIDE EN EL EXTERIOR "&amp;D28&amp;"/ "</f>
        <v xml:space="preserve">1.3.  SOBRE EMPARENTADAS, SI MATRIZ COMÚN QUE EJERCE EL
         CONTROL FINAL RESIDE EN EL EXTERIOR 4/ </v>
      </c>
      <c r="H19" s="1754"/>
      <c r="I19" s="1755"/>
      <c r="J19" s="1756"/>
      <c r="K19" s="1757"/>
      <c r="L19" s="1756"/>
      <c r="M19" s="1757"/>
      <c r="N19" s="1755"/>
      <c r="O19" s="1758">
        <f t="shared" si="5"/>
        <v>0</v>
      </c>
      <c r="P19" s="2493"/>
      <c r="Q19" s="2494"/>
      <c r="R19" s="588"/>
      <c r="S19" s="588"/>
      <c r="T19" s="588"/>
      <c r="U19" s="588"/>
      <c r="V19" s="588"/>
      <c r="W19" s="588"/>
      <c r="X19" s="588"/>
      <c r="Y19" s="588"/>
      <c r="Z19" s="588"/>
      <c r="AA19" s="588"/>
      <c r="AB19" s="588"/>
    </row>
    <row r="20" spans="1:28" s="131" customFormat="1" ht="45.75" customHeight="1">
      <c r="A20" s="136">
        <f t="shared" si="1"/>
        <v>17</v>
      </c>
      <c r="B20" s="255" t="s">
        <v>2708</v>
      </c>
      <c r="C20" s="1582">
        <v>501</v>
      </c>
      <c r="D20" s="1619" t="str">
        <f t="shared" si="2"/>
        <v>17.01.01.04</v>
      </c>
      <c r="E20" s="518"/>
      <c r="F20" s="1656" t="str">
        <f t="shared" si="3"/>
        <v>17.01.01.04</v>
      </c>
      <c r="G20" s="1753" t="str">
        <f>"1.4.  SOBRE EMPARENTADAS, SI MATRIZ COMÚN QUE EJERCE EL
         CONTROL FINAL RESIDE EN EL PAÍS "&amp;$D$29&amp;"/"</f>
        <v>1.4.  SOBRE EMPARENTADAS, SI MATRIZ COMÚN QUE EJERCE EL
         CONTROL FINAL RESIDE EN EL PAÍS 5/</v>
      </c>
      <c r="H20" s="1754"/>
      <c r="I20" s="1755"/>
      <c r="J20" s="1756"/>
      <c r="K20" s="1757"/>
      <c r="L20" s="1756"/>
      <c r="M20" s="1757"/>
      <c r="N20" s="1755"/>
      <c r="O20" s="1758">
        <f t="shared" si="5"/>
        <v>0</v>
      </c>
      <c r="P20" s="2493"/>
      <c r="Q20" s="2494"/>
      <c r="R20" s="588"/>
      <c r="S20" s="588"/>
      <c r="T20" s="588"/>
      <c r="U20" s="588"/>
      <c r="V20" s="588"/>
      <c r="W20" s="588"/>
      <c r="X20" s="588"/>
      <c r="Y20" s="588"/>
      <c r="Z20" s="588"/>
      <c r="AA20" s="588"/>
      <c r="AB20" s="588"/>
    </row>
    <row r="21" spans="1:28" s="131" customFormat="1" ht="46.5" customHeight="1" thickBot="1">
      <c r="A21" s="924">
        <f t="shared" si="1"/>
        <v>17</v>
      </c>
      <c r="B21" s="925" t="s">
        <v>2325</v>
      </c>
      <c r="C21" s="921">
        <v>502</v>
      </c>
      <c r="D21" s="922" t="str">
        <f t="shared" si="2"/>
        <v>17.01.02.</v>
      </c>
      <c r="E21" s="518"/>
      <c r="F21" s="993" t="str">
        <f t="shared" si="3"/>
        <v>17.01.02.</v>
      </c>
      <c r="G21" s="994" t="str">
        <f>"2. EN EMPRESAS NO RELACIONADAS "&amp;$D$30&amp;"/"</f>
        <v>2. EN EMPRESAS NO RELACIONADAS 6/</v>
      </c>
      <c r="H21" s="1265"/>
      <c r="I21" s="1266"/>
      <c r="J21" s="1267"/>
      <c r="K21" s="1268"/>
      <c r="L21" s="1267"/>
      <c r="M21" s="1268"/>
      <c r="N21" s="1266"/>
      <c r="O21" s="1122">
        <f t="shared" si="5"/>
        <v>0</v>
      </c>
      <c r="P21" s="2495"/>
      <c r="Q21" s="2496"/>
      <c r="R21" s="588"/>
      <c r="S21" s="588"/>
      <c r="T21" s="588"/>
      <c r="U21" s="588"/>
      <c r="V21" s="588"/>
      <c r="W21" s="588"/>
      <c r="X21" s="588"/>
      <c r="Y21" s="588"/>
      <c r="Z21" s="588"/>
      <c r="AA21" s="588"/>
      <c r="AB21" s="588"/>
    </row>
    <row r="22" spans="1:28" ht="16.5" thickBot="1"/>
    <row r="23" spans="1:28" ht="27.75" customHeight="1" thickTop="1">
      <c r="F23" s="711" t="s">
        <v>2709</v>
      </c>
      <c r="G23" s="926"/>
      <c r="H23" s="926"/>
      <c r="I23" s="926"/>
      <c r="J23" s="926"/>
      <c r="K23" s="926"/>
      <c r="L23" s="926"/>
      <c r="M23" s="926"/>
      <c r="N23" s="926"/>
      <c r="O23" s="926"/>
      <c r="P23" s="855"/>
      <c r="Q23" s="856"/>
    </row>
    <row r="24" spans="1:28" ht="33" customHeight="1">
      <c r="F24" s="927" t="s">
        <v>2710</v>
      </c>
      <c r="G24" s="928"/>
      <c r="H24" s="929"/>
      <c r="I24" s="929"/>
      <c r="J24" s="929"/>
      <c r="K24" s="929"/>
      <c r="L24" s="929"/>
      <c r="M24" s="929"/>
      <c r="N24" s="929"/>
      <c r="O24" s="929"/>
      <c r="Q24" s="858"/>
    </row>
    <row r="25" spans="1:28" ht="27.75" customHeight="1">
      <c r="D25" s="531">
        <v>1</v>
      </c>
      <c r="E25" s="686"/>
      <c r="F25" s="930" t="str">
        <f>D25&amp;"/"&amp; " Las columnas A y H representan la suma del valor patrimonial que la empresa declarante posee en todas sus empresas del exterior  (participación porcentual multiplicada por el valor del patrimonio en cada empresa)."</f>
        <v>1/ Las columnas A y H representan la suma del valor patrimonial que la empresa declarante posee en todas sus empresas del exterior  (participación porcentual multiplicada por el valor del patrimonio en cada empresa).</v>
      </c>
      <c r="G25" s="686"/>
      <c r="H25" s="686"/>
      <c r="I25" s="686"/>
      <c r="J25" s="686"/>
      <c r="K25" s="686"/>
      <c r="L25" s="686"/>
      <c r="M25" s="686"/>
      <c r="N25" s="686"/>
      <c r="O25" s="686"/>
      <c r="Q25" s="858"/>
    </row>
    <row r="26" spans="1:28" ht="27.75" customHeight="1">
      <c r="C26" s="683"/>
      <c r="D26" s="531">
        <f>COUNTA($D$25:D25)+1</f>
        <v>2</v>
      </c>
      <c r="F26" s="930" t="str">
        <f>D26&amp;"/"&amp; " La empresa declarante actúa como inversionista directo al poseer, de manera inmediata o indirecta, una participación igual o mayor al 10% en empresas no residentes."</f>
        <v>2/ La empresa declarante actúa como inversionista directo al poseer, de manera inmediata o indirecta, una participación igual o mayor al 10% en empresas no residentes.</v>
      </c>
      <c r="G26" s="518"/>
      <c r="H26" s="518"/>
      <c r="I26" s="518"/>
      <c r="J26" s="518"/>
      <c r="K26" s="518"/>
      <c r="L26" s="518"/>
      <c r="M26" s="518"/>
      <c r="N26" s="518"/>
      <c r="O26" s="518"/>
      <c r="Q26" s="858"/>
    </row>
    <row r="27" spans="1:28" ht="27.75" customHeight="1">
      <c r="C27" s="683"/>
      <c r="D27" s="531">
        <f>COUNTA($D$25:D26)+1</f>
        <v>3</v>
      </c>
      <c r="F27" s="930" t="str">
        <f>D27&amp;"/"&amp;" La empresa declarante posee una participación menor al 10 por ciento en su matriz o inversionista directo del exterior (se le conoce como inversión en sentido contrario)."</f>
        <v>3/ La empresa declarante posee una participación menor al 10 por ciento en su matriz o inversionista directo del exterior (se le conoce como inversión en sentido contrario).</v>
      </c>
      <c r="G27" s="518"/>
      <c r="H27" s="518"/>
      <c r="I27" s="518"/>
      <c r="J27" s="518"/>
      <c r="K27" s="518"/>
      <c r="L27" s="518"/>
      <c r="M27" s="518"/>
      <c r="N27" s="518"/>
      <c r="O27" s="518"/>
      <c r="Q27" s="858"/>
    </row>
    <row r="28" spans="1:28" ht="27.75" customHeight="1">
      <c r="C28" s="683"/>
      <c r="D28" s="531">
        <f>COUNTA($D$25:D27)+1</f>
        <v>4</v>
      </c>
      <c r="F28" s="930" t="str">
        <f>D28&amp;"/"&amp; " El inversionista directo que ejerce el control final de la empresa declarante es no residente."</f>
        <v>4/ El inversionista directo que ejerce el control final de la empresa declarante es no residente.</v>
      </c>
      <c r="G28" s="518"/>
      <c r="H28" s="518"/>
      <c r="I28" s="518"/>
      <c r="J28" s="518"/>
      <c r="K28" s="518"/>
      <c r="L28" s="518"/>
      <c r="M28" s="518"/>
      <c r="N28" s="518"/>
      <c r="O28" s="518"/>
      <c r="Q28" s="858"/>
    </row>
    <row r="29" spans="1:28" ht="27.75" customHeight="1">
      <c r="C29" s="683"/>
      <c r="D29" s="531">
        <f>COUNTA($D$25:D28)+1</f>
        <v>5</v>
      </c>
      <c r="F29" s="930" t="str">
        <f>D29&amp;"/"&amp; " El inversionista directo que ejerce el control final de la empresa declarante es residente."</f>
        <v>5/ El inversionista directo que ejerce el control final de la empresa declarante es residente.</v>
      </c>
      <c r="G29" s="518"/>
      <c r="H29" s="518"/>
      <c r="I29" s="518"/>
      <c r="J29" s="518"/>
      <c r="K29" s="518"/>
      <c r="L29" s="518"/>
      <c r="M29" s="518"/>
      <c r="N29" s="518"/>
      <c r="O29" s="518"/>
      <c r="Q29" s="858"/>
    </row>
    <row r="30" spans="1:28" ht="27.75" customHeight="1">
      <c r="C30" s="683"/>
      <c r="D30" s="531">
        <f>COUNTA($D$25:D29)+1</f>
        <v>6</v>
      </c>
      <c r="F30" s="930" t="str">
        <f>D30&amp;"/"&amp; " Incluye a toda empresa no residente no-emparentada en donde la participación de la empresa declarante es menor al 10%. A estas inversiones se les conoce también como inversiones de cartera."</f>
        <v>6/ Incluye a toda empresa no residente no-emparentada en donde la participación de la empresa declarante es menor al 10%. A estas inversiones se les conoce también como inversiones de cartera.</v>
      </c>
      <c r="G30" s="518"/>
      <c r="H30" s="518"/>
      <c r="I30" s="518"/>
      <c r="J30" s="518"/>
      <c r="K30" s="518"/>
      <c r="L30" s="518"/>
      <c r="M30" s="518"/>
      <c r="N30" s="518"/>
      <c r="O30" s="518"/>
      <c r="Q30" s="858"/>
    </row>
    <row r="31" spans="1:28" ht="27.75" customHeight="1">
      <c r="C31" s="683"/>
      <c r="D31" s="531">
        <f>COUNTA($D$25:D30)+1</f>
        <v>7</v>
      </c>
      <c r="F31" s="930" t="str">
        <f>D31&amp;"/"&amp; " Equivalente al estado de resultados de la empresa, por lo general igual a:  +superávit de explotacion (ingresos  - gastos) + dividendos (por cobrar - por pagar) + intereses (por cobrar - por pagar) + renta (por cobrar - por pagar) -  impuestos"</f>
        <v>7/ Equivalente al estado de resultados de la empresa, por lo general igual a:  +superávit de explotacion (ingresos  - gastos) + dividendos (por cobrar - por pagar) + intereses (por cobrar - por pagar) + renta (por cobrar - por pagar) -  impuestos</v>
      </c>
      <c r="G31" s="518"/>
      <c r="H31" s="518"/>
      <c r="I31" s="518"/>
      <c r="J31" s="518"/>
      <c r="K31" s="518"/>
      <c r="L31" s="518"/>
      <c r="M31" s="518"/>
      <c r="N31" s="518"/>
      <c r="O31" s="518"/>
      <c r="Q31" s="858"/>
    </row>
    <row r="32" spans="1:28" ht="27.75" customHeight="1">
      <c r="C32" s="683"/>
      <c r="D32" s="531">
        <f>COUNTA($D$25:D31)+1</f>
        <v>8</v>
      </c>
      <c r="F32" s="930" t="str">
        <f>D32&amp;"/ "&amp; "Incluya la porción correspondiente de las utilidades / pérdidas de las subsidiarias, asociadas o emparentadas."</f>
        <v>8/ Incluya la porción correspondiente de las utilidades / pérdidas de las subsidiarias, asociadas o emparentadas.</v>
      </c>
      <c r="G32" s="518"/>
      <c r="H32" s="518"/>
      <c r="I32" s="518"/>
      <c r="J32" s="518"/>
      <c r="K32" s="518"/>
      <c r="L32" s="518"/>
      <c r="M32" s="518"/>
      <c r="N32" s="518"/>
      <c r="O32" s="518"/>
      <c r="Q32" s="858"/>
    </row>
    <row r="33" spans="1:28" ht="27.75" customHeight="1">
      <c r="C33" s="683"/>
      <c r="D33" s="531">
        <f>COUNTA($D$25:D32)+1</f>
        <v>9</v>
      </c>
      <c r="F33" s="930" t="str">
        <f>D33&amp;"/ "&amp; "Ganancias (+) o pérdidas (-) por tenencia (realizadas o no realizadas) como resultado de variaciones cambiarias, de la revaloración de activos fijos y de las variaciones de los precios de mercado de activos y pasivos financieros"&amp; " y de derivados financieros."</f>
        <v>9/ Ganancias (+) o pérdidas (-) por tenencia (realizadas o no realizadas) como resultado de variaciones cambiarias, de la revaloración de activos fijos y de las variaciones de los precios de mercado de activos y pasivos financieros y de derivados financieros.</v>
      </c>
      <c r="G33" s="518"/>
      <c r="H33" s="518"/>
      <c r="I33" s="518"/>
      <c r="J33" s="518"/>
      <c r="K33" s="518"/>
      <c r="L33" s="518"/>
      <c r="M33" s="518"/>
      <c r="N33" s="518"/>
      <c r="O33" s="518"/>
      <c r="Q33" s="858"/>
    </row>
    <row r="34" spans="1:28" ht="27.75" customHeight="1">
      <c r="C34" s="683"/>
      <c r="D34" s="531"/>
      <c r="F34" s="930" t="s">
        <v>2711</v>
      </c>
      <c r="G34" s="518"/>
      <c r="H34" s="518"/>
      <c r="I34" s="518"/>
      <c r="J34" s="518"/>
      <c r="K34" s="518"/>
      <c r="L34" s="518"/>
      <c r="M34" s="518"/>
      <c r="N34" s="518"/>
      <c r="O34" s="518"/>
      <c r="Q34" s="858"/>
    </row>
    <row r="35" spans="1:28" ht="27.75" customHeight="1">
      <c r="C35" s="683"/>
      <c r="D35" s="531">
        <f>COUNTA($D$25:D33)+1</f>
        <v>10</v>
      </c>
      <c r="F35" s="930" t="str">
        <f>D35&amp;"/ "&amp;"Dividendos que, sin ser aún cobrados, la empresa declarante los reconoce contablemente como derechos (en sus activos de balance)."</f>
        <v>10/ Dividendos que, sin ser aún cobrados, la empresa declarante los reconoce contablemente como derechos (en sus activos de balance).</v>
      </c>
      <c r="G35" s="518"/>
      <c r="H35" s="518"/>
      <c r="I35" s="518"/>
      <c r="J35" s="518"/>
      <c r="K35" s="518"/>
      <c r="L35" s="518"/>
      <c r="M35" s="518"/>
      <c r="N35" s="518"/>
      <c r="O35" s="518"/>
      <c r="Q35" s="858"/>
    </row>
    <row r="36" spans="1:28" ht="27.75" customHeight="1" thickBot="1">
      <c r="C36" s="683"/>
      <c r="D36" s="531">
        <f>COUNTA($D$25:D35)+1</f>
        <v>11</v>
      </c>
      <c r="F36" s="931" t="str">
        <f>D36&amp;"/ "&amp;"Registre los montos que afectan al patrimonio como resultado de fusiones, escisiones u otras operaciones distintas de los aportes, utilidades corrientes y dividendos."</f>
        <v>11/ Registre los montos que afectan al patrimonio como resultado de fusiones, escisiones u otras operaciones distintas de los aportes, utilidades corrientes y dividendos.</v>
      </c>
      <c r="G36" s="932"/>
      <c r="H36" s="932"/>
      <c r="I36" s="932"/>
      <c r="J36" s="932"/>
      <c r="K36" s="932"/>
      <c r="L36" s="932"/>
      <c r="M36" s="932"/>
      <c r="N36" s="932"/>
      <c r="O36" s="932"/>
      <c r="P36" s="933"/>
      <c r="Q36" s="934"/>
    </row>
    <row r="37" spans="1:28" ht="16.5" thickTop="1"/>
    <row r="38" spans="1:28">
      <c r="E38" s="686"/>
      <c r="F38" s="686"/>
      <c r="G38" s="686"/>
      <c r="H38" s="686"/>
      <c r="I38" s="686"/>
      <c r="J38" s="686"/>
      <c r="K38" s="686"/>
      <c r="L38" s="686"/>
      <c r="M38" s="686"/>
      <c r="N38" s="686"/>
      <c r="O38" s="686"/>
    </row>
    <row r="39" spans="1:28">
      <c r="E39" s="686"/>
      <c r="F39" s="935"/>
      <c r="G39" s="935"/>
      <c r="H39" s="935"/>
      <c r="I39" s="935"/>
      <c r="J39" s="935"/>
      <c r="K39" s="935"/>
      <c r="L39" s="935"/>
      <c r="M39" s="935"/>
      <c r="N39" s="935"/>
      <c r="O39" s="935"/>
      <c r="P39" s="911"/>
      <c r="Q39" s="911"/>
      <c r="R39" s="911"/>
      <c r="S39" s="911"/>
    </row>
    <row r="40" spans="1:28" s="96" customFormat="1">
      <c r="E40" s="518"/>
      <c r="F40" s="518"/>
      <c r="G40" s="518"/>
      <c r="H40" s="518"/>
      <c r="I40" s="518"/>
      <c r="J40" s="518"/>
      <c r="K40" s="518"/>
      <c r="L40" s="518"/>
      <c r="M40" s="518"/>
      <c r="N40" s="518"/>
      <c r="O40" s="518"/>
    </row>
    <row r="41" spans="1:28" ht="56.25">
      <c r="A41" s="96"/>
      <c r="B41" s="96"/>
      <c r="C41" s="96"/>
      <c r="D41" s="96"/>
      <c r="F41" s="1283" t="s">
        <v>2712</v>
      </c>
      <c r="G41" s="618"/>
      <c r="H41" s="618"/>
      <c r="I41" s="618"/>
      <c r="J41" s="618"/>
      <c r="K41" s="618"/>
      <c r="L41" s="618"/>
      <c r="M41" s="618"/>
      <c r="N41" s="618"/>
      <c r="O41" s="618"/>
      <c r="P41" s="912"/>
      <c r="Q41" s="912"/>
    </row>
    <row r="42" spans="1:28" ht="45.75" customHeight="1" thickBot="1">
      <c r="A42" s="96"/>
      <c r="B42" s="96"/>
      <c r="C42" s="96"/>
      <c r="D42" s="96"/>
      <c r="F42" s="1285" t="s">
        <v>2713</v>
      </c>
      <c r="G42" s="1282"/>
      <c r="H42" s="1282"/>
      <c r="I42" s="1282"/>
      <c r="J42" s="1282"/>
      <c r="K42" s="1282"/>
      <c r="L42" s="1282"/>
      <c r="M42" s="1282"/>
      <c r="N42" s="1282"/>
      <c r="O42" s="1282"/>
      <c r="P42" s="1282"/>
      <c r="Q42" s="1282"/>
      <c r="R42" s="1282"/>
      <c r="S42" s="1282"/>
    </row>
    <row r="43" spans="1:28" ht="38.25" customHeight="1" thickTop="1" thickBot="1">
      <c r="A43" s="96"/>
      <c r="B43" s="96"/>
      <c r="C43" s="96"/>
      <c r="D43" s="96"/>
      <c r="F43" s="913"/>
      <c r="G43" s="518"/>
      <c r="H43" s="518"/>
      <c r="I43" s="2507" t="s">
        <v>2420</v>
      </c>
      <c r="J43" s="2508"/>
      <c r="K43" s="2508"/>
      <c r="L43" s="2508"/>
      <c r="M43" s="2508"/>
      <c r="N43" s="2508"/>
      <c r="O43" s="2508"/>
      <c r="P43" s="2509"/>
    </row>
    <row r="44" spans="1:28" ht="41.25" customHeight="1">
      <c r="C44" s="2334" t="str">
        <f ca="1">RIGHT(CELL("nombrearchivo",$A$1),LEN(CELL("nombrearchivo",$A$1))-SEARCH("]",CELL("nombrearchivo",$A$1)))</f>
        <v>Tabla VI.</v>
      </c>
      <c r="D44" s="2335"/>
      <c r="F44" s="936"/>
      <c r="G44" s="936"/>
      <c r="H44" s="937"/>
      <c r="I44" s="2515" t="str">
        <f>"VALOR TOTAL
 DEL PATRIMONIO "&amp;D66&amp;"/"</f>
        <v>VALOR TOTAL
 DEL PATRIMONIO 7/</v>
      </c>
      <c r="J44" s="2510" t="str">
        <f>CONCATENATE("MOVIMIENTO POR TRANSACCIONES Y VARIACIONES EN EL PATRIMONIO: ",Menu!D3,"T",Menu!C3," ",Menu!E4)</f>
        <v>MOVIMIENTO POR TRANSACCIONES Y VARIACIONES EN EL PATRIMONIO: 3T2025 (JUL - SET)</v>
      </c>
      <c r="K44" s="2511"/>
      <c r="L44" s="2511"/>
      <c r="M44" s="2511"/>
      <c r="N44" s="2511"/>
      <c r="O44" s="2512"/>
      <c r="P44" s="2515" t="str">
        <f>"VALOR TOTAL
 DEL PATRIMONIO "&amp;D66&amp;"/"</f>
        <v>VALOR TOTAL
 DEL PATRIMONIO 7/</v>
      </c>
      <c r="Q44" s="1205"/>
      <c r="AA44" s="518"/>
    </row>
    <row r="45" spans="1:28" ht="53.25" customHeight="1" thickBot="1">
      <c r="C45" s="2477"/>
      <c r="D45" s="2478"/>
      <c r="F45" s="936"/>
      <c r="G45" s="936"/>
      <c r="H45" s="937"/>
      <c r="I45" s="2516"/>
      <c r="J45" s="1313" t="str">
        <f>"PARTICIPACIONES
 DE CAPITAL "&amp;D67&amp;"/"</f>
        <v>PARTICIPACIONES
 DE CAPITAL 8/</v>
      </c>
      <c r="K45" s="2513" t="str">
        <f>"ESTADO DE RESULTADOS"&amp;"
Resultado Neto del Ejercicio "&amp;D68&amp;"/ "&amp;$D$69&amp;"/"</f>
        <v>ESTADO DE RESULTADOS
Resultado Neto del Ejercicio 9/ 10/</v>
      </c>
      <c r="L45" s="2514"/>
      <c r="M45" s="2517" t="s">
        <v>2701</v>
      </c>
      <c r="N45" s="2518"/>
      <c r="O45" s="2519" t="str">
        <f>"OTRAS
 VARIACIONES "&amp;D74&amp;"/"</f>
        <v>OTRAS
 VARIACIONES 14/</v>
      </c>
      <c r="P45" s="2516"/>
      <c r="Q45" s="1206"/>
      <c r="AA45" s="518"/>
    </row>
    <row r="46" spans="1:28" ht="109.5" customHeight="1" thickTop="1" thickBot="1">
      <c r="C46" s="2336"/>
      <c r="D46" s="2337"/>
      <c r="F46" s="938"/>
      <c r="G46" s="1530"/>
      <c r="H46" s="939" t="str">
        <f>CONCATENATE("PORCENTAJE DE PARTICIPACIÓN ACCIONARIA INMEDIATA 
 A FINES DE","
 ",Menu!F3," ",IF(TRIM&gt;1,Menu!C3,Menu!C3-1))</f>
        <v>PORCENTAJE DE PARTICIPACIÓN ACCIONARIA INMEDIATA 
 A FINES DE
 JUNIO 2025</v>
      </c>
      <c r="I46" s="940" t="str">
        <f>+H13</f>
        <v>SALDO A FINES DE JUNIO 2025</v>
      </c>
      <c r="J46" s="1311" t="s">
        <v>2702</v>
      </c>
      <c r="K46" s="941" t="s">
        <v>2667</v>
      </c>
      <c r="L46" s="918" t="str">
        <f>"Del cual: 
exclusiones para la
Balanza de Pagos "&amp;D70&amp;"/"</f>
        <v>Del cual: 
exclusiones para la
Balanza de Pagos 11/</v>
      </c>
      <c r="M46" s="1310" t="str">
        <f>"Dividendos en efectivo declarados "&amp;D72&amp;"/"</f>
        <v>Dividendos en efectivo declarados 12/</v>
      </c>
      <c r="N46" s="1314" t="str">
        <f>"Dividendos pagados o utilidades remitidas 
(ESTADO DE FLUJO DE EFECTIVO) "&amp;D73&amp;"/"</f>
        <v>Dividendos pagados o utilidades remitidas 
(ESTADO DE FLUJO DE EFECTIVO) 13/</v>
      </c>
      <c r="O46" s="2520"/>
      <c r="P46" s="940" t="str">
        <f>+O13</f>
        <v>SALDO A FINES DE SETIEMBRE 2025</v>
      </c>
      <c r="Q46" s="942" t="str">
        <f>CONCATENATE("PORCENTAJE DE PARTICIPACIÓN ACCIONARIA INMEDIATA
A FINES DE","
 ",Menu!E3," ",Menu!C3)</f>
        <v>PORCENTAJE DE PARTICIPACIÓN ACCIONARIA INMEDIATA
A FINES DE
 SETIEMBRE 2025</v>
      </c>
      <c r="R46" s="1244" t="str">
        <f>"Ingrese el Saldo del Patimonio s/Balance a "&amp;Menu!E3&amp;" "&amp;Menu!C3</f>
        <v>Ingrese el Saldo del Patimonio s/Balance a SETIEMBRE 2025</v>
      </c>
      <c r="S46" s="1242" t="s">
        <v>2714</v>
      </c>
      <c r="AA46" s="518"/>
    </row>
    <row r="47" spans="1:28" ht="45.75" customHeight="1" thickBot="1">
      <c r="A47" s="919" t="s">
        <v>2261</v>
      </c>
      <c r="B47" s="920" t="s">
        <v>2262</v>
      </c>
      <c r="C47" s="898" t="s">
        <v>2171</v>
      </c>
      <c r="D47" s="899" t="s">
        <v>2172</v>
      </c>
      <c r="F47" s="943" t="s">
        <v>2169</v>
      </c>
      <c r="G47" s="944" t="s">
        <v>2715</v>
      </c>
      <c r="H47" s="945" t="s">
        <v>2266</v>
      </c>
      <c r="I47" s="946" t="s">
        <v>2267</v>
      </c>
      <c r="J47" s="946" t="s">
        <v>2268</v>
      </c>
      <c r="K47" s="947" t="s">
        <v>2269</v>
      </c>
      <c r="L47" s="1319" t="s">
        <v>2270</v>
      </c>
      <c r="M47" s="948" t="s">
        <v>2271</v>
      </c>
      <c r="N47" s="1320" t="s">
        <v>2430</v>
      </c>
      <c r="O47" s="946" t="s">
        <v>2496</v>
      </c>
      <c r="P47" s="949" t="s">
        <v>2716</v>
      </c>
      <c r="Q47" s="950" t="s">
        <v>2717</v>
      </c>
      <c r="R47" s="946" t="s">
        <v>2718</v>
      </c>
      <c r="S47" s="946" t="s">
        <v>2719</v>
      </c>
      <c r="AA47" s="518"/>
    </row>
    <row r="48" spans="1:28" s="955" customFormat="1" ht="42" customHeight="1" thickBot="1">
      <c r="A48" s="136">
        <f>+A21+1</f>
        <v>18</v>
      </c>
      <c r="B48" s="255" t="s">
        <v>2272</v>
      </c>
      <c r="C48" s="921"/>
      <c r="D48" s="951" t="str">
        <f t="shared" ref="D48:D54" si="6">CONCATENATE(A48,B48)</f>
        <v>18.01.</v>
      </c>
      <c r="E48" s="952"/>
      <c r="F48" s="953" t="str">
        <f>+D48</f>
        <v>18.01.</v>
      </c>
      <c r="G48" s="954" t="str">
        <f>"I. OBLIGACIONES PATRIMONIALES DE LA DECLARANTE (1 + 2 + 3)   "&amp;D60&amp;"/"</f>
        <v>I. OBLIGACIONES PATRIMONIALES DE LA DECLARANTE (1 + 2 + 3)   1/</v>
      </c>
      <c r="H48" s="989">
        <f>SUM(H49,H54,H55)</f>
        <v>0</v>
      </c>
      <c r="I48" s="1249"/>
      <c r="J48" s="1117">
        <f>SUM(J49,J54,J55)</f>
        <v>0</v>
      </c>
      <c r="K48" s="1253"/>
      <c r="L48" s="1254"/>
      <c r="M48" s="1255"/>
      <c r="N48" s="1254"/>
      <c r="O48" s="1256"/>
      <c r="P48" s="988">
        <f>+I48+J48+K48-M48+O48</f>
        <v>0</v>
      </c>
      <c r="Q48" s="989">
        <f>SUM(Q49,Q54,Q55)</f>
        <v>0</v>
      </c>
      <c r="R48" s="1269"/>
      <c r="S48" s="1207">
        <f>+R48-P48</f>
        <v>0</v>
      </c>
      <c r="T48" s="1239"/>
      <c r="U48" s="1240"/>
      <c r="V48" s="1240"/>
      <c r="W48" s="1240"/>
      <c r="X48" s="1240"/>
      <c r="Y48" s="1240"/>
      <c r="Z48" s="1240"/>
      <c r="AA48" s="1241"/>
      <c r="AB48" s="1240"/>
    </row>
    <row r="49" spans="1:28" s="131" customFormat="1" ht="42" customHeight="1">
      <c r="A49" s="136">
        <f t="shared" ref="A49:A55" si="7">+A48</f>
        <v>18</v>
      </c>
      <c r="B49" s="255" t="s">
        <v>2320</v>
      </c>
      <c r="C49" s="923" t="s">
        <v>20</v>
      </c>
      <c r="D49" s="794" t="str">
        <f t="shared" si="6"/>
        <v>18.01.01.</v>
      </c>
      <c r="E49" s="518"/>
      <c r="F49" s="953" t="str">
        <f t="shared" ref="F49:F54" si="8">+D49</f>
        <v>18.01.01.</v>
      </c>
      <c r="G49" s="956" t="s">
        <v>2720</v>
      </c>
      <c r="H49" s="990">
        <f>SUM(H50:H53)</f>
        <v>0</v>
      </c>
      <c r="I49" s="988">
        <f>SUM(I50:I53)</f>
        <v>0</v>
      </c>
      <c r="J49" s="988">
        <f>SUM(J50:J53)</f>
        <v>0</v>
      </c>
      <c r="K49" s="2497" t="s">
        <v>2721</v>
      </c>
      <c r="L49" s="2498"/>
      <c r="M49" s="2498"/>
      <c r="N49" s="2498"/>
      <c r="O49" s="2499"/>
      <c r="P49" s="988">
        <f>SUM(P50:P53)</f>
        <v>0</v>
      </c>
      <c r="Q49" s="991">
        <f>SUM(Q50:Q53)</f>
        <v>0</v>
      </c>
      <c r="R49" s="1238"/>
      <c r="S49" s="1238"/>
      <c r="T49" s="1238"/>
      <c r="U49" s="588"/>
      <c r="V49" s="588"/>
      <c r="W49" s="588"/>
      <c r="X49" s="588"/>
      <c r="Y49" s="588"/>
      <c r="Z49" s="588"/>
      <c r="AA49" s="518"/>
      <c r="AB49" s="588"/>
    </row>
    <row r="50" spans="1:28" s="131" customFormat="1" ht="42" customHeight="1">
      <c r="A50" s="136">
        <f t="shared" si="7"/>
        <v>18</v>
      </c>
      <c r="B50" s="255" t="s">
        <v>2613</v>
      </c>
      <c r="C50" s="814">
        <v>501</v>
      </c>
      <c r="D50" s="781" t="str">
        <f t="shared" si="6"/>
        <v>18.01.01.01</v>
      </c>
      <c r="E50" s="518"/>
      <c r="F50" s="703" t="str">
        <f t="shared" si="8"/>
        <v>18.01.01.01</v>
      </c>
      <c r="G50" s="957" t="str">
        <f>"1.1.  CON INVERSIONISTAS DIRECTOS DEL EXTERIOR "&amp;D61&amp;"/"</f>
        <v>1.1.  CON INVERSIONISTAS DIRECTOS DEL EXTERIOR 2/</v>
      </c>
      <c r="H50" s="1245"/>
      <c r="I50" s="1118">
        <f>(+H50/100)*$I$48</f>
        <v>0</v>
      </c>
      <c r="J50" s="1250"/>
      <c r="K50" s="2500"/>
      <c r="L50" s="2501"/>
      <c r="M50" s="2501"/>
      <c r="N50" s="2501"/>
      <c r="O50" s="2502"/>
      <c r="P50" s="1118">
        <f>+Q50/100*$P$48</f>
        <v>0</v>
      </c>
      <c r="Q50" s="1257"/>
      <c r="R50" s="588"/>
      <c r="S50" s="588"/>
      <c r="T50" s="588"/>
      <c r="U50" s="588"/>
      <c r="V50" s="588"/>
      <c r="W50" s="588"/>
      <c r="X50" s="588"/>
      <c r="Y50" s="588"/>
      <c r="Z50" s="588"/>
      <c r="AA50" s="518"/>
      <c r="AB50" s="588"/>
    </row>
    <row r="51" spans="1:28" s="131" customFormat="1" ht="42" customHeight="1">
      <c r="A51" s="136">
        <f t="shared" si="7"/>
        <v>18</v>
      </c>
      <c r="B51" s="255" t="s">
        <v>2615</v>
      </c>
      <c r="C51" s="1582">
        <v>501</v>
      </c>
      <c r="D51" s="1619" t="str">
        <f t="shared" si="6"/>
        <v>18.01.01.02</v>
      </c>
      <c r="E51" s="518"/>
      <c r="F51" s="1594" t="str">
        <f t="shared" si="8"/>
        <v>18.01.01.02</v>
      </c>
      <c r="G51" s="1759" t="str">
        <f>"1.2.  CON EMPRESAS DE INVERSIÓN DIRECTA EN EL EXTERIOR "&amp;D62&amp;"/"</f>
        <v>1.2.  CON EMPRESAS DE INVERSIÓN DIRECTA EN EL EXTERIOR 3/</v>
      </c>
      <c r="H51" s="1760"/>
      <c r="I51" s="1761">
        <f>(+H51/100)*$I$48</f>
        <v>0</v>
      </c>
      <c r="J51" s="1762"/>
      <c r="K51" s="2500"/>
      <c r="L51" s="2501"/>
      <c r="M51" s="2501"/>
      <c r="N51" s="2501"/>
      <c r="O51" s="2502"/>
      <c r="P51" s="1761">
        <f>+Q51/100*$P$48</f>
        <v>0</v>
      </c>
      <c r="Q51" s="1763"/>
      <c r="R51" s="588"/>
      <c r="S51" s="588"/>
      <c r="T51" s="588"/>
      <c r="U51" s="588"/>
      <c r="V51" s="588"/>
      <c r="W51" s="588"/>
      <c r="X51" s="588"/>
      <c r="Y51" s="588"/>
      <c r="Z51" s="588"/>
      <c r="AA51" s="518"/>
      <c r="AB51" s="588"/>
    </row>
    <row r="52" spans="1:28" s="131" customFormat="1" ht="58.5" customHeight="1">
      <c r="A52" s="136">
        <f t="shared" si="7"/>
        <v>18</v>
      </c>
      <c r="B52" s="255" t="s">
        <v>2707</v>
      </c>
      <c r="C52" s="1582">
        <v>501</v>
      </c>
      <c r="D52" s="1619" t="str">
        <f t="shared" si="6"/>
        <v>18.01.01.03</v>
      </c>
      <c r="E52" s="518"/>
      <c r="F52" s="1594" t="str">
        <f t="shared" si="8"/>
        <v>18.01.01.03</v>
      </c>
      <c r="G52" s="1759" t="str">
        <f>"1.3.  CON EMPARENTADAS DEL EXTERIOR: 
             Si matriz común que ejerce el control final reside en el 
             exterior "</f>
        <v xml:space="preserve">1.3.  CON EMPARENTADAS DEL EXTERIOR: 
             Si matriz común que ejerce el control final reside en el 
             exterior </v>
      </c>
      <c r="H52" s="1760"/>
      <c r="I52" s="1761">
        <f>(+H52/100)*$I$48</f>
        <v>0</v>
      </c>
      <c r="J52" s="1762"/>
      <c r="K52" s="2500"/>
      <c r="L52" s="2501"/>
      <c r="M52" s="2501"/>
      <c r="N52" s="2501"/>
      <c r="O52" s="2502"/>
      <c r="P52" s="1761">
        <f>+Q52/100*$P$48</f>
        <v>0</v>
      </c>
      <c r="Q52" s="1763"/>
      <c r="R52" s="588"/>
      <c r="S52" s="588"/>
      <c r="T52" s="588"/>
      <c r="U52" s="588"/>
      <c r="V52" s="588"/>
      <c r="W52" s="588"/>
      <c r="X52" s="588"/>
      <c r="Y52" s="588"/>
      <c r="Z52" s="588"/>
      <c r="AA52" s="518"/>
      <c r="AB52" s="588"/>
    </row>
    <row r="53" spans="1:28" s="131" customFormat="1" ht="56.25" customHeight="1">
      <c r="A53" s="136">
        <f t="shared" si="7"/>
        <v>18</v>
      </c>
      <c r="B53" s="255" t="s">
        <v>2708</v>
      </c>
      <c r="C53" s="1582">
        <v>501</v>
      </c>
      <c r="D53" s="1619" t="str">
        <f t="shared" si="6"/>
        <v>18.01.01.04</v>
      </c>
      <c r="E53" s="518"/>
      <c r="F53" s="1594" t="str">
        <f t="shared" si="8"/>
        <v>18.01.01.04</v>
      </c>
      <c r="G53" s="1759" t="str">
        <f>"1.4.  CON EMPARENTADAS DEL EXTERIOR: 
             Si matriz común que ejerce el control final reside en el 
             país "</f>
        <v xml:space="preserve">1.4.  CON EMPARENTADAS DEL EXTERIOR: 
             Si matriz común que ejerce el control final reside en el 
             país </v>
      </c>
      <c r="H53" s="1246"/>
      <c r="I53" s="1118">
        <f>(+H53/100)*$I$48</f>
        <v>0</v>
      </c>
      <c r="J53" s="1250"/>
      <c r="K53" s="2500"/>
      <c r="L53" s="2501"/>
      <c r="M53" s="2501"/>
      <c r="N53" s="2501"/>
      <c r="O53" s="2502"/>
      <c r="P53" s="1118">
        <f>+Q53/100*$P$48</f>
        <v>0</v>
      </c>
      <c r="Q53" s="1258"/>
      <c r="R53" s="588"/>
      <c r="S53" s="588"/>
      <c r="T53" s="588"/>
      <c r="U53" s="588"/>
      <c r="V53" s="588"/>
      <c r="W53" s="588"/>
      <c r="X53" s="588"/>
      <c r="Y53" s="588"/>
      <c r="Z53" s="588"/>
      <c r="AA53" s="518"/>
      <c r="AB53" s="588"/>
    </row>
    <row r="54" spans="1:28" s="131" customFormat="1" ht="42" customHeight="1">
      <c r="A54" s="924">
        <f t="shared" si="7"/>
        <v>18</v>
      </c>
      <c r="B54" s="925" t="s">
        <v>2325</v>
      </c>
      <c r="C54" s="923">
        <v>502</v>
      </c>
      <c r="D54" s="794" t="str">
        <f t="shared" si="6"/>
        <v>18.01.02.</v>
      </c>
      <c r="E54" s="518"/>
      <c r="F54" s="958" t="str">
        <f t="shared" si="8"/>
        <v>18.01.02.</v>
      </c>
      <c r="G54" s="959" t="str">
        <f>"2. CON NO RESIDENTES: NO RELACIONADOS "&amp;D64&amp;"/"</f>
        <v>2. CON NO RESIDENTES: NO RELACIONADOS 5/</v>
      </c>
      <c r="H54" s="1247"/>
      <c r="I54" s="1119">
        <f>(+H54/100)*$I$48</f>
        <v>0</v>
      </c>
      <c r="J54" s="1251"/>
      <c r="K54" s="2500"/>
      <c r="L54" s="2501"/>
      <c r="M54" s="2501"/>
      <c r="N54" s="2501"/>
      <c r="O54" s="2502"/>
      <c r="P54" s="1119">
        <f>+Q54/100*$P$48</f>
        <v>0</v>
      </c>
      <c r="Q54" s="1259"/>
      <c r="R54" s="588"/>
      <c r="S54" s="588"/>
      <c r="T54" s="588"/>
      <c r="U54" s="588"/>
      <c r="V54" s="588"/>
      <c r="W54" s="588"/>
      <c r="X54" s="588"/>
      <c r="Y54" s="588"/>
      <c r="Z54" s="588"/>
      <c r="AA54" s="518"/>
      <c r="AB54" s="588"/>
    </row>
    <row r="55" spans="1:28" s="131" customFormat="1" ht="42" customHeight="1" thickBot="1">
      <c r="A55" s="924">
        <f t="shared" si="7"/>
        <v>18</v>
      </c>
      <c r="B55" s="925" t="s">
        <v>2459</v>
      </c>
      <c r="C55" s="923" t="s">
        <v>20</v>
      </c>
      <c r="D55" s="794" t="str">
        <f>CONCATENATE(A55,B55)</f>
        <v>18.01.03.</v>
      </c>
      <c r="E55" s="960"/>
      <c r="F55" s="961" t="str">
        <f>+D55</f>
        <v>18.01.03.</v>
      </c>
      <c r="G55" s="962" t="str">
        <f>"3. CON RESIDENTES (relacionados / no relacionados) "&amp;D65&amp;"/"</f>
        <v>3. CON RESIDENTES (relacionados / no relacionados) 6/</v>
      </c>
      <c r="H55" s="1248"/>
      <c r="I55" s="1120">
        <f>+I48-I49-I54</f>
        <v>0</v>
      </c>
      <c r="J55" s="1252"/>
      <c r="K55" s="2503"/>
      <c r="L55" s="2504"/>
      <c r="M55" s="2504"/>
      <c r="N55" s="2504"/>
      <c r="O55" s="2505"/>
      <c r="P55" s="1120">
        <f>+P48-P49-P54</f>
        <v>0</v>
      </c>
      <c r="Q55" s="1260"/>
      <c r="R55" s="588"/>
      <c r="S55" s="588"/>
      <c r="T55" s="588"/>
      <c r="U55" s="588"/>
      <c r="V55" s="588"/>
      <c r="W55" s="588"/>
      <c r="X55" s="588"/>
      <c r="Y55" s="588"/>
      <c r="Z55" s="588"/>
      <c r="AA55" s="518"/>
      <c r="AB55" s="588"/>
    </row>
    <row r="56" spans="1:28" ht="39.75" customHeight="1" thickTop="1" thickBot="1">
      <c r="A56" s="136"/>
      <c r="B56" s="255"/>
      <c r="F56" s="518"/>
      <c r="G56" s="1281" t="s">
        <v>2722</v>
      </c>
      <c r="H56" s="1243">
        <f>100-SUM(H50:H55)</f>
        <v>100</v>
      </c>
      <c r="I56" s="2474"/>
      <c r="J56" s="2475"/>
      <c r="K56" s="2475"/>
      <c r="L56" s="2475"/>
      <c r="M56" s="2475"/>
      <c r="N56" s="2475"/>
      <c r="O56" s="2475"/>
      <c r="P56" s="2476"/>
      <c r="Q56" s="1243">
        <f>100-SUM(Q50:Q55)</f>
        <v>100</v>
      </c>
    </row>
    <row r="57" spans="1:28" ht="39.75" customHeight="1" thickTop="1" thickBot="1">
      <c r="A57" s="136"/>
      <c r="B57" s="255"/>
      <c r="F57" s="518"/>
      <c r="H57" s="518"/>
      <c r="J57" s="518"/>
      <c r="K57" s="518"/>
      <c r="L57" s="518"/>
      <c r="M57" s="518"/>
      <c r="N57" s="518"/>
      <c r="O57" s="518"/>
    </row>
    <row r="58" spans="1:28" ht="27.75" customHeight="1" thickTop="1">
      <c r="F58" s="1123" t="s">
        <v>2723</v>
      </c>
      <c r="G58" s="1124"/>
      <c r="H58" s="1124"/>
      <c r="I58" s="1124"/>
      <c r="J58" s="1124"/>
      <c r="K58" s="1124"/>
      <c r="L58" s="1124"/>
      <c r="M58" s="1124"/>
      <c r="N58" s="1124"/>
      <c r="O58" s="1124"/>
      <c r="P58" s="855"/>
      <c r="Q58" s="856"/>
    </row>
    <row r="59" spans="1:28" ht="27.75" customHeight="1">
      <c r="F59" s="1125" t="s">
        <v>2724</v>
      </c>
      <c r="G59" s="1274"/>
      <c r="H59" s="1274"/>
      <c r="I59" s="1274"/>
      <c r="J59" s="1274"/>
      <c r="K59" s="1274"/>
      <c r="L59" s="1274"/>
      <c r="M59" s="1274"/>
      <c r="N59" s="1274"/>
      <c r="O59" s="1274"/>
      <c r="P59" s="1275"/>
      <c r="Q59" s="1276"/>
    </row>
    <row r="60" spans="1:28" s="518" customFormat="1" ht="27.75" customHeight="1">
      <c r="D60" s="531">
        <v>1</v>
      </c>
      <c r="E60" s="522"/>
      <c r="F60" s="930" t="str">
        <f>D60&amp;"/ "&amp;"Las columnas B, I deben expresar monto iguales al total del patrimonio en libros de la empresa declarante."</f>
        <v>1/ Las columnas B, I deben expresar monto iguales al total del patrimonio en libros de la empresa declarante.</v>
      </c>
      <c r="G60" s="1270"/>
      <c r="H60" s="1270"/>
      <c r="I60" s="1270"/>
      <c r="J60" s="1270"/>
      <c r="K60" s="1270"/>
      <c r="L60" s="1270"/>
      <c r="M60" s="1270"/>
      <c r="N60" s="1270"/>
      <c r="O60" s="1271"/>
      <c r="P60" s="1274"/>
      <c r="Q60" s="1277"/>
    </row>
    <row r="61" spans="1:28" ht="27.75" customHeight="1">
      <c r="C61" s="683"/>
      <c r="D61" s="531">
        <f>COUNTA($D$60:D60)+1</f>
        <v>2</v>
      </c>
      <c r="F61" s="930" t="str">
        <f>D61&amp;"/"&amp; " Declarar datos relacionados con la participación inmediata de aquellos inversionistas directos que poseen, de modo inmediato o indirecto, una participación igual o mayor al 10% en la empresa declarante."</f>
        <v>2/ Declarar datos relacionados con la participación inmediata de aquellos inversionistas directos que poseen, de modo inmediato o indirecto, una participación igual o mayor al 10% en la empresa declarante.</v>
      </c>
      <c r="G61" s="1274"/>
      <c r="H61" s="1274"/>
      <c r="I61" s="1274"/>
      <c r="J61" s="1274"/>
      <c r="K61" s="1274"/>
      <c r="L61" s="1274"/>
      <c r="M61" s="1274"/>
      <c r="N61" s="1274"/>
      <c r="O61" s="1274"/>
      <c r="P61" s="1275"/>
      <c r="Q61" s="1276"/>
    </row>
    <row r="62" spans="1:28" ht="27.75" customHeight="1">
      <c r="C62" s="683"/>
      <c r="D62" s="531">
        <f>COUNTA($D$60:D61)+1</f>
        <v>3</v>
      </c>
      <c r="F62" s="930" t="str">
        <f>D62&amp;"/"&amp;" Una empresa de inversión directa (EID) es aquella en que la empresa declarante (ED) tiene una propiedad igual o mayor al 10%. "&amp;"En este caso,  la EID no residente posee también, en sentido contrario, una participación en la ED, pero menor al 10%."</f>
        <v>3/ Una empresa de inversión directa (EID) es aquella en que la empresa declarante (ED) tiene una propiedad igual o mayor al 10%. En este caso,  la EID no residente posee también, en sentido contrario, una participación en la ED, pero menor al 10%.</v>
      </c>
      <c r="G62" s="1274"/>
      <c r="H62" s="1274"/>
      <c r="I62" s="1274"/>
      <c r="J62" s="1274"/>
      <c r="K62" s="1274"/>
      <c r="L62" s="1274"/>
      <c r="M62" s="1274"/>
      <c r="N62" s="1274"/>
      <c r="O62" s="1274"/>
      <c r="P62" s="1275"/>
      <c r="Q62" s="1276"/>
    </row>
    <row r="63" spans="1:28" ht="27.75" customHeight="1">
      <c r="C63" s="683"/>
      <c r="D63" s="531">
        <f>COUNTA($D$60:D62)+1</f>
        <v>4</v>
      </c>
      <c r="F63" s="930" t="str">
        <f>D63&amp;"/ "&amp;"Este caso se cumple cuando las emparentadas-no-residentes tienen una participación inmediata en la empresa declarante (residente) menor al 10%."</f>
        <v>4/ Este caso se cumple cuando las emparentadas-no-residentes tienen una participación inmediata en la empresa declarante (residente) menor al 10%.</v>
      </c>
      <c r="G63" s="1274"/>
      <c r="H63" s="1274"/>
      <c r="I63" s="1274"/>
      <c r="J63" s="1274"/>
      <c r="K63" s="1274"/>
      <c r="L63" s="1274"/>
      <c r="M63" s="1274"/>
      <c r="N63" s="1274"/>
      <c r="O63" s="1274"/>
      <c r="P63" s="1275"/>
      <c r="Q63" s="1276"/>
    </row>
    <row r="64" spans="1:28" ht="27.75" customHeight="1">
      <c r="C64" s="683"/>
      <c r="D64" s="531">
        <f>COUNTA($D$60:D63)+1</f>
        <v>5</v>
      </c>
      <c r="F64" s="930" t="str">
        <f>D64&amp;"/"&amp; " Incluye a todo inversionista no residente no-emparentado cuya participación de capital en la empresa declarante es menor al 10%. También se les conoce como inversionistas de cartera."</f>
        <v>5/ Incluye a todo inversionista no residente no-emparentado cuya participación de capital en la empresa declarante es menor al 10%. También se les conoce como inversionistas de cartera.</v>
      </c>
      <c r="G64" s="1274"/>
      <c r="H64" s="1274"/>
      <c r="I64" s="1274"/>
      <c r="J64" s="1274"/>
      <c r="K64" s="1274"/>
      <c r="L64" s="1274"/>
      <c r="M64" s="1274"/>
      <c r="N64" s="1274"/>
      <c r="O64" s="1274"/>
      <c r="P64" s="1275"/>
      <c r="Q64" s="1276"/>
    </row>
    <row r="65" spans="3:17" ht="27.75" customHeight="1">
      <c r="C65" s="683"/>
      <c r="D65" s="531">
        <f>COUNTA($D$60:D64)+1</f>
        <v>6</v>
      </c>
      <c r="F65" s="930" t="str">
        <f>D65&amp;"/"&amp; " Incluye a todo inversionista residente que posea participaciones en la empresa declarante."</f>
        <v>6/ Incluye a todo inversionista residente que posea participaciones en la empresa declarante.</v>
      </c>
      <c r="G65" s="1274"/>
      <c r="H65" s="1274"/>
      <c r="I65" s="1274"/>
      <c r="J65" s="1274"/>
      <c r="K65" s="1274"/>
      <c r="L65" s="1274"/>
      <c r="M65" s="1274"/>
      <c r="N65" s="1274"/>
      <c r="O65" s="1274"/>
      <c r="P65" s="1275"/>
      <c r="Q65" s="1276"/>
    </row>
    <row r="66" spans="3:17" ht="27.75" customHeight="1">
      <c r="D66" s="531">
        <f>COUNTA($D$60:D65)+1</f>
        <v>7</v>
      </c>
      <c r="E66" s="686"/>
      <c r="F66" s="930" t="str">
        <f>D66&amp;"/"&amp; " Valor total del patrimonio según libros de la empresa declarante (patrimonio = activo - pasivo)."</f>
        <v>7/ Valor total del patrimonio según libros de la empresa declarante (patrimonio = activo - pasivo).</v>
      </c>
      <c r="G66" s="1278"/>
      <c r="H66" s="1278"/>
      <c r="I66" s="1278"/>
      <c r="J66" s="1278"/>
      <c r="K66" s="1278"/>
      <c r="L66" s="1278"/>
      <c r="M66" s="1278"/>
      <c r="N66" s="1278"/>
      <c r="O66" s="1278"/>
      <c r="P66" s="1275"/>
      <c r="Q66" s="1276"/>
    </row>
    <row r="67" spans="3:17" s="518" customFormat="1" ht="27.75" customHeight="1">
      <c r="D67" s="531">
        <f>COUNTA($D$60:D66)+1</f>
        <v>8</v>
      </c>
      <c r="F67" s="930" t="str">
        <f>D67&amp;"/ "&amp;"Considerar, además de los aportes o retiros de capital, la recomposición entre sector residente y no residente."&amp;" La recomposición va con signo positivo en el sector que recibe acciones y con signo negativo en el sector que transfiere acciones."</f>
        <v>8/ Considerar, además de los aportes o retiros de capital, la recomposición entre sector residente y no residente. La recomposición va con signo positivo en el sector que recibe acciones y con signo negativo en el sector que transfiere acciones.</v>
      </c>
      <c r="G67" s="1270"/>
      <c r="H67" s="1270"/>
      <c r="I67" s="1270"/>
      <c r="J67" s="1270"/>
      <c r="K67" s="1270"/>
      <c r="L67" s="1270"/>
      <c r="M67" s="1270"/>
      <c r="N67" s="1270"/>
      <c r="O67" s="1271"/>
      <c r="P67" s="1274"/>
      <c r="Q67" s="1277"/>
    </row>
    <row r="68" spans="3:17" s="518" customFormat="1" ht="27.75" customHeight="1">
      <c r="D68" s="531">
        <f>COUNTA($D$60:D67)+1</f>
        <v>9</v>
      </c>
      <c r="F68" s="930" t="str">
        <f>D68&amp;"/"&amp; " Equivalente al estado de resultados de la empresa, por lo general igual a:  +superávit de explotacion (ingresos  - gastos) + dividendos (por cobrar - por pagar) + intereses (por cobrar - por pagar) + renta (por cobrar - por pagar) -  impuestos"</f>
        <v>9/ Equivalente al estado de resultados de la empresa, por lo general igual a:  +superávit de explotacion (ingresos  - gastos) + dividendos (por cobrar - por pagar) + intereses (por cobrar - por pagar) + renta (por cobrar - por pagar) -  impuestos</v>
      </c>
      <c r="G68" s="1270"/>
      <c r="H68" s="1270"/>
      <c r="I68" s="1270"/>
      <c r="J68" s="1270"/>
      <c r="K68" s="1270"/>
      <c r="L68" s="1270"/>
      <c r="M68" s="1270"/>
      <c r="N68" s="1270"/>
      <c r="O68" s="1271"/>
      <c r="P68" s="1274"/>
      <c r="Q68" s="1277"/>
    </row>
    <row r="69" spans="3:17" s="518" customFormat="1" ht="27.75" customHeight="1">
      <c r="D69" s="531">
        <f>COUNTA($D$60:D68)+1</f>
        <v>10</v>
      </c>
      <c r="E69" s="522"/>
      <c r="F69" s="930" t="str">
        <f>D69&amp;"/ "&amp; "Incluya la porción correspondiente de las utilidades / pérdidas de las empresas subsidiarias, empresas asociadas, empresas emparentadas o empresas no relacionadas (cuando existe una participación nula o menor al 10%)."</f>
        <v>10/ Incluya la porción correspondiente de las utilidades / pérdidas de las empresas subsidiarias, empresas asociadas, empresas emparentadas o empresas no relacionadas (cuando existe una participación nula o menor al 10%).</v>
      </c>
      <c r="G69" s="1270"/>
      <c r="H69" s="1270"/>
      <c r="I69" s="1270"/>
      <c r="J69" s="1270"/>
      <c r="K69" s="1270"/>
      <c r="L69" s="1270"/>
      <c r="M69" s="1270"/>
      <c r="N69" s="1270"/>
      <c r="O69" s="1271"/>
      <c r="P69" s="1274"/>
      <c r="Q69" s="1277"/>
    </row>
    <row r="70" spans="3:17" s="518" customFormat="1" ht="27.75" customHeight="1">
      <c r="D70" s="531">
        <f>COUNTA($D$60:D69)+1</f>
        <v>11</v>
      </c>
      <c r="E70" s="522"/>
      <c r="F70" s="930" t="str">
        <f>D70&amp;"/ "&amp; "Ganancias (+) o pérdidas (-) por tenencia (realizadas o no realizadas) como resultado de variaciones cambiarias, de la revaloración de activos fijos y de las variaciones de los precios de mercado de activos y pasivos financieros"&amp; " y de derivados financieros."</f>
        <v>11/ Ganancias (+) o pérdidas (-) por tenencia (realizadas o no realizadas) como resultado de variaciones cambiarias, de la revaloración de activos fijos y de las variaciones de los precios de mercado de activos y pasivos financieros y de derivados financieros.</v>
      </c>
      <c r="G70" s="1270"/>
      <c r="H70" s="1270"/>
      <c r="I70" s="1270"/>
      <c r="J70" s="1270"/>
      <c r="K70" s="1270"/>
      <c r="L70" s="1270"/>
      <c r="M70" s="1270"/>
      <c r="N70" s="1270"/>
      <c r="O70" s="1271"/>
      <c r="P70" s="1274"/>
      <c r="Q70" s="1277"/>
    </row>
    <row r="71" spans="3:17" s="518" customFormat="1" ht="27.75" customHeight="1">
      <c r="D71" s="531"/>
      <c r="E71" s="522"/>
      <c r="F71" s="930" t="s">
        <v>2725</v>
      </c>
      <c r="G71" s="1270"/>
      <c r="H71" s="1270"/>
      <c r="I71" s="1270"/>
      <c r="J71" s="1270"/>
      <c r="K71" s="1270"/>
      <c r="L71" s="1270"/>
      <c r="M71" s="1270"/>
      <c r="N71" s="1270"/>
      <c r="O71" s="1271"/>
      <c r="P71" s="1274"/>
      <c r="Q71" s="1277"/>
    </row>
    <row r="72" spans="3:17" s="518" customFormat="1" ht="27.75" customHeight="1">
      <c r="D72" s="531">
        <f>COUNTA($D$60:D70)+1</f>
        <v>12</v>
      </c>
      <c r="E72" s="522"/>
      <c r="F72" s="1312" t="str">
        <f>D72&amp;"/ "&amp;"Según lo declarado en el Estado de Cambios en el Patrimonio Neto. En esta Tabla usar signo positivo (+) para las disminuciones y viceversa "</f>
        <v xml:space="preserve">12/ Según lo declarado en el Estado de Cambios en el Patrimonio Neto. En esta Tabla usar signo positivo (+) para las disminuciones y viceversa </v>
      </c>
      <c r="G72" s="1270"/>
      <c r="H72" s="1270"/>
      <c r="I72" s="1270"/>
      <c r="J72" s="1270"/>
      <c r="K72" s="1270"/>
      <c r="L72" s="1270"/>
      <c r="M72" s="1270"/>
      <c r="N72" s="1270"/>
      <c r="O72" s="1271"/>
      <c r="P72" s="1274"/>
      <c r="Q72" s="1277"/>
    </row>
    <row r="73" spans="3:17" s="518" customFormat="1" ht="27.75" customHeight="1">
      <c r="D73" s="531">
        <f>COUNTA($D$60:D72)+1</f>
        <v>13</v>
      </c>
      <c r="E73" s="522"/>
      <c r="F73" s="930" t="str">
        <f>D73&amp;"/ "&amp;"Pago de dividendos o remesa de utilidades correspondientes al trimestre reportado (usar signo positivo para reflejar el pago o remesa) ."</f>
        <v>13/ Pago de dividendos o remesa de utilidades correspondientes al trimestre reportado (usar signo positivo para reflejar el pago o remesa) .</v>
      </c>
      <c r="G73" s="1270"/>
      <c r="H73" s="1270"/>
      <c r="I73" s="1270"/>
      <c r="J73" s="1270"/>
      <c r="K73" s="1270"/>
      <c r="L73" s="1270"/>
      <c r="M73" s="1270"/>
      <c r="N73" s="1270"/>
      <c r="O73" s="1271"/>
      <c r="P73" s="1274"/>
      <c r="Q73" s="1277"/>
    </row>
    <row r="74" spans="3:17" s="518" customFormat="1" ht="27.75" customHeight="1" thickBot="1">
      <c r="D74" s="531">
        <f>COUNTA($D$60:D73)+1</f>
        <v>14</v>
      </c>
      <c r="E74" s="522"/>
      <c r="F74" s="931" t="str">
        <f>D74&amp;"/ "&amp;"Registre los montos que afectan al patrimonio como resultado de fusiones, escisiones u otras operaciones distintas de los aportes, utilidades corrientes y dividendos. Asimismo, incluya los montos que son resultado de las variaciones del tipo de cambio."</f>
        <v>14/ Registre los montos que afectan al patrimonio como resultado de fusiones, escisiones u otras operaciones distintas de los aportes, utilidades corrientes y dividendos. Asimismo, incluya los montos que son resultado de las variaciones del tipo de cambio.</v>
      </c>
      <c r="G74" s="1272"/>
      <c r="H74" s="1272"/>
      <c r="I74" s="1272"/>
      <c r="J74" s="1272"/>
      <c r="K74" s="1272"/>
      <c r="L74" s="1272"/>
      <c r="M74" s="1272"/>
      <c r="N74" s="1272"/>
      <c r="O74" s="1273"/>
      <c r="P74" s="1279"/>
      <c r="Q74" s="1280"/>
    </row>
    <row r="75" spans="3:17" ht="16.5" thickTop="1"/>
  </sheetData>
  <sheetProtection algorithmName="SHA-512" hashValue="iRmKbJaRqH71qPH7xmuEkT+vXU3LsY3w5dKe17Rt1WHO3OeFJBjK+puGpWchtjzNjgkb3SVlt/97RDHXYtTtkw==" saltValue="3cYDFnGDm9n3C3zMUQMtJA==" spinCount="100000" sheet="1" objects="1" scenarios="1"/>
  <mergeCells count="20">
    <mergeCell ref="F6:S6"/>
    <mergeCell ref="P11:Q21"/>
    <mergeCell ref="K49:O55"/>
    <mergeCell ref="I11:N11"/>
    <mergeCell ref="I43:P43"/>
    <mergeCell ref="J44:O44"/>
    <mergeCell ref="K45:L45"/>
    <mergeCell ref="I44:I45"/>
    <mergeCell ref="M45:N45"/>
    <mergeCell ref="O45:O46"/>
    <mergeCell ref="P44:P45"/>
    <mergeCell ref="O11:O12"/>
    <mergeCell ref="I56:P56"/>
    <mergeCell ref="C44:D46"/>
    <mergeCell ref="F13:G13"/>
    <mergeCell ref="J12:K12"/>
    <mergeCell ref="L12:M12"/>
    <mergeCell ref="N12:N13"/>
    <mergeCell ref="H11:H12"/>
    <mergeCell ref="C11:D13"/>
  </mergeCells>
  <phoneticPr fontId="0" type="noConversion"/>
  <conditionalFormatting sqref="H56">
    <cfRule type="cellIs" dxfId="3" priority="3" operator="notEqual">
      <formula>0</formula>
    </cfRule>
  </conditionalFormatting>
  <conditionalFormatting sqref="Q56">
    <cfRule type="cellIs" dxfId="2" priority="1" operator="notEqual">
      <formula>0</formula>
    </cfRule>
  </conditionalFormatting>
  <conditionalFormatting sqref="S48">
    <cfRule type="cellIs" dxfId="1" priority="4" operator="notEqual">
      <formula>0</formula>
    </cfRule>
  </conditionalFormatting>
  <printOptions horizontalCentered="1" headings="1"/>
  <pageMargins left="0.43307086614173229" right="0.39370078740157483" top="0.51181102362204722" bottom="0.35433070866141736" header="0.35433070866141736" footer="0.15748031496062992"/>
  <pageSetup paperSize="9" scale="34" orientation="landscape" r:id="rId1"/>
  <headerFooter>
    <oddFooter>&amp;L&amp;"Arial,Negrita"&amp;14&amp;D&amp;C&amp;"Arial,Negrita"&amp;14&amp;F&amp;R&amp;"Arial,Negrita"&amp;14&amp;A</oddFooter>
  </headerFooter>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38">
    <tabColor theme="6" tint="-0.499984740745262"/>
    <pageSetUpPr fitToPage="1"/>
  </sheetPr>
  <dimension ref="A1:O128"/>
  <sheetViews>
    <sheetView showGridLines="0" topLeftCell="F3" zoomScale="70" zoomScaleNormal="70" workbookViewId="0">
      <pane xSplit="1" ySplit="6" topLeftCell="G9" activePane="bottomRight" state="frozen"/>
      <selection activeCell="H11" sqref="H11:XFD11"/>
      <selection pane="topRight" activeCell="H11" sqref="H11:XFD11"/>
      <selection pane="bottomLeft" activeCell="H11" sqref="H11:XFD11"/>
      <selection pane="bottomRight" activeCell="O70" sqref="O70"/>
    </sheetView>
  </sheetViews>
  <sheetFormatPr baseColWidth="10" defaultColWidth="11.42578125" defaultRowHeight="15.75"/>
  <cols>
    <col min="1" max="1" width="11.42578125" style="93" hidden="1" customWidth="1"/>
    <col min="2" max="2" width="22.140625" style="93" hidden="1" customWidth="1"/>
    <col min="3" max="3" width="23.42578125" style="987" hidden="1" customWidth="1"/>
    <col min="4" max="4" width="23.7109375" style="93" hidden="1" customWidth="1"/>
    <col min="5" max="5" width="29.42578125" style="93" hidden="1" customWidth="1"/>
    <col min="6" max="6" width="7" style="98" customWidth="1"/>
    <col min="7" max="7" width="21.42578125" style="45" customWidth="1"/>
    <col min="8" max="8" width="153.5703125" style="45" customWidth="1"/>
    <col min="9" max="9" width="32" style="45" customWidth="1"/>
    <col min="10" max="10" width="23.140625" style="98" customWidth="1"/>
    <col min="11" max="15" width="11.42578125" style="97"/>
    <col min="16" max="16384" width="11.42578125" style="45"/>
  </cols>
  <sheetData>
    <row r="1" spans="1:15" ht="25.5" customHeight="1">
      <c r="A1" s="98"/>
      <c r="B1" s="98"/>
      <c r="C1" s="967"/>
      <c r="D1" s="98"/>
      <c r="E1" s="98"/>
      <c r="G1" s="309" t="s">
        <v>2253</v>
      </c>
      <c r="H1" s="309"/>
      <c r="I1" s="311" t="s">
        <v>2254</v>
      </c>
      <c r="J1" s="311" t="s">
        <v>2255</v>
      </c>
    </row>
    <row r="2" spans="1:15" ht="8.25" customHeight="1">
      <c r="A2" s="98"/>
      <c r="B2" s="98"/>
      <c r="C2" s="967"/>
      <c r="D2" s="98"/>
      <c r="E2" s="98"/>
      <c r="G2" s="97"/>
      <c r="H2" s="97"/>
      <c r="I2" s="97"/>
    </row>
    <row r="3" spans="1:15" s="97" customFormat="1" ht="17.25" customHeight="1">
      <c r="A3" s="98"/>
      <c r="B3" s="98"/>
      <c r="C3" s="967"/>
      <c r="D3" s="98"/>
      <c r="E3" s="98"/>
      <c r="F3" s="98"/>
      <c r="G3" s="171"/>
      <c r="H3" s="172"/>
      <c r="I3" s="172"/>
      <c r="J3" s="1224"/>
    </row>
    <row r="4" spans="1:15" s="97" customFormat="1" ht="35.25">
      <c r="A4" s="98"/>
      <c r="C4" s="967"/>
      <c r="D4" s="98"/>
      <c r="E4" s="98"/>
      <c r="F4" s="98"/>
      <c r="G4" s="162" t="str">
        <f ca="1">$B$10&amp;"  Inversión directa por país de origen y de destino."</f>
        <v>Tabla VII.1.  Inversión directa por país de origen y de destino.</v>
      </c>
      <c r="H4" s="161"/>
      <c r="I4" s="160"/>
      <c r="J4" s="160"/>
    </row>
    <row r="5" spans="1:15" s="97" customFormat="1" ht="70.5" customHeight="1">
      <c r="A5" s="98"/>
      <c r="B5" s="98"/>
      <c r="C5" s="967"/>
      <c r="D5" s="98"/>
      <c r="E5" s="98"/>
      <c r="F5" s="98"/>
      <c r="G5" s="2521" t="s">
        <v>2726</v>
      </c>
      <c r="H5" s="2521"/>
      <c r="I5" s="2521"/>
      <c r="J5" s="2521"/>
    </row>
    <row r="6" spans="1:15" s="97" customFormat="1" ht="36.75" customHeight="1">
      <c r="A6" s="98"/>
      <c r="B6" s="98"/>
      <c r="C6" s="967"/>
      <c r="D6" s="98"/>
      <c r="E6" s="98"/>
      <c r="F6" s="98"/>
      <c r="G6" s="1236" t="s">
        <v>2318</v>
      </c>
      <c r="H6" s="168"/>
      <c r="I6" s="168"/>
      <c r="J6" s="168"/>
    </row>
    <row r="7" spans="1:15" s="97" customFormat="1" ht="39.75" customHeight="1">
      <c r="A7" s="98"/>
      <c r="B7" s="98"/>
      <c r="C7" s="967"/>
      <c r="D7" s="98"/>
      <c r="E7" s="98"/>
      <c r="F7" s="98"/>
      <c r="G7" s="2490" t="s">
        <v>2727</v>
      </c>
      <c r="H7" s="2490"/>
      <c r="I7" s="2490"/>
      <c r="J7" s="2490"/>
    </row>
    <row r="8" spans="1:15" s="97" customFormat="1" ht="15" customHeight="1">
      <c r="A8" s="98"/>
      <c r="C8" s="967"/>
      <c r="D8" s="98"/>
      <c r="E8" s="98"/>
      <c r="F8" s="98"/>
      <c r="G8" s="169"/>
      <c r="H8" s="168"/>
      <c r="I8" s="168"/>
      <c r="J8" s="168"/>
    </row>
    <row r="9" spans="1:15" s="97" customFormat="1" ht="38.25">
      <c r="A9" s="98"/>
      <c r="B9" s="98"/>
      <c r="C9" s="967"/>
      <c r="D9" s="98"/>
      <c r="E9" s="98"/>
      <c r="F9" s="98"/>
      <c r="G9" s="158" t="s">
        <v>2728</v>
      </c>
      <c r="H9" s="160"/>
      <c r="I9" s="160"/>
      <c r="J9" s="160"/>
    </row>
    <row r="10" spans="1:15" s="97" customFormat="1" ht="30" thickBot="1">
      <c r="A10" s="98"/>
      <c r="B10" s="968" t="str">
        <f ca="1">RIGHT(CELL("nombrearchivo",$A$1),LEN(CELL("nombrearchivo",$A$1))-SEARCH("]",CELL("nombrearchivo",$A$1)))</f>
        <v>Tabla VII.1.</v>
      </c>
      <c r="C10" s="967"/>
      <c r="D10" s="98"/>
      <c r="E10" s="98"/>
      <c r="F10" s="98"/>
      <c r="G10" s="177" t="s">
        <v>2729</v>
      </c>
      <c r="H10" s="160"/>
      <c r="I10" s="160"/>
      <c r="J10" s="160"/>
    </row>
    <row r="11" spans="1:15" ht="92.25" customHeight="1" thickTop="1">
      <c r="B11" s="2528" t="str">
        <f ca="1">RIGHT(CELL("nombrearchivo",$A$1),LEN(CELL("nombrearchivo",$A$1))-SEARCH("]",CELL("nombrearchivo",$A$1)))</f>
        <v>Tabla VII.1.</v>
      </c>
      <c r="C11" s="2529"/>
      <c r="D11" s="2529"/>
      <c r="E11" s="2530"/>
      <c r="G11" s="288"/>
      <c r="H11" s="289"/>
      <c r="I11" s="969" t="str">
        <f>"VALOR DE LA PARTICIPACIÓN PATRIMONIAL DE LA EMPRESA DECLARANTE "&amp;E63&amp;"/"</f>
        <v>VALOR DE LA PARTICIPACIÓN PATRIMONIAL DE LA EMPRESA DECLARANTE 1/</v>
      </c>
      <c r="J11" s="970"/>
      <c r="K11" s="91"/>
      <c r="L11" s="91"/>
      <c r="M11" s="91"/>
      <c r="N11" s="91"/>
      <c r="O11" s="91"/>
    </row>
    <row r="12" spans="1:15" ht="56.25" customHeight="1" thickBot="1">
      <c r="B12" s="2531"/>
      <c r="C12" s="2532"/>
      <c r="D12" s="2532"/>
      <c r="E12" s="2533"/>
      <c r="G12" s="237"/>
      <c r="H12" s="290"/>
      <c r="I12" s="151" t="str">
        <f>CONCATENATE("SALDO A FINES DE"," ",Menu!$E$3," ",Menu!$C$3)</f>
        <v>SALDO A FINES DE SETIEMBRE 2025</v>
      </c>
      <c r="J12" s="971"/>
      <c r="K12" s="91"/>
      <c r="L12" s="91"/>
      <c r="M12" s="91"/>
      <c r="N12" s="91"/>
      <c r="O12" s="91"/>
    </row>
    <row r="13" spans="1:15" s="47" customFormat="1" ht="27.75" customHeight="1" thickBot="1">
      <c r="A13" s="232"/>
      <c r="B13" s="124" t="s">
        <v>2730</v>
      </c>
      <c r="C13" s="972" t="s">
        <v>2731</v>
      </c>
      <c r="D13" s="128" t="s">
        <v>2732</v>
      </c>
      <c r="E13" s="99" t="s">
        <v>2733</v>
      </c>
      <c r="F13" s="109"/>
      <c r="G13" s="279" t="s">
        <v>2734</v>
      </c>
      <c r="H13" s="291" t="s">
        <v>2735</v>
      </c>
      <c r="I13" s="294" t="s">
        <v>2591</v>
      </c>
      <c r="J13" s="973"/>
      <c r="K13" s="90"/>
      <c r="L13" s="90"/>
      <c r="M13" s="90"/>
      <c r="N13" s="90"/>
      <c r="O13" s="90"/>
    </row>
    <row r="14" spans="1:15" s="47" customFormat="1" ht="27.75" customHeight="1" thickTop="1" thickBot="1">
      <c r="A14" s="232">
        <v>1</v>
      </c>
      <c r="B14" s="129"/>
      <c r="C14" s="281" t="s">
        <v>2175</v>
      </c>
      <c r="D14" s="974" t="str">
        <f>+'Tabla VI.'!F17</f>
        <v>17.01.01.01</v>
      </c>
      <c r="E14" s="286" t="s">
        <v>2736</v>
      </c>
      <c r="F14" s="109"/>
      <c r="G14" s="975" t="str">
        <f>+C14</f>
        <v>01.01.01.</v>
      </c>
      <c r="H14" s="220" t="str">
        <f>"1.  EN SUS EMPRESAS DE INVERSIÓN DIRECTA NO RESIDENTES (p.ej. subsidiarias de la empresa declarante) "&amp;$E$64&amp;"/"</f>
        <v>1.  EN SUS EMPRESAS DE INVERSIÓN DIRECTA NO RESIDENTES (p.ej. subsidiarias de la empresa declarante) 2/</v>
      </c>
      <c r="I14" s="396">
        <f>+'Tabla VI.'!O17</f>
        <v>0</v>
      </c>
      <c r="J14" s="973"/>
      <c r="K14" s="411"/>
      <c r="L14" s="90"/>
      <c r="M14" s="90"/>
      <c r="N14" s="90"/>
      <c r="O14" s="90"/>
    </row>
    <row r="15" spans="1:15" s="47" customFormat="1" ht="27.75" customHeight="1" thickTop="1">
      <c r="A15" s="232">
        <f>+A14+1</f>
        <v>2</v>
      </c>
      <c r="B15" s="126"/>
      <c r="C15" s="280" t="s">
        <v>2737</v>
      </c>
      <c r="D15" s="561"/>
      <c r="E15" s="123"/>
      <c r="F15" s="109"/>
      <c r="G15" s="292" t="str">
        <f t="shared" ref="G15:G61" si="0">+C15</f>
        <v>01.01.01.01.</v>
      </c>
      <c r="H15" s="964" t="s">
        <v>2189</v>
      </c>
      <c r="I15" s="393"/>
      <c r="J15" s="973"/>
      <c r="K15" s="411"/>
      <c r="L15" s="90"/>
      <c r="M15" s="90"/>
      <c r="N15" s="90"/>
      <c r="O15" s="90"/>
    </row>
    <row r="16" spans="1:15" s="47" customFormat="1" ht="27.75" customHeight="1">
      <c r="A16" s="232">
        <f t="shared" ref="A16:A61" si="1">+A15+1</f>
        <v>3</v>
      </c>
      <c r="B16" s="126"/>
      <c r="C16" s="280" t="s">
        <v>2738</v>
      </c>
      <c r="D16" s="561"/>
      <c r="E16" s="123"/>
      <c r="F16" s="109"/>
      <c r="G16" s="292" t="str">
        <f t="shared" si="0"/>
        <v>01.01.01.02.</v>
      </c>
      <c r="H16" s="964" t="s">
        <v>2189</v>
      </c>
      <c r="I16" s="393"/>
      <c r="J16" s="973"/>
      <c r="K16" s="411"/>
      <c r="L16" s="90"/>
      <c r="M16" s="90"/>
      <c r="N16" s="90"/>
      <c r="O16" s="90"/>
    </row>
    <row r="17" spans="1:15" s="47" customFormat="1" ht="27.75" customHeight="1">
      <c r="A17" s="232">
        <f t="shared" si="1"/>
        <v>4</v>
      </c>
      <c r="B17" s="126"/>
      <c r="C17" s="280" t="s">
        <v>2739</v>
      </c>
      <c r="D17" s="561"/>
      <c r="E17" s="123"/>
      <c r="F17" s="109"/>
      <c r="G17" s="292" t="str">
        <f t="shared" si="0"/>
        <v>01.01.01.03.</v>
      </c>
      <c r="H17" s="964" t="s">
        <v>2189</v>
      </c>
      <c r="I17" s="393"/>
      <c r="J17" s="973"/>
      <c r="K17" s="411"/>
      <c r="L17" s="90"/>
      <c r="M17" s="90"/>
      <c r="N17" s="90"/>
      <c r="O17" s="90"/>
    </row>
    <row r="18" spans="1:15" s="47" customFormat="1" ht="27.75" customHeight="1">
      <c r="A18" s="232">
        <f t="shared" si="1"/>
        <v>5</v>
      </c>
      <c r="B18" s="126"/>
      <c r="C18" s="280" t="s">
        <v>2740</v>
      </c>
      <c r="D18" s="561"/>
      <c r="E18" s="123"/>
      <c r="F18" s="109"/>
      <c r="G18" s="292" t="str">
        <f t="shared" si="0"/>
        <v>01.01.01.04.</v>
      </c>
      <c r="H18" s="964" t="s">
        <v>2189</v>
      </c>
      <c r="I18" s="393"/>
      <c r="J18" s="973"/>
      <c r="K18" s="411"/>
      <c r="L18" s="90"/>
      <c r="M18" s="90"/>
      <c r="N18" s="90"/>
      <c r="O18" s="90"/>
    </row>
    <row r="19" spans="1:15" s="47" customFormat="1" ht="27.75" customHeight="1">
      <c r="A19" s="232">
        <f t="shared" si="1"/>
        <v>6</v>
      </c>
      <c r="B19" s="126"/>
      <c r="C19" s="280" t="s">
        <v>2741</v>
      </c>
      <c r="D19" s="561"/>
      <c r="E19" s="123"/>
      <c r="F19" s="109"/>
      <c r="G19" s="292" t="str">
        <f t="shared" si="0"/>
        <v>01.01.01.05.</v>
      </c>
      <c r="H19" s="964" t="s">
        <v>2189</v>
      </c>
      <c r="I19" s="393"/>
      <c r="J19" s="973"/>
      <c r="K19" s="411"/>
      <c r="L19" s="90"/>
      <c r="M19" s="90"/>
      <c r="N19" s="90"/>
      <c r="O19" s="90"/>
    </row>
    <row r="20" spans="1:15" s="47" customFormat="1" ht="27.75" customHeight="1">
      <c r="A20" s="232">
        <f t="shared" si="1"/>
        <v>7</v>
      </c>
      <c r="B20" s="126"/>
      <c r="C20" s="280" t="s">
        <v>2742</v>
      </c>
      <c r="D20" s="561"/>
      <c r="E20" s="123"/>
      <c r="F20" s="109"/>
      <c r="G20" s="292" t="str">
        <f t="shared" si="0"/>
        <v>01.01.01.06.</v>
      </c>
      <c r="H20" s="964" t="s">
        <v>2189</v>
      </c>
      <c r="I20" s="393"/>
      <c r="J20" s="973"/>
      <c r="K20" s="411"/>
      <c r="L20" s="90"/>
      <c r="M20" s="90"/>
      <c r="N20" s="90"/>
      <c r="O20" s="90"/>
    </row>
    <row r="21" spans="1:15" s="47" customFormat="1" ht="27.75" customHeight="1">
      <c r="A21" s="232">
        <f t="shared" si="1"/>
        <v>8</v>
      </c>
      <c r="B21" s="126"/>
      <c r="C21" s="280" t="s">
        <v>2743</v>
      </c>
      <c r="D21" s="561"/>
      <c r="E21" s="123"/>
      <c r="F21" s="109"/>
      <c r="G21" s="292" t="str">
        <f t="shared" si="0"/>
        <v>01.01.01.07.</v>
      </c>
      <c r="H21" s="964" t="s">
        <v>2189</v>
      </c>
      <c r="I21" s="393"/>
      <c r="J21" s="973"/>
      <c r="K21" s="411"/>
      <c r="L21" s="90"/>
      <c r="M21" s="90"/>
      <c r="N21" s="90"/>
      <c r="O21" s="90"/>
    </row>
    <row r="22" spans="1:15" s="47" customFormat="1" ht="27.75" customHeight="1">
      <c r="A22" s="232">
        <f t="shared" si="1"/>
        <v>9</v>
      </c>
      <c r="B22" s="126"/>
      <c r="C22" s="280" t="s">
        <v>2744</v>
      </c>
      <c r="D22" s="561"/>
      <c r="E22" s="123"/>
      <c r="F22" s="109"/>
      <c r="G22" s="292" t="str">
        <f t="shared" si="0"/>
        <v>01.01.01.08.</v>
      </c>
      <c r="H22" s="964" t="s">
        <v>2189</v>
      </c>
      <c r="I22" s="393"/>
      <c r="J22" s="973"/>
      <c r="K22" s="411"/>
      <c r="L22" s="90"/>
      <c r="M22" s="90"/>
      <c r="N22" s="90"/>
      <c r="O22" s="90"/>
    </row>
    <row r="23" spans="1:15" s="47" customFormat="1" ht="27.75" customHeight="1">
      <c r="A23" s="232">
        <f t="shared" si="1"/>
        <v>10</v>
      </c>
      <c r="B23" s="126"/>
      <c r="C23" s="280" t="s">
        <v>2745</v>
      </c>
      <c r="D23" s="561"/>
      <c r="E23" s="123"/>
      <c r="F23" s="109"/>
      <c r="G23" s="292" t="str">
        <f t="shared" si="0"/>
        <v>01.01.01.09.</v>
      </c>
      <c r="H23" s="964" t="s">
        <v>2189</v>
      </c>
      <c r="I23" s="393"/>
      <c r="J23" s="973"/>
      <c r="K23" s="411"/>
      <c r="L23" s="90"/>
      <c r="M23" s="90"/>
      <c r="N23" s="90"/>
      <c r="O23" s="90"/>
    </row>
    <row r="24" spans="1:15" s="47" customFormat="1" ht="27.75" customHeight="1">
      <c r="A24" s="232">
        <f t="shared" si="1"/>
        <v>11</v>
      </c>
      <c r="B24" s="127"/>
      <c r="C24" s="976" t="s">
        <v>2746</v>
      </c>
      <c r="D24" s="564"/>
      <c r="E24" s="121"/>
      <c r="F24" s="109"/>
      <c r="G24" s="1764" t="str">
        <f t="shared" si="0"/>
        <v>01.01.01.10.</v>
      </c>
      <c r="H24" s="964" t="s">
        <v>2189</v>
      </c>
      <c r="I24" s="1765"/>
      <c r="J24" s="973"/>
      <c r="K24" s="411"/>
      <c r="L24" s="90"/>
      <c r="M24" s="90"/>
      <c r="N24" s="90"/>
      <c r="O24" s="90"/>
    </row>
    <row r="25" spans="1:15" s="47" customFormat="1" ht="27.75" customHeight="1" thickBot="1">
      <c r="A25" s="232">
        <f t="shared" si="1"/>
        <v>12</v>
      </c>
      <c r="B25" s="127"/>
      <c r="C25" s="976" t="s">
        <v>2747</v>
      </c>
      <c r="D25" s="564"/>
      <c r="E25" s="121"/>
      <c r="F25" s="109"/>
      <c r="G25" s="293" t="str">
        <f t="shared" si="0"/>
        <v>01.01.01.11.</v>
      </c>
      <c r="H25" s="965" t="s">
        <v>2748</v>
      </c>
      <c r="I25" s="397">
        <f>+I14-SUM(I15:I24)</f>
        <v>0</v>
      </c>
      <c r="J25" s="973"/>
      <c r="K25" s="411"/>
      <c r="L25" s="90"/>
      <c r="M25" s="90"/>
      <c r="N25" s="90"/>
      <c r="O25" s="90"/>
    </row>
    <row r="26" spans="1:15" s="47" customFormat="1" ht="27.75" customHeight="1" thickTop="1" thickBot="1">
      <c r="A26" s="232">
        <f t="shared" si="1"/>
        <v>13</v>
      </c>
      <c r="B26" s="125"/>
      <c r="C26" s="282" t="s">
        <v>2177</v>
      </c>
      <c r="D26" s="977" t="str">
        <f>+'Tabla VI.'!F18</f>
        <v>17.01.01.02</v>
      </c>
      <c r="E26" s="284" t="s">
        <v>2749</v>
      </c>
      <c r="F26" s="109"/>
      <c r="G26" s="260" t="str">
        <f t="shared" si="0"/>
        <v>01.01.02.</v>
      </c>
      <c r="H26" s="221" t="str">
        <f>"2.  EN SUS INVERSIONISTAS DIRECTOS NO RESIDENTES (inversión en sentido contrario) "&amp;$E$64&amp;"/"</f>
        <v>2.  EN SUS INVERSIONISTAS DIRECTOS NO RESIDENTES (inversión en sentido contrario) 2/</v>
      </c>
      <c r="I26" s="396">
        <f>+'Tabla VI.'!O18</f>
        <v>0</v>
      </c>
      <c r="J26" s="973"/>
      <c r="K26" s="411"/>
      <c r="L26" s="90"/>
      <c r="M26" s="90"/>
      <c r="N26" s="90"/>
      <c r="O26" s="90"/>
    </row>
    <row r="27" spans="1:15" s="47" customFormat="1" ht="27.75" customHeight="1" thickTop="1">
      <c r="A27" s="232">
        <f t="shared" si="1"/>
        <v>14</v>
      </c>
      <c r="B27" s="126"/>
      <c r="C27" s="280" t="s">
        <v>2750</v>
      </c>
      <c r="D27" s="561"/>
      <c r="E27" s="123"/>
      <c r="F27" s="109"/>
      <c r="G27" s="292" t="str">
        <f t="shared" si="0"/>
        <v>01.01.02.01.</v>
      </c>
      <c r="H27" s="964" t="s">
        <v>2189</v>
      </c>
      <c r="I27" s="393"/>
      <c r="J27" s="973"/>
      <c r="K27" s="411"/>
      <c r="L27" s="90"/>
      <c r="M27" s="90"/>
      <c r="N27" s="90"/>
      <c r="O27" s="90"/>
    </row>
    <row r="28" spans="1:15" s="47" customFormat="1" ht="27.75" customHeight="1">
      <c r="A28" s="232">
        <f t="shared" si="1"/>
        <v>15</v>
      </c>
      <c r="B28" s="126"/>
      <c r="C28" s="280" t="s">
        <v>2751</v>
      </c>
      <c r="D28" s="561"/>
      <c r="E28" s="123"/>
      <c r="F28" s="109"/>
      <c r="G28" s="292" t="str">
        <f t="shared" si="0"/>
        <v>01.01.02.02.</v>
      </c>
      <c r="H28" s="964" t="s">
        <v>2189</v>
      </c>
      <c r="I28" s="393"/>
      <c r="J28" s="973"/>
      <c r="K28" s="411"/>
      <c r="L28" s="90"/>
      <c r="M28" s="90"/>
      <c r="N28" s="90"/>
      <c r="O28" s="90"/>
    </row>
    <row r="29" spans="1:15" s="47" customFormat="1" ht="27.75" customHeight="1">
      <c r="A29" s="232">
        <f t="shared" si="1"/>
        <v>16</v>
      </c>
      <c r="B29" s="126"/>
      <c r="C29" s="280" t="s">
        <v>2752</v>
      </c>
      <c r="D29" s="561"/>
      <c r="E29" s="123"/>
      <c r="F29" s="109"/>
      <c r="G29" s="292" t="str">
        <f t="shared" si="0"/>
        <v>01.01.02.03.</v>
      </c>
      <c r="H29" s="964" t="s">
        <v>2189</v>
      </c>
      <c r="I29" s="393"/>
      <c r="J29" s="973"/>
      <c r="K29" s="411"/>
      <c r="L29" s="90"/>
      <c r="M29" s="90"/>
      <c r="N29" s="90"/>
      <c r="O29" s="90"/>
    </row>
    <row r="30" spans="1:15" s="47" customFormat="1" ht="27.75" customHeight="1">
      <c r="A30" s="232">
        <f t="shared" si="1"/>
        <v>17</v>
      </c>
      <c r="B30" s="126"/>
      <c r="C30" s="280" t="s">
        <v>2753</v>
      </c>
      <c r="D30" s="561"/>
      <c r="E30" s="123"/>
      <c r="F30" s="109"/>
      <c r="G30" s="292" t="str">
        <f t="shared" si="0"/>
        <v>01.01.02.04.</v>
      </c>
      <c r="H30" s="964" t="s">
        <v>2189</v>
      </c>
      <c r="I30" s="393"/>
      <c r="J30" s="973"/>
      <c r="K30" s="411"/>
      <c r="L30" s="90"/>
      <c r="M30" s="90"/>
      <c r="N30" s="90"/>
      <c r="O30" s="90"/>
    </row>
    <row r="31" spans="1:15" s="47" customFormat="1" ht="27.75" customHeight="1">
      <c r="A31" s="232">
        <f t="shared" si="1"/>
        <v>18</v>
      </c>
      <c r="B31" s="126"/>
      <c r="C31" s="280" t="s">
        <v>2754</v>
      </c>
      <c r="D31" s="561"/>
      <c r="E31" s="123"/>
      <c r="F31" s="109"/>
      <c r="G31" s="292" t="str">
        <f t="shared" si="0"/>
        <v>01.01.02.05.</v>
      </c>
      <c r="H31" s="964" t="s">
        <v>2189</v>
      </c>
      <c r="I31" s="393"/>
      <c r="J31" s="973"/>
      <c r="K31" s="411"/>
      <c r="L31" s="90"/>
      <c r="M31" s="90"/>
      <c r="N31" s="90"/>
      <c r="O31" s="90"/>
    </row>
    <row r="32" spans="1:15" s="47" customFormat="1" ht="27.75" customHeight="1">
      <c r="A32" s="232">
        <f t="shared" si="1"/>
        <v>19</v>
      </c>
      <c r="B32" s="126"/>
      <c r="C32" s="280" t="s">
        <v>2755</v>
      </c>
      <c r="D32" s="561"/>
      <c r="E32" s="123"/>
      <c r="F32" s="109"/>
      <c r="G32" s="292" t="str">
        <f t="shared" si="0"/>
        <v>01.01.02.06.</v>
      </c>
      <c r="H32" s="964" t="s">
        <v>2189</v>
      </c>
      <c r="I32" s="393"/>
      <c r="J32" s="973"/>
      <c r="K32" s="411"/>
      <c r="L32" s="90"/>
      <c r="M32" s="90"/>
      <c r="N32" s="90"/>
      <c r="O32" s="90"/>
    </row>
    <row r="33" spans="1:15" s="47" customFormat="1" ht="27.75" customHeight="1">
      <c r="A33" s="232">
        <f t="shared" si="1"/>
        <v>20</v>
      </c>
      <c r="B33" s="126"/>
      <c r="C33" s="280" t="s">
        <v>2756</v>
      </c>
      <c r="D33" s="561"/>
      <c r="E33" s="123"/>
      <c r="F33" s="109"/>
      <c r="G33" s="292" t="str">
        <f t="shared" si="0"/>
        <v>01.01.02.07.</v>
      </c>
      <c r="H33" s="964" t="s">
        <v>2189</v>
      </c>
      <c r="I33" s="393"/>
      <c r="J33" s="973"/>
      <c r="K33" s="411"/>
      <c r="L33" s="90"/>
      <c r="M33" s="90"/>
      <c r="N33" s="90"/>
      <c r="O33" s="90"/>
    </row>
    <row r="34" spans="1:15" s="47" customFormat="1" ht="27.75" customHeight="1">
      <c r="A34" s="232">
        <f t="shared" si="1"/>
        <v>21</v>
      </c>
      <c r="B34" s="126"/>
      <c r="C34" s="280" t="s">
        <v>2757</v>
      </c>
      <c r="D34" s="561"/>
      <c r="E34" s="123"/>
      <c r="F34" s="109"/>
      <c r="G34" s="292" t="str">
        <f t="shared" si="0"/>
        <v>01.01.02.08.</v>
      </c>
      <c r="H34" s="964" t="s">
        <v>2189</v>
      </c>
      <c r="I34" s="393"/>
      <c r="J34" s="973"/>
      <c r="K34" s="411"/>
      <c r="L34" s="90"/>
      <c r="M34" s="90"/>
      <c r="N34" s="90"/>
      <c r="O34" s="90"/>
    </row>
    <row r="35" spans="1:15" s="47" customFormat="1" ht="27.75" customHeight="1">
      <c r="A35" s="232">
        <f t="shared" si="1"/>
        <v>22</v>
      </c>
      <c r="B35" s="126"/>
      <c r="C35" s="280" t="s">
        <v>2758</v>
      </c>
      <c r="D35" s="561"/>
      <c r="E35" s="123"/>
      <c r="F35" s="109"/>
      <c r="G35" s="292" t="str">
        <f t="shared" si="0"/>
        <v>01.01.02.09.</v>
      </c>
      <c r="H35" s="964" t="s">
        <v>2189</v>
      </c>
      <c r="I35" s="393"/>
      <c r="J35" s="973"/>
      <c r="K35" s="411"/>
      <c r="L35" s="90"/>
      <c r="M35" s="90"/>
      <c r="N35" s="90"/>
      <c r="O35" s="90"/>
    </row>
    <row r="36" spans="1:15" s="47" customFormat="1" ht="27.75" customHeight="1">
      <c r="A36" s="232">
        <f t="shared" si="1"/>
        <v>23</v>
      </c>
      <c r="B36" s="126"/>
      <c r="C36" s="280" t="s">
        <v>2759</v>
      </c>
      <c r="D36" s="561"/>
      <c r="E36" s="123"/>
      <c r="F36" s="109"/>
      <c r="G36" s="1764" t="str">
        <f t="shared" si="0"/>
        <v>01.01.02.10.</v>
      </c>
      <c r="H36" s="964" t="s">
        <v>2189</v>
      </c>
      <c r="I36" s="1765"/>
      <c r="J36" s="973"/>
      <c r="K36" s="411"/>
      <c r="L36" s="90"/>
      <c r="M36" s="90"/>
      <c r="N36" s="90"/>
      <c r="O36" s="90"/>
    </row>
    <row r="37" spans="1:15" s="47" customFormat="1" ht="27.75" customHeight="1" thickBot="1">
      <c r="A37" s="232">
        <f t="shared" si="1"/>
        <v>24</v>
      </c>
      <c r="B37" s="127"/>
      <c r="C37" s="976" t="s">
        <v>2760</v>
      </c>
      <c r="D37" s="564"/>
      <c r="E37" s="121"/>
      <c r="F37" s="109"/>
      <c r="G37" s="394" t="str">
        <f t="shared" si="0"/>
        <v>01.01.02.11.</v>
      </c>
      <c r="H37" s="965" t="s">
        <v>2748</v>
      </c>
      <c r="I37" s="397">
        <f>+I26-SUM(I27:I36)</f>
        <v>0</v>
      </c>
      <c r="J37" s="973"/>
      <c r="K37" s="411"/>
      <c r="L37" s="90"/>
      <c r="M37" s="90"/>
      <c r="N37" s="90"/>
      <c r="O37" s="90"/>
    </row>
    <row r="38" spans="1:15" s="47" customFormat="1" ht="27.75" customHeight="1" thickTop="1" thickBot="1">
      <c r="A38" s="232">
        <f t="shared" si="1"/>
        <v>25</v>
      </c>
      <c r="B38" s="125" t="s">
        <v>2761</v>
      </c>
      <c r="C38" s="282" t="s">
        <v>2178</v>
      </c>
      <c r="D38" s="977" t="str">
        <f>+'Tabla VI.'!F19</f>
        <v>17.01.01.03</v>
      </c>
      <c r="E38" s="284" t="s">
        <v>2749</v>
      </c>
      <c r="F38" s="109"/>
      <c r="G38" s="260" t="str">
        <f t="shared" si="0"/>
        <v>01.01.03.</v>
      </c>
      <c r="H38" s="222" t="str">
        <f>"   3. EN EMPRESAS EMPARENTADAS: SI EL INVERSIONISTA DIRECTO QUE EJERCE EL CONTROL FINAL DE LA ED ES NO RESIDENTE "&amp;$E$64&amp;"/"</f>
        <v xml:space="preserve">   3. EN EMPRESAS EMPARENTADAS: SI EL INVERSIONISTA DIRECTO QUE EJERCE EL CONTROL FINAL DE LA ED ES NO RESIDENTE 2/</v>
      </c>
      <c r="I38" s="396">
        <f>+'Tabla VI.'!O19</f>
        <v>0</v>
      </c>
      <c r="J38" s="973"/>
      <c r="K38" s="411"/>
      <c r="L38" s="90"/>
      <c r="M38" s="90"/>
      <c r="N38" s="90"/>
      <c r="O38" s="90"/>
    </row>
    <row r="39" spans="1:15" s="47" customFormat="1" ht="27.75" customHeight="1" thickTop="1">
      <c r="A39" s="232">
        <f t="shared" si="1"/>
        <v>26</v>
      </c>
      <c r="B39" s="126"/>
      <c r="C39" s="280" t="s">
        <v>2762</v>
      </c>
      <c r="D39" s="561"/>
      <c r="E39" s="123"/>
      <c r="F39" s="109"/>
      <c r="G39" s="292" t="str">
        <f t="shared" si="0"/>
        <v>01.01.03.01.</v>
      </c>
      <c r="H39" s="966" t="s">
        <v>2189</v>
      </c>
      <c r="I39" s="393"/>
      <c r="J39" s="973"/>
      <c r="K39" s="411"/>
      <c r="L39" s="90"/>
      <c r="M39" s="90"/>
      <c r="N39" s="90"/>
      <c r="O39" s="90"/>
    </row>
    <row r="40" spans="1:15" s="47" customFormat="1" ht="27.75" customHeight="1">
      <c r="A40" s="232">
        <f t="shared" si="1"/>
        <v>27</v>
      </c>
      <c r="B40" s="126"/>
      <c r="C40" s="280" t="s">
        <v>2763</v>
      </c>
      <c r="D40" s="561"/>
      <c r="E40" s="123"/>
      <c r="F40" s="109"/>
      <c r="G40" s="292" t="str">
        <f t="shared" si="0"/>
        <v>01.01.03.02.</v>
      </c>
      <c r="H40" s="966" t="s">
        <v>2189</v>
      </c>
      <c r="I40" s="393"/>
      <c r="J40" s="973"/>
      <c r="K40" s="411"/>
      <c r="L40" s="90"/>
      <c r="M40" s="90"/>
      <c r="N40" s="90"/>
      <c r="O40" s="90"/>
    </row>
    <row r="41" spans="1:15" s="47" customFormat="1" ht="27.75" customHeight="1">
      <c r="A41" s="232">
        <f t="shared" si="1"/>
        <v>28</v>
      </c>
      <c r="B41" s="126"/>
      <c r="C41" s="280" t="s">
        <v>2764</v>
      </c>
      <c r="D41" s="561"/>
      <c r="E41" s="123"/>
      <c r="F41" s="109"/>
      <c r="G41" s="292" t="str">
        <f t="shared" si="0"/>
        <v>01.01.03.03.</v>
      </c>
      <c r="H41" s="966" t="s">
        <v>2189</v>
      </c>
      <c r="I41" s="393"/>
      <c r="J41" s="973"/>
      <c r="K41" s="411"/>
      <c r="L41" s="90"/>
      <c r="M41" s="90"/>
      <c r="N41" s="90"/>
      <c r="O41" s="90"/>
    </row>
    <row r="42" spans="1:15" s="47" customFormat="1" ht="27.75" customHeight="1">
      <c r="A42" s="232">
        <f t="shared" si="1"/>
        <v>29</v>
      </c>
      <c r="B42" s="126"/>
      <c r="C42" s="280" t="s">
        <v>2765</v>
      </c>
      <c r="D42" s="561"/>
      <c r="E42" s="123"/>
      <c r="F42" s="109"/>
      <c r="G42" s="292" t="str">
        <f t="shared" si="0"/>
        <v>01.01.03.04.</v>
      </c>
      <c r="H42" s="966" t="s">
        <v>2189</v>
      </c>
      <c r="I42" s="393"/>
      <c r="J42" s="973"/>
      <c r="K42" s="411"/>
      <c r="L42" s="90"/>
      <c r="M42" s="90"/>
      <c r="N42" s="90"/>
      <c r="O42" s="90"/>
    </row>
    <row r="43" spans="1:15" s="47" customFormat="1" ht="27.75" customHeight="1">
      <c r="A43" s="232">
        <f t="shared" si="1"/>
        <v>30</v>
      </c>
      <c r="B43" s="126"/>
      <c r="C43" s="280" t="s">
        <v>2766</v>
      </c>
      <c r="D43" s="561"/>
      <c r="E43" s="123"/>
      <c r="F43" s="109"/>
      <c r="G43" s="292" t="str">
        <f t="shared" si="0"/>
        <v>01.01.03.05.</v>
      </c>
      <c r="H43" s="966" t="s">
        <v>2189</v>
      </c>
      <c r="I43" s="393"/>
      <c r="J43" s="973"/>
      <c r="K43" s="411"/>
      <c r="L43" s="90"/>
      <c r="M43" s="90"/>
      <c r="N43" s="90"/>
      <c r="O43" s="90"/>
    </row>
    <row r="44" spans="1:15" s="47" customFormat="1" ht="27.75" customHeight="1">
      <c r="A44" s="232">
        <f t="shared" si="1"/>
        <v>31</v>
      </c>
      <c r="B44" s="126"/>
      <c r="C44" s="280" t="s">
        <v>2767</v>
      </c>
      <c r="D44" s="561"/>
      <c r="E44" s="123"/>
      <c r="F44" s="109"/>
      <c r="G44" s="292" t="str">
        <f t="shared" si="0"/>
        <v>01.01.03.06.</v>
      </c>
      <c r="H44" s="966" t="s">
        <v>2189</v>
      </c>
      <c r="I44" s="393"/>
      <c r="J44" s="973"/>
      <c r="K44" s="411"/>
      <c r="L44" s="90"/>
      <c r="M44" s="90"/>
      <c r="N44" s="90"/>
      <c r="O44" s="90"/>
    </row>
    <row r="45" spans="1:15" s="47" customFormat="1" ht="27.75" customHeight="1">
      <c r="A45" s="232">
        <f t="shared" si="1"/>
        <v>32</v>
      </c>
      <c r="B45" s="126"/>
      <c r="C45" s="280" t="s">
        <v>2768</v>
      </c>
      <c r="D45" s="561"/>
      <c r="E45" s="123"/>
      <c r="F45" s="109"/>
      <c r="G45" s="292" t="str">
        <f t="shared" si="0"/>
        <v>01.01.03.07.</v>
      </c>
      <c r="H45" s="966" t="s">
        <v>2189</v>
      </c>
      <c r="I45" s="393"/>
      <c r="J45" s="973"/>
      <c r="K45" s="411"/>
      <c r="L45" s="90"/>
      <c r="M45" s="90"/>
      <c r="N45" s="90"/>
      <c r="O45" s="90"/>
    </row>
    <row r="46" spans="1:15" s="47" customFormat="1" ht="27.75" customHeight="1">
      <c r="A46" s="232">
        <f t="shared" si="1"/>
        <v>33</v>
      </c>
      <c r="B46" s="126"/>
      <c r="C46" s="280" t="s">
        <v>2769</v>
      </c>
      <c r="D46" s="561"/>
      <c r="E46" s="123"/>
      <c r="F46" s="109"/>
      <c r="G46" s="292" t="str">
        <f t="shared" si="0"/>
        <v>01.01.03.08.</v>
      </c>
      <c r="H46" s="966" t="s">
        <v>2189</v>
      </c>
      <c r="I46" s="393"/>
      <c r="J46" s="973"/>
      <c r="K46" s="411"/>
      <c r="L46" s="90"/>
      <c r="M46" s="90"/>
      <c r="N46" s="90"/>
      <c r="O46" s="90"/>
    </row>
    <row r="47" spans="1:15" s="47" customFormat="1" ht="27.75" customHeight="1">
      <c r="A47" s="232">
        <f t="shared" si="1"/>
        <v>34</v>
      </c>
      <c r="B47" s="126"/>
      <c r="C47" s="280" t="s">
        <v>2770</v>
      </c>
      <c r="D47" s="561"/>
      <c r="E47" s="123"/>
      <c r="F47" s="109"/>
      <c r="G47" s="292" t="str">
        <f t="shared" si="0"/>
        <v>01.01.03.09.</v>
      </c>
      <c r="H47" s="966" t="s">
        <v>2189</v>
      </c>
      <c r="I47" s="393"/>
      <c r="J47" s="973"/>
      <c r="K47" s="411"/>
      <c r="L47" s="90"/>
      <c r="M47" s="90"/>
      <c r="N47" s="90"/>
      <c r="O47" s="90"/>
    </row>
    <row r="48" spans="1:15" s="47" customFormat="1" ht="27.75" customHeight="1">
      <c r="A48" s="232">
        <f t="shared" si="1"/>
        <v>35</v>
      </c>
      <c r="B48" s="126"/>
      <c r="C48" s="280" t="s">
        <v>2771</v>
      </c>
      <c r="D48" s="561"/>
      <c r="E48" s="123"/>
      <c r="F48" s="109"/>
      <c r="G48" s="1764" t="str">
        <f t="shared" si="0"/>
        <v>01.01.03.10.</v>
      </c>
      <c r="H48" s="966" t="s">
        <v>2189</v>
      </c>
      <c r="I48" s="1765"/>
      <c r="J48" s="973"/>
      <c r="K48" s="411"/>
      <c r="L48" s="90"/>
      <c r="M48" s="90"/>
      <c r="N48" s="90"/>
      <c r="O48" s="90"/>
    </row>
    <row r="49" spans="1:15" s="47" customFormat="1" ht="27.75" customHeight="1" thickBot="1">
      <c r="A49" s="232">
        <f t="shared" si="1"/>
        <v>36</v>
      </c>
      <c r="B49" s="127"/>
      <c r="C49" s="280" t="s">
        <v>2772</v>
      </c>
      <c r="D49" s="564"/>
      <c r="E49" s="121"/>
      <c r="F49" s="109"/>
      <c r="G49" s="293" t="str">
        <f t="shared" si="0"/>
        <v>01.01.03.11.</v>
      </c>
      <c r="H49" s="965" t="s">
        <v>2748</v>
      </c>
      <c r="I49" s="397">
        <f>+I38-SUM(I39:I48)</f>
        <v>0</v>
      </c>
      <c r="J49" s="973"/>
      <c r="K49" s="411"/>
      <c r="L49" s="90"/>
      <c r="M49" s="90"/>
      <c r="N49" s="90"/>
      <c r="O49" s="90"/>
    </row>
    <row r="50" spans="1:15" s="47" customFormat="1" ht="48" customHeight="1" thickTop="1" thickBot="1">
      <c r="A50" s="232">
        <f t="shared" si="1"/>
        <v>37</v>
      </c>
      <c r="B50" s="125" t="s">
        <v>2452</v>
      </c>
      <c r="C50" s="282" t="s">
        <v>2179</v>
      </c>
      <c r="D50" s="977" t="str">
        <f>+'Tabla VI.'!F20</f>
        <v>17.01.01.04</v>
      </c>
      <c r="E50" s="284" t="s">
        <v>2736</v>
      </c>
      <c r="F50" s="109"/>
      <c r="G50" s="260" t="str">
        <f t="shared" si="0"/>
        <v>01.01.04.</v>
      </c>
      <c r="H50" s="222" t="str">
        <f>" 4. EN EMPRESAS EMPARENTADAS: SI EL INVERSIONISTA DIRECTO QUE EJERCE EL CONTROL FINAL DE LA ED ES RESIDENTE O NO SE CONOCE "&amp;$E$64&amp;"/"</f>
        <v xml:space="preserve"> 4. EN EMPRESAS EMPARENTADAS: SI EL INVERSIONISTA DIRECTO QUE EJERCE EL CONTROL FINAL DE LA ED ES RESIDENTE O NO SE CONOCE 2/</v>
      </c>
      <c r="I50" s="396">
        <f>+'Tabla VI.'!O20</f>
        <v>0</v>
      </c>
      <c r="J50" s="973"/>
      <c r="K50" s="411"/>
      <c r="L50" s="90"/>
      <c r="M50" s="90"/>
      <c r="N50" s="90"/>
      <c r="O50" s="90"/>
    </row>
    <row r="51" spans="1:15" s="47" customFormat="1" ht="27.75" customHeight="1" thickTop="1">
      <c r="A51" s="232">
        <f t="shared" si="1"/>
        <v>38</v>
      </c>
      <c r="B51" s="126"/>
      <c r="C51" s="280" t="s">
        <v>2773</v>
      </c>
      <c r="D51" s="561"/>
      <c r="E51" s="123"/>
      <c r="F51" s="109"/>
      <c r="G51" s="292" t="str">
        <f t="shared" si="0"/>
        <v>01.01.04.01.</v>
      </c>
      <c r="H51" s="966" t="s">
        <v>2189</v>
      </c>
      <c r="I51" s="393"/>
      <c r="J51" s="973"/>
      <c r="K51" s="411"/>
      <c r="L51" s="90"/>
      <c r="M51" s="90"/>
      <c r="N51" s="90"/>
      <c r="O51" s="90"/>
    </row>
    <row r="52" spans="1:15" s="47" customFormat="1" ht="27.75" customHeight="1">
      <c r="A52" s="232">
        <f t="shared" si="1"/>
        <v>39</v>
      </c>
      <c r="B52" s="126"/>
      <c r="C52" s="280" t="s">
        <v>2774</v>
      </c>
      <c r="D52" s="561"/>
      <c r="E52" s="123"/>
      <c r="F52" s="109"/>
      <c r="G52" s="292" t="str">
        <f t="shared" si="0"/>
        <v>01.01.04.02.</v>
      </c>
      <c r="H52" s="966" t="s">
        <v>2189</v>
      </c>
      <c r="I52" s="393"/>
      <c r="J52" s="973"/>
      <c r="K52" s="411"/>
      <c r="L52" s="90"/>
      <c r="M52" s="90"/>
      <c r="N52" s="90"/>
      <c r="O52" s="90"/>
    </row>
    <row r="53" spans="1:15" s="47" customFormat="1" ht="27.75" customHeight="1">
      <c r="A53" s="232">
        <f t="shared" si="1"/>
        <v>40</v>
      </c>
      <c r="B53" s="126"/>
      <c r="C53" s="280" t="s">
        <v>2775</v>
      </c>
      <c r="D53" s="561"/>
      <c r="E53" s="123"/>
      <c r="F53" s="109"/>
      <c r="G53" s="292" t="str">
        <f t="shared" si="0"/>
        <v>01.01.04.03.</v>
      </c>
      <c r="H53" s="966" t="s">
        <v>2189</v>
      </c>
      <c r="I53" s="393"/>
      <c r="J53" s="973"/>
      <c r="K53" s="411"/>
      <c r="L53" s="90"/>
      <c r="M53" s="90"/>
      <c r="N53" s="90"/>
      <c r="O53" s="90"/>
    </row>
    <row r="54" spans="1:15" s="47" customFormat="1" ht="27.75" customHeight="1">
      <c r="A54" s="232">
        <f t="shared" si="1"/>
        <v>41</v>
      </c>
      <c r="B54" s="126"/>
      <c r="C54" s="280" t="s">
        <v>2776</v>
      </c>
      <c r="D54" s="561"/>
      <c r="E54" s="123"/>
      <c r="F54" s="109"/>
      <c r="G54" s="292" t="str">
        <f t="shared" si="0"/>
        <v>01.01.04.04.</v>
      </c>
      <c r="H54" s="966" t="s">
        <v>2189</v>
      </c>
      <c r="I54" s="393"/>
      <c r="J54" s="973"/>
      <c r="K54" s="411"/>
      <c r="L54" s="90"/>
      <c r="M54" s="90"/>
      <c r="N54" s="90"/>
      <c r="O54" s="90"/>
    </row>
    <row r="55" spans="1:15" s="47" customFormat="1" ht="27.75" customHeight="1">
      <c r="A55" s="232">
        <f t="shared" si="1"/>
        <v>42</v>
      </c>
      <c r="B55" s="126"/>
      <c r="C55" s="280" t="s">
        <v>2777</v>
      </c>
      <c r="D55" s="561"/>
      <c r="E55" s="123"/>
      <c r="F55" s="109"/>
      <c r="G55" s="292" t="str">
        <f t="shared" si="0"/>
        <v>01.01.04.05.</v>
      </c>
      <c r="H55" s="966" t="s">
        <v>2189</v>
      </c>
      <c r="I55" s="393"/>
      <c r="J55" s="973"/>
      <c r="K55" s="411"/>
      <c r="L55" s="90"/>
      <c r="M55" s="90"/>
      <c r="N55" s="90"/>
      <c r="O55" s="90"/>
    </row>
    <row r="56" spans="1:15" s="47" customFormat="1" ht="27.75" customHeight="1">
      <c r="A56" s="232">
        <f t="shared" si="1"/>
        <v>43</v>
      </c>
      <c r="B56" s="126"/>
      <c r="C56" s="280" t="s">
        <v>2778</v>
      </c>
      <c r="D56" s="561"/>
      <c r="E56" s="123"/>
      <c r="F56" s="109"/>
      <c r="G56" s="292" t="str">
        <f t="shared" si="0"/>
        <v>01.01.04.06.</v>
      </c>
      <c r="H56" s="966" t="s">
        <v>2189</v>
      </c>
      <c r="I56" s="393"/>
      <c r="J56" s="973"/>
      <c r="K56" s="411"/>
      <c r="L56" s="90"/>
      <c r="M56" s="90"/>
      <c r="N56" s="90"/>
      <c r="O56" s="90"/>
    </row>
    <row r="57" spans="1:15" s="47" customFormat="1" ht="27.75" customHeight="1">
      <c r="A57" s="232">
        <f t="shared" si="1"/>
        <v>44</v>
      </c>
      <c r="B57" s="126"/>
      <c r="C57" s="280" t="s">
        <v>2779</v>
      </c>
      <c r="D57" s="561"/>
      <c r="E57" s="123"/>
      <c r="F57" s="109"/>
      <c r="G57" s="292" t="str">
        <f t="shared" si="0"/>
        <v>01.01.04.07.</v>
      </c>
      <c r="H57" s="966" t="s">
        <v>2189</v>
      </c>
      <c r="I57" s="393"/>
      <c r="J57" s="973"/>
      <c r="K57" s="411"/>
      <c r="L57" s="90"/>
      <c r="M57" s="90"/>
      <c r="N57" s="90"/>
      <c r="O57" s="90"/>
    </row>
    <row r="58" spans="1:15" s="47" customFormat="1" ht="27.75" customHeight="1">
      <c r="A58" s="232">
        <f t="shared" si="1"/>
        <v>45</v>
      </c>
      <c r="B58" s="126"/>
      <c r="C58" s="280" t="s">
        <v>2780</v>
      </c>
      <c r="D58" s="561"/>
      <c r="E58" s="123"/>
      <c r="F58" s="109"/>
      <c r="G58" s="292" t="str">
        <f t="shared" si="0"/>
        <v>01.01.04.08.</v>
      </c>
      <c r="H58" s="966" t="s">
        <v>2189</v>
      </c>
      <c r="I58" s="393"/>
      <c r="J58" s="973"/>
      <c r="K58" s="411"/>
      <c r="L58" s="90"/>
      <c r="M58" s="90"/>
      <c r="N58" s="90"/>
      <c r="O58" s="90"/>
    </row>
    <row r="59" spans="1:15" s="47" customFormat="1" ht="27.75" customHeight="1">
      <c r="A59" s="232">
        <f t="shared" si="1"/>
        <v>46</v>
      </c>
      <c r="B59" s="126"/>
      <c r="C59" s="280" t="s">
        <v>2781</v>
      </c>
      <c r="D59" s="561"/>
      <c r="E59" s="123"/>
      <c r="F59" s="109"/>
      <c r="G59" s="292" t="str">
        <f t="shared" si="0"/>
        <v>01.01.04.09.</v>
      </c>
      <c r="H59" s="966" t="s">
        <v>2189</v>
      </c>
      <c r="I59" s="393"/>
      <c r="J59" s="973"/>
      <c r="K59" s="411"/>
      <c r="L59" s="90"/>
      <c r="M59" s="90"/>
      <c r="N59" s="90"/>
      <c r="O59" s="90"/>
    </row>
    <row r="60" spans="1:15" s="47" customFormat="1" ht="27.75" customHeight="1">
      <c r="A60" s="232">
        <f t="shared" si="1"/>
        <v>47</v>
      </c>
      <c r="B60" s="126"/>
      <c r="C60" s="280" t="s">
        <v>2782</v>
      </c>
      <c r="D60" s="561"/>
      <c r="E60" s="123"/>
      <c r="F60" s="109"/>
      <c r="G60" s="1642" t="str">
        <f t="shared" si="0"/>
        <v>01.01.04.10.</v>
      </c>
      <c r="H60" s="966" t="s">
        <v>2189</v>
      </c>
      <c r="I60" s="1765"/>
      <c r="J60" s="973"/>
      <c r="K60" s="411"/>
      <c r="L60" s="90"/>
      <c r="M60" s="90"/>
      <c r="N60" s="90"/>
      <c r="O60" s="90"/>
    </row>
    <row r="61" spans="1:15" s="47" customFormat="1" ht="27.75" customHeight="1" thickBot="1">
      <c r="A61" s="232">
        <f t="shared" si="1"/>
        <v>48</v>
      </c>
      <c r="B61" s="1766"/>
      <c r="C61" s="1767" t="s">
        <v>2783</v>
      </c>
      <c r="D61" s="1768"/>
      <c r="E61" s="1769"/>
      <c r="F61" s="109"/>
      <c r="G61" s="1770" t="str">
        <f t="shared" si="0"/>
        <v>01.01.04.11.</v>
      </c>
      <c r="H61" s="965" t="s">
        <v>2748</v>
      </c>
      <c r="I61" s="397">
        <f>+I50-SUM(I51:I60)</f>
        <v>0</v>
      </c>
      <c r="J61" s="978"/>
      <c r="K61" s="411"/>
      <c r="L61" s="90"/>
      <c r="M61" s="90"/>
      <c r="N61" s="90"/>
      <c r="O61" s="90"/>
    </row>
    <row r="62" spans="1:15" s="47" customFormat="1" ht="27.75" customHeight="1" thickTop="1">
      <c r="A62" s="232"/>
      <c r="B62" s="142"/>
      <c r="C62" s="979"/>
      <c r="D62" s="163"/>
      <c r="E62" s="142"/>
      <c r="F62" s="109"/>
      <c r="G62" s="201" t="s">
        <v>2446</v>
      </c>
      <c r="H62" s="223"/>
      <c r="I62" s="980"/>
      <c r="J62" s="224"/>
      <c r="K62" s="90"/>
      <c r="L62" s="90"/>
      <c r="M62" s="90"/>
      <c r="N62" s="90"/>
      <c r="O62" s="90"/>
    </row>
    <row r="63" spans="1:15" s="47" customFormat="1" ht="27.75" customHeight="1">
      <c r="A63" s="232"/>
      <c r="B63" s="142"/>
      <c r="C63" s="979"/>
      <c r="D63" s="163"/>
      <c r="E63" s="163">
        <v>1</v>
      </c>
      <c r="F63" s="109"/>
      <c r="G63" s="202" t="str">
        <f>E63&amp;"/ "&amp;"Equivalente a sumatoria de la participación porcentual multiplicada por el valor del patrimonio de cada empresa en las que participa la declarante."</f>
        <v>1/ Equivalente a sumatoria de la participación porcentual multiplicada por el valor del patrimonio de cada empresa en las que participa la declarante.</v>
      </c>
      <c r="H63" s="173"/>
      <c r="I63" s="165"/>
      <c r="J63" s="981"/>
      <c r="K63" s="90"/>
      <c r="L63" s="90"/>
      <c r="M63" s="90"/>
      <c r="N63" s="90"/>
      <c r="O63" s="90"/>
    </row>
    <row r="64" spans="1:15" s="47" customFormat="1" ht="27.75" customHeight="1" thickBot="1">
      <c r="A64" s="232"/>
      <c r="B64" s="142"/>
      <c r="C64" s="979"/>
      <c r="D64" s="163"/>
      <c r="E64" s="163">
        <v>2</v>
      </c>
      <c r="F64" s="109"/>
      <c r="G64" s="203" t="str">
        <f>E64&amp;"/ "&amp;"Este valor corresponde a lo declarado en el Formulario I. Capital, Parte A y debe ser equivalente a la suma de los montos de los países a registrar más abajo."</f>
        <v>2/ Este valor corresponde a lo declarado en el Formulario I. Capital, Parte A y debe ser equivalente a la suma de los montos de los países a registrar más abajo.</v>
      </c>
      <c r="H64" s="225"/>
      <c r="I64" s="982"/>
      <c r="J64" s="226"/>
      <c r="K64" s="90"/>
      <c r="L64" s="90"/>
      <c r="M64" s="90"/>
      <c r="N64" s="90"/>
      <c r="O64" s="90"/>
    </row>
    <row r="65" spans="1:15" s="47" customFormat="1" ht="27.75" customHeight="1" thickTop="1">
      <c r="A65" s="232"/>
      <c r="B65" s="142"/>
      <c r="C65" s="979"/>
      <c r="D65" s="163"/>
      <c r="E65" s="525"/>
      <c r="F65" s="109"/>
      <c r="G65" s="164"/>
      <c r="H65" s="173"/>
      <c r="I65" s="165"/>
      <c r="J65" s="165"/>
      <c r="K65" s="90"/>
      <c r="L65" s="90"/>
      <c r="M65" s="90"/>
      <c r="N65" s="90"/>
      <c r="O65" s="90"/>
    </row>
    <row r="66" spans="1:15" s="47" customFormat="1" ht="17.25" customHeight="1">
      <c r="A66" s="232"/>
      <c r="B66" s="142"/>
      <c r="C66" s="979"/>
      <c r="D66" s="163"/>
      <c r="E66" s="142"/>
      <c r="F66" s="109"/>
      <c r="G66" s="983"/>
      <c r="H66" s="984"/>
      <c r="I66" s="985"/>
      <c r="J66" s="985"/>
      <c r="K66" s="90"/>
      <c r="L66" s="90"/>
      <c r="M66" s="90"/>
      <c r="N66" s="90"/>
      <c r="O66" s="90"/>
    </row>
    <row r="67" spans="1:15" s="47" customFormat="1" ht="13.5" customHeight="1">
      <c r="A67" s="232"/>
      <c r="B67" s="142"/>
      <c r="C67" s="979"/>
      <c r="D67" s="163"/>
      <c r="E67" s="142"/>
      <c r="F67" s="109"/>
      <c r="G67" s="164"/>
      <c r="H67" s="173"/>
      <c r="I67" s="165"/>
      <c r="J67" s="165"/>
      <c r="K67" s="90"/>
      <c r="L67" s="90"/>
      <c r="M67" s="90"/>
      <c r="N67" s="90"/>
      <c r="O67" s="90"/>
    </row>
    <row r="68" spans="1:15" s="47" customFormat="1" ht="38.25">
      <c r="A68" s="232"/>
      <c r="B68" s="142"/>
      <c r="C68" s="979"/>
      <c r="D68" s="163"/>
      <c r="E68" s="142"/>
      <c r="F68" s="109"/>
      <c r="G68" s="158" t="s">
        <v>2784</v>
      </c>
      <c r="H68" s="166"/>
      <c r="I68" s="167"/>
      <c r="J68" s="167"/>
      <c r="K68" s="90"/>
      <c r="L68" s="90"/>
      <c r="M68" s="90"/>
      <c r="N68" s="90"/>
      <c r="O68" s="90"/>
    </row>
    <row r="69" spans="1:15" s="47" customFormat="1" ht="30" thickBot="1">
      <c r="A69" s="232"/>
      <c r="B69" s="142"/>
      <c r="C69" s="979"/>
      <c r="D69" s="163"/>
      <c r="E69" s="142"/>
      <c r="F69" s="109"/>
      <c r="G69" s="177" t="s">
        <v>2729</v>
      </c>
      <c r="H69" s="166"/>
      <c r="I69" s="167"/>
      <c r="J69" s="167"/>
      <c r="K69" s="90"/>
      <c r="L69" s="90"/>
      <c r="M69" s="90"/>
      <c r="N69" s="90"/>
      <c r="O69" s="90"/>
    </row>
    <row r="70" spans="1:15" ht="94.5" thickTop="1">
      <c r="B70" s="2528" t="str">
        <f ca="1">RIGHT(CELL("nombrearchivo",$A$1),LEN(CELL("nombrearchivo",$A$1))-SEARCH("]",CELL("nombrearchivo",$A$1)))</f>
        <v>Tabla VII.1.</v>
      </c>
      <c r="C70" s="2529"/>
      <c r="D70" s="2529"/>
      <c r="E70" s="2530"/>
      <c r="G70" s="288"/>
      <c r="H70" s="289"/>
      <c r="I70" s="969" t="str">
        <f>"VALOR DE LA PARTCIPACIÓN PATRIMONIAL DEL INVERSIONISTA DIRECTO "&amp;E122&amp;"/"</f>
        <v>VALOR DE LA PARTCIPACIÓN PATRIMONIAL DEL INVERSIONISTA DIRECTO 1/</v>
      </c>
      <c r="J70" s="2366" t="s">
        <v>4509</v>
      </c>
      <c r="K70" s="91"/>
      <c r="L70" s="91"/>
      <c r="M70" s="91"/>
      <c r="N70" s="91"/>
      <c r="O70" s="91"/>
    </row>
    <row r="71" spans="1:15" ht="56.25" customHeight="1" thickBot="1">
      <c r="B71" s="2531"/>
      <c r="C71" s="2532"/>
      <c r="D71" s="2532"/>
      <c r="E71" s="2533"/>
      <c r="G71" s="237"/>
      <c r="H71" s="290"/>
      <c r="I71" s="151" t="str">
        <f>CONCATENATE("SALDO A FINES DE"," ",Menu!$E$3," ",Menu!$C$3)</f>
        <v>SALDO A FINES DE SETIEMBRE 2025</v>
      </c>
      <c r="J71" s="2534"/>
      <c r="K71" s="91"/>
      <c r="L71" s="91"/>
      <c r="M71" s="91"/>
      <c r="N71" s="91"/>
      <c r="O71" s="91"/>
    </row>
    <row r="72" spans="1:15" s="47" customFormat="1" ht="27.75" customHeight="1" thickBot="1">
      <c r="A72" s="232"/>
      <c r="B72" s="124" t="s">
        <v>2730</v>
      </c>
      <c r="C72" s="972" t="s">
        <v>2731</v>
      </c>
      <c r="D72" s="128" t="s">
        <v>2732</v>
      </c>
      <c r="E72" s="99" t="s">
        <v>2733</v>
      </c>
      <c r="F72" s="109"/>
      <c r="G72" s="279" t="s">
        <v>2734</v>
      </c>
      <c r="H72" s="291" t="s">
        <v>2735</v>
      </c>
      <c r="I72" s="294" t="s">
        <v>2591</v>
      </c>
      <c r="J72" s="294" t="s">
        <v>2592</v>
      </c>
      <c r="K72" s="90"/>
      <c r="L72" s="90"/>
      <c r="M72" s="90"/>
      <c r="N72" s="90"/>
      <c r="O72" s="90"/>
    </row>
    <row r="73" spans="1:15" s="47" customFormat="1" ht="27.75" customHeight="1" thickTop="1" thickBot="1">
      <c r="A73" s="232">
        <f>+A61+1</f>
        <v>49</v>
      </c>
      <c r="B73" s="129" t="s">
        <v>2785</v>
      </c>
      <c r="C73" s="281" t="s">
        <v>2188</v>
      </c>
      <c r="D73" s="974" t="str">
        <f>+'Tabla VI.'!F50</f>
        <v>18.01.01.01</v>
      </c>
      <c r="E73" s="286" t="s">
        <v>2786</v>
      </c>
      <c r="F73" s="90"/>
      <c r="G73" s="260" t="str">
        <f>+C73</f>
        <v>01.02.01.</v>
      </c>
      <c r="H73" s="220" t="str">
        <f>"1. FRENTE A INVERSIONISTAS DIRECTOS (p.ej. matriz no residente) "</f>
        <v xml:space="preserve">1. FRENTE A INVERSIONISTAS DIRECTOS (p.ej. matriz no residente) </v>
      </c>
      <c r="I73" s="396">
        <f>+'Tabla VI.'!P50</f>
        <v>0</v>
      </c>
      <c r="J73" s="398">
        <f>+'Tabla VI.'!Q50</f>
        <v>0</v>
      </c>
      <c r="K73" s="411"/>
      <c r="L73" s="46"/>
      <c r="M73" s="46"/>
      <c r="N73" s="46"/>
      <c r="O73" s="46"/>
    </row>
    <row r="74" spans="1:15" s="47" customFormat="1" ht="27.75" customHeight="1" thickTop="1">
      <c r="A74" s="232">
        <f>+A73+1</f>
        <v>50</v>
      </c>
      <c r="B74" s="126"/>
      <c r="C74" s="280" t="s">
        <v>2787</v>
      </c>
      <c r="D74" s="561"/>
      <c r="E74" s="123"/>
      <c r="F74" s="109"/>
      <c r="G74" s="292" t="str">
        <f t="shared" ref="G74:G120" si="2">+C74</f>
        <v>01.02.01.01.</v>
      </c>
      <c r="H74" s="966" t="s">
        <v>2189</v>
      </c>
      <c r="I74" s="393"/>
      <c r="J74" s="392"/>
      <c r="K74" s="411"/>
      <c r="L74" s="90"/>
      <c r="M74" s="90"/>
      <c r="N74" s="90"/>
      <c r="O74" s="90"/>
    </row>
    <row r="75" spans="1:15" s="47" customFormat="1" ht="27.75" customHeight="1">
      <c r="A75" s="232">
        <f t="shared" ref="A75:A120" si="3">+A74+1</f>
        <v>51</v>
      </c>
      <c r="B75" s="126"/>
      <c r="C75" s="280" t="s">
        <v>2788</v>
      </c>
      <c r="D75" s="561"/>
      <c r="E75" s="123"/>
      <c r="F75" s="109"/>
      <c r="G75" s="292" t="str">
        <f t="shared" si="2"/>
        <v>01.02.01.02.</v>
      </c>
      <c r="H75" s="966" t="s">
        <v>2189</v>
      </c>
      <c r="I75" s="393"/>
      <c r="J75" s="392"/>
      <c r="K75" s="411"/>
      <c r="L75" s="90"/>
      <c r="M75" s="90"/>
      <c r="N75" s="90"/>
      <c r="O75" s="90"/>
    </row>
    <row r="76" spans="1:15" s="47" customFormat="1" ht="27.75" customHeight="1">
      <c r="A76" s="232">
        <f t="shared" si="3"/>
        <v>52</v>
      </c>
      <c r="B76" s="126"/>
      <c r="C76" s="280" t="s">
        <v>2789</v>
      </c>
      <c r="D76" s="561"/>
      <c r="E76" s="123"/>
      <c r="F76" s="109"/>
      <c r="G76" s="292" t="str">
        <f t="shared" si="2"/>
        <v>01.02.01.03.</v>
      </c>
      <c r="H76" s="966" t="s">
        <v>2189</v>
      </c>
      <c r="I76" s="393"/>
      <c r="J76" s="392"/>
      <c r="K76" s="411"/>
      <c r="L76" s="90"/>
      <c r="M76" s="90"/>
      <c r="N76" s="90"/>
      <c r="O76" s="90"/>
    </row>
    <row r="77" spans="1:15" s="47" customFormat="1" ht="27.75" customHeight="1">
      <c r="A77" s="232">
        <f t="shared" si="3"/>
        <v>53</v>
      </c>
      <c r="B77" s="126"/>
      <c r="C77" s="280" t="s">
        <v>2790</v>
      </c>
      <c r="D77" s="561"/>
      <c r="E77" s="123"/>
      <c r="F77" s="109"/>
      <c r="G77" s="292" t="str">
        <f t="shared" si="2"/>
        <v>01.02.01.04.</v>
      </c>
      <c r="H77" s="966" t="s">
        <v>2189</v>
      </c>
      <c r="I77" s="393"/>
      <c r="J77" s="392"/>
      <c r="K77" s="411"/>
      <c r="L77" s="90"/>
      <c r="M77" s="90"/>
      <c r="N77" s="90"/>
      <c r="O77" s="90"/>
    </row>
    <row r="78" spans="1:15" s="47" customFormat="1" ht="27.75" customHeight="1">
      <c r="A78" s="232">
        <f t="shared" si="3"/>
        <v>54</v>
      </c>
      <c r="B78" s="126"/>
      <c r="C78" s="280" t="s">
        <v>2791</v>
      </c>
      <c r="D78" s="561"/>
      <c r="E78" s="123"/>
      <c r="F78" s="109"/>
      <c r="G78" s="292" t="str">
        <f t="shared" si="2"/>
        <v>01.02.01.05.</v>
      </c>
      <c r="H78" s="966" t="s">
        <v>2189</v>
      </c>
      <c r="I78" s="393"/>
      <c r="J78" s="392"/>
      <c r="K78" s="411"/>
      <c r="L78" s="90"/>
      <c r="M78" s="90"/>
      <c r="N78" s="90"/>
      <c r="O78" s="90"/>
    </row>
    <row r="79" spans="1:15" s="47" customFormat="1" ht="27.75" customHeight="1">
      <c r="A79" s="232">
        <f t="shared" si="3"/>
        <v>55</v>
      </c>
      <c r="B79" s="126"/>
      <c r="C79" s="280" t="s">
        <v>2792</v>
      </c>
      <c r="D79" s="561"/>
      <c r="E79" s="123"/>
      <c r="F79" s="109"/>
      <c r="G79" s="292" t="str">
        <f t="shared" si="2"/>
        <v>01.02.01.06.</v>
      </c>
      <c r="H79" s="966" t="s">
        <v>2189</v>
      </c>
      <c r="I79" s="393"/>
      <c r="J79" s="392"/>
      <c r="K79" s="411"/>
      <c r="L79" s="90"/>
      <c r="M79" s="90"/>
      <c r="N79" s="90"/>
      <c r="O79" s="90"/>
    </row>
    <row r="80" spans="1:15" s="47" customFormat="1" ht="27.75" customHeight="1">
      <c r="A80" s="232">
        <f t="shared" si="3"/>
        <v>56</v>
      </c>
      <c r="B80" s="126"/>
      <c r="C80" s="280" t="s">
        <v>2793</v>
      </c>
      <c r="D80" s="561"/>
      <c r="E80" s="123"/>
      <c r="F80" s="109"/>
      <c r="G80" s="292" t="str">
        <f t="shared" si="2"/>
        <v>01.02.01.07.</v>
      </c>
      <c r="H80" s="966" t="s">
        <v>2189</v>
      </c>
      <c r="I80" s="393"/>
      <c r="J80" s="392"/>
      <c r="K80" s="411"/>
      <c r="L80" s="90"/>
      <c r="M80" s="90"/>
      <c r="N80" s="90"/>
      <c r="O80" s="90"/>
    </row>
    <row r="81" spans="1:15" s="47" customFormat="1" ht="27.75" customHeight="1">
      <c r="A81" s="232">
        <f t="shared" si="3"/>
        <v>57</v>
      </c>
      <c r="B81" s="126"/>
      <c r="C81" s="280" t="s">
        <v>2794</v>
      </c>
      <c r="D81" s="561"/>
      <c r="E81" s="123"/>
      <c r="F81" s="109"/>
      <c r="G81" s="292" t="str">
        <f t="shared" si="2"/>
        <v>01.02.01.08.</v>
      </c>
      <c r="H81" s="966" t="s">
        <v>2189</v>
      </c>
      <c r="I81" s="393"/>
      <c r="J81" s="392"/>
      <c r="K81" s="411"/>
      <c r="L81" s="90"/>
      <c r="M81" s="90"/>
      <c r="N81" s="90"/>
      <c r="O81" s="90"/>
    </row>
    <row r="82" spans="1:15" s="47" customFormat="1" ht="27.75" customHeight="1">
      <c r="A82" s="232">
        <f t="shared" si="3"/>
        <v>58</v>
      </c>
      <c r="B82" s="126"/>
      <c r="C82" s="280" t="s">
        <v>2795</v>
      </c>
      <c r="D82" s="561"/>
      <c r="E82" s="123"/>
      <c r="F82" s="109"/>
      <c r="G82" s="292" t="str">
        <f t="shared" si="2"/>
        <v>01.02.01.09.</v>
      </c>
      <c r="H82" s="966" t="s">
        <v>2189</v>
      </c>
      <c r="I82" s="393"/>
      <c r="J82" s="392"/>
      <c r="K82" s="411"/>
      <c r="L82" s="90"/>
      <c r="M82" s="90"/>
      <c r="N82" s="90"/>
      <c r="O82" s="90"/>
    </row>
    <row r="83" spans="1:15" s="47" customFormat="1" ht="27.75" customHeight="1">
      <c r="A83" s="232">
        <f t="shared" si="3"/>
        <v>59</v>
      </c>
      <c r="B83" s="126"/>
      <c r="C83" s="280" t="s">
        <v>2796</v>
      </c>
      <c r="D83" s="561"/>
      <c r="E83" s="123"/>
      <c r="F83" s="109"/>
      <c r="G83" s="1764" t="str">
        <f t="shared" si="2"/>
        <v>01.02.01.10.</v>
      </c>
      <c r="H83" s="966" t="s">
        <v>2189</v>
      </c>
      <c r="I83" s="393"/>
      <c r="J83" s="1771"/>
      <c r="K83" s="411"/>
      <c r="L83" s="90"/>
      <c r="M83" s="90"/>
      <c r="N83" s="90"/>
      <c r="O83" s="90"/>
    </row>
    <row r="84" spans="1:15" s="47" customFormat="1" ht="27.75" customHeight="1" thickBot="1">
      <c r="A84" s="232">
        <f t="shared" si="3"/>
        <v>60</v>
      </c>
      <c r="B84" s="127"/>
      <c r="C84" s="976" t="s">
        <v>2797</v>
      </c>
      <c r="D84" s="564"/>
      <c r="E84" s="121"/>
      <c r="F84" s="109"/>
      <c r="G84" s="293" t="str">
        <f t="shared" si="2"/>
        <v>01.02.01.11.</v>
      </c>
      <c r="H84" s="965" t="s">
        <v>2748</v>
      </c>
      <c r="I84" s="397">
        <f>+I73-SUM(I74:I83)</f>
        <v>0</v>
      </c>
      <c r="J84" s="465">
        <f>+J73-SUM(J74:J83)</f>
        <v>0</v>
      </c>
      <c r="K84" s="411"/>
      <c r="L84" s="90"/>
      <c r="M84" s="90"/>
      <c r="N84" s="90"/>
      <c r="O84" s="90"/>
    </row>
    <row r="85" spans="1:15" s="47" customFormat="1" ht="27.75" customHeight="1" thickTop="1" thickBot="1">
      <c r="A85" s="232">
        <f t="shared" si="3"/>
        <v>61</v>
      </c>
      <c r="B85" s="125" t="s">
        <v>2798</v>
      </c>
      <c r="C85" s="282" t="s">
        <v>2190</v>
      </c>
      <c r="D85" s="977" t="str">
        <f>+'Tabla VI.'!F51</f>
        <v>18.01.01.02</v>
      </c>
      <c r="E85" s="284" t="s">
        <v>2799</v>
      </c>
      <c r="F85" s="90"/>
      <c r="G85" s="260" t="str">
        <f t="shared" si="2"/>
        <v>01.02.02.</v>
      </c>
      <c r="H85" s="221" t="str">
        <f>"2.  FRENTE A EMPRESAS DE INVERSIÓN DIRECTA (inversión en sentido contrario) "</f>
        <v xml:space="preserve">2.  FRENTE A EMPRESAS DE INVERSIÓN DIRECTA (inversión en sentido contrario) </v>
      </c>
      <c r="I85" s="396">
        <f>+'Tabla VI.'!P51</f>
        <v>0</v>
      </c>
      <c r="J85" s="398">
        <f>+'Tabla VI.'!Q51</f>
        <v>0</v>
      </c>
      <c r="K85" s="411"/>
      <c r="L85" s="46"/>
      <c r="M85" s="46"/>
      <c r="N85" s="46"/>
      <c r="O85" s="46"/>
    </row>
    <row r="86" spans="1:15" s="47" customFormat="1" ht="27.75" customHeight="1" thickTop="1">
      <c r="A86" s="232">
        <f t="shared" si="3"/>
        <v>62</v>
      </c>
      <c r="B86" s="126"/>
      <c r="C86" s="280" t="s">
        <v>2800</v>
      </c>
      <c r="D86" s="561"/>
      <c r="E86" s="123"/>
      <c r="F86" s="109"/>
      <c r="G86" s="292" t="str">
        <f t="shared" si="2"/>
        <v>01.02.02.01.</v>
      </c>
      <c r="H86" s="966" t="s">
        <v>2189</v>
      </c>
      <c r="I86" s="393"/>
      <c r="J86" s="392"/>
      <c r="K86" s="411"/>
      <c r="L86" s="90"/>
      <c r="M86" s="90"/>
      <c r="N86" s="90"/>
      <c r="O86" s="90"/>
    </row>
    <row r="87" spans="1:15" s="47" customFormat="1" ht="27.75" customHeight="1">
      <c r="A87" s="232">
        <f t="shared" si="3"/>
        <v>63</v>
      </c>
      <c r="B87" s="126"/>
      <c r="C87" s="280" t="s">
        <v>2801</v>
      </c>
      <c r="D87" s="561"/>
      <c r="E87" s="123"/>
      <c r="F87" s="109"/>
      <c r="G87" s="292" t="str">
        <f t="shared" si="2"/>
        <v>01.02.02.02.</v>
      </c>
      <c r="H87" s="966" t="s">
        <v>2189</v>
      </c>
      <c r="I87" s="393"/>
      <c r="J87" s="392"/>
      <c r="K87" s="411"/>
      <c r="L87" s="90"/>
      <c r="M87" s="90"/>
      <c r="N87" s="90"/>
      <c r="O87" s="90"/>
    </row>
    <row r="88" spans="1:15" s="47" customFormat="1" ht="27.75" customHeight="1">
      <c r="A88" s="232">
        <f t="shared" si="3"/>
        <v>64</v>
      </c>
      <c r="B88" s="126"/>
      <c r="C88" s="280" t="s">
        <v>2802</v>
      </c>
      <c r="D88" s="561"/>
      <c r="E88" s="123"/>
      <c r="F88" s="109"/>
      <c r="G88" s="292" t="str">
        <f t="shared" si="2"/>
        <v>01.02.02.03.</v>
      </c>
      <c r="H88" s="966" t="s">
        <v>2189</v>
      </c>
      <c r="I88" s="393"/>
      <c r="J88" s="392"/>
      <c r="K88" s="411"/>
      <c r="L88" s="90"/>
      <c r="M88" s="90"/>
      <c r="N88" s="90"/>
      <c r="O88" s="90"/>
    </row>
    <row r="89" spans="1:15" s="47" customFormat="1" ht="27.75" customHeight="1">
      <c r="A89" s="232">
        <f t="shared" si="3"/>
        <v>65</v>
      </c>
      <c r="B89" s="126"/>
      <c r="C89" s="280" t="s">
        <v>2803</v>
      </c>
      <c r="D89" s="561"/>
      <c r="E89" s="123"/>
      <c r="F89" s="109"/>
      <c r="G89" s="292" t="str">
        <f t="shared" si="2"/>
        <v>01.02.02.04.</v>
      </c>
      <c r="H89" s="966" t="s">
        <v>2189</v>
      </c>
      <c r="I89" s="393"/>
      <c r="J89" s="392"/>
      <c r="K89" s="411"/>
      <c r="L89" s="90"/>
      <c r="M89" s="90"/>
      <c r="N89" s="90"/>
      <c r="O89" s="90"/>
    </row>
    <row r="90" spans="1:15" s="47" customFormat="1" ht="27.75" customHeight="1">
      <c r="A90" s="232">
        <f t="shared" si="3"/>
        <v>66</v>
      </c>
      <c r="B90" s="126"/>
      <c r="C90" s="280" t="s">
        <v>2804</v>
      </c>
      <c r="D90" s="561"/>
      <c r="E90" s="123"/>
      <c r="F90" s="109"/>
      <c r="G90" s="292" t="str">
        <f t="shared" si="2"/>
        <v>01.02.02.05.</v>
      </c>
      <c r="H90" s="966" t="s">
        <v>2189</v>
      </c>
      <c r="I90" s="393"/>
      <c r="J90" s="392"/>
      <c r="K90" s="411"/>
      <c r="L90" s="90"/>
      <c r="M90" s="90"/>
      <c r="N90" s="90"/>
      <c r="O90" s="90"/>
    </row>
    <row r="91" spans="1:15" s="47" customFormat="1" ht="27.75" customHeight="1">
      <c r="A91" s="232">
        <f t="shared" si="3"/>
        <v>67</v>
      </c>
      <c r="B91" s="126"/>
      <c r="C91" s="280" t="s">
        <v>2805</v>
      </c>
      <c r="D91" s="561"/>
      <c r="E91" s="123"/>
      <c r="F91" s="109"/>
      <c r="G91" s="292" t="str">
        <f t="shared" si="2"/>
        <v>01.02.02.06.</v>
      </c>
      <c r="H91" s="966" t="s">
        <v>2189</v>
      </c>
      <c r="I91" s="393"/>
      <c r="J91" s="392"/>
      <c r="K91" s="411"/>
      <c r="L91" s="90"/>
      <c r="M91" s="90"/>
      <c r="N91" s="90"/>
      <c r="O91" s="90"/>
    </row>
    <row r="92" spans="1:15" s="47" customFormat="1" ht="27.75" customHeight="1">
      <c r="A92" s="232">
        <f t="shared" si="3"/>
        <v>68</v>
      </c>
      <c r="B92" s="126"/>
      <c r="C92" s="280" t="s">
        <v>2806</v>
      </c>
      <c r="D92" s="561"/>
      <c r="E92" s="123"/>
      <c r="F92" s="109"/>
      <c r="G92" s="292" t="str">
        <f t="shared" si="2"/>
        <v>01.02.02.07.</v>
      </c>
      <c r="H92" s="966" t="s">
        <v>2189</v>
      </c>
      <c r="I92" s="393"/>
      <c r="J92" s="392"/>
      <c r="K92" s="411"/>
      <c r="L92" s="90"/>
      <c r="M92" s="90"/>
      <c r="N92" s="90"/>
      <c r="O92" s="90"/>
    </row>
    <row r="93" spans="1:15" s="47" customFormat="1" ht="27.75" customHeight="1">
      <c r="A93" s="232">
        <f t="shared" si="3"/>
        <v>69</v>
      </c>
      <c r="B93" s="126"/>
      <c r="C93" s="280" t="s">
        <v>2807</v>
      </c>
      <c r="D93" s="561"/>
      <c r="E93" s="123"/>
      <c r="F93" s="109"/>
      <c r="G93" s="292" t="str">
        <f t="shared" si="2"/>
        <v>01.02.02.08.</v>
      </c>
      <c r="H93" s="966" t="s">
        <v>2189</v>
      </c>
      <c r="I93" s="393"/>
      <c r="J93" s="392"/>
      <c r="K93" s="411"/>
      <c r="L93" s="90"/>
      <c r="M93" s="90"/>
      <c r="N93" s="90"/>
      <c r="O93" s="90"/>
    </row>
    <row r="94" spans="1:15" s="47" customFormat="1" ht="27.75" customHeight="1">
      <c r="A94" s="232">
        <f t="shared" si="3"/>
        <v>70</v>
      </c>
      <c r="B94" s="126"/>
      <c r="C94" s="280" t="s">
        <v>2808</v>
      </c>
      <c r="D94" s="561"/>
      <c r="E94" s="123"/>
      <c r="F94" s="109"/>
      <c r="G94" s="292" t="str">
        <f t="shared" si="2"/>
        <v>01.02.02.09.</v>
      </c>
      <c r="H94" s="966" t="s">
        <v>2189</v>
      </c>
      <c r="I94" s="393"/>
      <c r="J94" s="392"/>
      <c r="K94" s="411"/>
      <c r="L94" s="90"/>
      <c r="M94" s="90"/>
      <c r="N94" s="90"/>
      <c r="O94" s="90"/>
    </row>
    <row r="95" spans="1:15" s="47" customFormat="1" ht="27.75" customHeight="1">
      <c r="A95" s="232">
        <f t="shared" si="3"/>
        <v>71</v>
      </c>
      <c r="B95" s="126"/>
      <c r="C95" s="280" t="s">
        <v>2809</v>
      </c>
      <c r="D95" s="561"/>
      <c r="E95" s="123"/>
      <c r="F95" s="109"/>
      <c r="G95" s="1764" t="str">
        <f t="shared" si="2"/>
        <v>01.02.02.10.</v>
      </c>
      <c r="H95" s="966" t="s">
        <v>2189</v>
      </c>
      <c r="I95" s="1765"/>
      <c r="J95" s="1771"/>
      <c r="K95" s="411"/>
      <c r="L95" s="90"/>
      <c r="M95" s="90"/>
      <c r="N95" s="90"/>
      <c r="O95" s="90"/>
    </row>
    <row r="96" spans="1:15" s="47" customFormat="1" ht="27.75" customHeight="1" thickBot="1">
      <c r="A96" s="232">
        <f t="shared" si="3"/>
        <v>72</v>
      </c>
      <c r="B96" s="127"/>
      <c r="C96" s="976" t="s">
        <v>2810</v>
      </c>
      <c r="D96" s="564"/>
      <c r="E96" s="121"/>
      <c r="F96" s="109"/>
      <c r="G96" s="394" t="str">
        <f t="shared" si="2"/>
        <v>01.02.02.11.</v>
      </c>
      <c r="H96" s="965" t="s">
        <v>2748</v>
      </c>
      <c r="I96" s="397">
        <f>+I85-SUM(I86:I95)</f>
        <v>0</v>
      </c>
      <c r="J96" s="465">
        <f>+J85-SUM(J86:J95)</f>
        <v>0</v>
      </c>
      <c r="K96" s="411"/>
      <c r="L96" s="90"/>
      <c r="M96" s="90"/>
      <c r="N96" s="90"/>
      <c r="O96" s="90"/>
    </row>
    <row r="97" spans="1:15" s="47" customFormat="1" ht="30.75" customHeight="1" thickTop="1" thickBot="1">
      <c r="A97" s="232">
        <f t="shared" si="3"/>
        <v>73</v>
      </c>
      <c r="B97" s="125" t="s">
        <v>2811</v>
      </c>
      <c r="C97" s="282" t="s">
        <v>2191</v>
      </c>
      <c r="D97" s="977" t="str">
        <f>+'Tabla VI.'!F52</f>
        <v>18.01.01.03</v>
      </c>
      <c r="E97" s="284" t="s">
        <v>2786</v>
      </c>
      <c r="F97" s="90"/>
      <c r="G97" s="260" t="str">
        <f t="shared" si="2"/>
        <v>01.02.03.</v>
      </c>
      <c r="H97" s="986" t="str">
        <f>"    3. FRENTE A EMPRESAS EMPARENTADAS: SI EL INVERSIONISTA DIRECTO QUE EJERCE EL CONTROL FINAL DE LA ED ES NO RESIDENTE  "</f>
        <v xml:space="preserve">    3. FRENTE A EMPRESAS EMPARENTADAS: SI EL INVERSIONISTA DIRECTO QUE EJERCE EL CONTROL FINAL DE LA ED ES NO RESIDENTE  </v>
      </c>
      <c r="I97" s="396">
        <f>+'Tabla VI.'!P52</f>
        <v>0</v>
      </c>
      <c r="J97" s="398">
        <f>+'Tabla VI.'!Q52</f>
        <v>0</v>
      </c>
      <c r="K97" s="411"/>
      <c r="L97" s="46"/>
      <c r="M97" s="46"/>
      <c r="N97" s="46"/>
      <c r="O97" s="46"/>
    </row>
    <row r="98" spans="1:15" s="47" customFormat="1" ht="27.75" customHeight="1" thickTop="1">
      <c r="A98" s="232">
        <f t="shared" si="3"/>
        <v>74</v>
      </c>
      <c r="B98" s="126"/>
      <c r="C98" s="280" t="s">
        <v>2812</v>
      </c>
      <c r="D98" s="561"/>
      <c r="E98" s="123"/>
      <c r="F98" s="109"/>
      <c r="G98" s="292" t="str">
        <f t="shared" si="2"/>
        <v>01.02.03.01.</v>
      </c>
      <c r="H98" s="966" t="s">
        <v>2189</v>
      </c>
      <c r="I98" s="393"/>
      <c r="J98" s="392"/>
      <c r="K98" s="411"/>
      <c r="L98" s="90"/>
      <c r="M98" s="90"/>
      <c r="N98" s="90"/>
      <c r="O98" s="90"/>
    </row>
    <row r="99" spans="1:15" s="47" customFormat="1" ht="27.75" customHeight="1">
      <c r="A99" s="232">
        <f t="shared" si="3"/>
        <v>75</v>
      </c>
      <c r="B99" s="126"/>
      <c r="C99" s="280" t="s">
        <v>2813</v>
      </c>
      <c r="D99" s="561"/>
      <c r="E99" s="123"/>
      <c r="F99" s="109"/>
      <c r="G99" s="292" t="str">
        <f t="shared" si="2"/>
        <v>01.02.03.02.</v>
      </c>
      <c r="H99" s="966" t="s">
        <v>2189</v>
      </c>
      <c r="I99" s="393"/>
      <c r="J99" s="392"/>
      <c r="K99" s="411"/>
      <c r="L99" s="90"/>
      <c r="M99" s="90"/>
      <c r="N99" s="90"/>
      <c r="O99" s="90"/>
    </row>
    <row r="100" spans="1:15" s="47" customFormat="1" ht="27.75" customHeight="1">
      <c r="A100" s="232">
        <f t="shared" si="3"/>
        <v>76</v>
      </c>
      <c r="B100" s="126"/>
      <c r="C100" s="280" t="s">
        <v>2814</v>
      </c>
      <c r="D100" s="561"/>
      <c r="E100" s="123"/>
      <c r="F100" s="109"/>
      <c r="G100" s="292" t="str">
        <f t="shared" si="2"/>
        <v>01.02.03.03.</v>
      </c>
      <c r="H100" s="966" t="s">
        <v>2189</v>
      </c>
      <c r="I100" s="393"/>
      <c r="J100" s="392"/>
      <c r="K100" s="411"/>
      <c r="L100" s="90"/>
      <c r="M100" s="90"/>
      <c r="N100" s="90"/>
      <c r="O100" s="90"/>
    </row>
    <row r="101" spans="1:15" s="47" customFormat="1" ht="27.75" customHeight="1">
      <c r="A101" s="232">
        <f t="shared" si="3"/>
        <v>77</v>
      </c>
      <c r="B101" s="126"/>
      <c r="C101" s="280" t="s">
        <v>2815</v>
      </c>
      <c r="D101" s="561"/>
      <c r="E101" s="123"/>
      <c r="F101" s="109"/>
      <c r="G101" s="292" t="str">
        <f t="shared" si="2"/>
        <v>01.02.03.04.</v>
      </c>
      <c r="H101" s="966" t="s">
        <v>2189</v>
      </c>
      <c r="I101" s="393"/>
      <c r="J101" s="392"/>
      <c r="K101" s="411"/>
      <c r="L101" s="90"/>
      <c r="M101" s="90"/>
      <c r="N101" s="90"/>
      <c r="O101" s="90"/>
    </row>
    <row r="102" spans="1:15" s="47" customFormat="1" ht="27.75" customHeight="1">
      <c r="A102" s="232">
        <f t="shared" si="3"/>
        <v>78</v>
      </c>
      <c r="B102" s="126"/>
      <c r="C102" s="280" t="s">
        <v>2816</v>
      </c>
      <c r="D102" s="561"/>
      <c r="E102" s="123"/>
      <c r="F102" s="109"/>
      <c r="G102" s="292" t="str">
        <f t="shared" si="2"/>
        <v>01.02.03.05.</v>
      </c>
      <c r="H102" s="966" t="s">
        <v>2189</v>
      </c>
      <c r="I102" s="393"/>
      <c r="J102" s="392"/>
      <c r="K102" s="411"/>
      <c r="L102" s="90"/>
      <c r="M102" s="90"/>
      <c r="N102" s="90"/>
      <c r="O102" s="90"/>
    </row>
    <row r="103" spans="1:15" s="47" customFormat="1" ht="27.75" customHeight="1">
      <c r="A103" s="232">
        <f t="shared" si="3"/>
        <v>79</v>
      </c>
      <c r="B103" s="126"/>
      <c r="C103" s="280" t="s">
        <v>2817</v>
      </c>
      <c r="D103" s="561"/>
      <c r="E103" s="123"/>
      <c r="F103" s="109"/>
      <c r="G103" s="292" t="str">
        <f t="shared" si="2"/>
        <v>01.02.03.06.</v>
      </c>
      <c r="H103" s="966" t="s">
        <v>2189</v>
      </c>
      <c r="I103" s="393"/>
      <c r="J103" s="392"/>
      <c r="K103" s="411"/>
      <c r="L103" s="90"/>
      <c r="M103" s="90"/>
      <c r="N103" s="90"/>
      <c r="O103" s="90"/>
    </row>
    <row r="104" spans="1:15" s="47" customFormat="1" ht="27.75" customHeight="1">
      <c r="A104" s="232">
        <f t="shared" si="3"/>
        <v>80</v>
      </c>
      <c r="B104" s="126"/>
      <c r="C104" s="280" t="s">
        <v>2818</v>
      </c>
      <c r="D104" s="561"/>
      <c r="E104" s="123"/>
      <c r="F104" s="109"/>
      <c r="G104" s="292" t="str">
        <f t="shared" si="2"/>
        <v>01.02.03.07.</v>
      </c>
      <c r="H104" s="966" t="s">
        <v>2189</v>
      </c>
      <c r="I104" s="393"/>
      <c r="J104" s="392"/>
      <c r="K104" s="411"/>
      <c r="L104" s="90"/>
      <c r="M104" s="90"/>
      <c r="N104" s="90"/>
      <c r="O104" s="90"/>
    </row>
    <row r="105" spans="1:15" s="47" customFormat="1" ht="27.75" customHeight="1">
      <c r="A105" s="232">
        <f t="shared" si="3"/>
        <v>81</v>
      </c>
      <c r="B105" s="126"/>
      <c r="C105" s="280" t="s">
        <v>2819</v>
      </c>
      <c r="D105" s="561"/>
      <c r="E105" s="123"/>
      <c r="F105" s="109"/>
      <c r="G105" s="292" t="str">
        <f t="shared" si="2"/>
        <v>01.02.03.08.</v>
      </c>
      <c r="H105" s="966" t="s">
        <v>2189</v>
      </c>
      <c r="I105" s="393"/>
      <c r="J105" s="392"/>
      <c r="K105" s="411"/>
      <c r="L105" s="90"/>
      <c r="M105" s="90"/>
      <c r="N105" s="90"/>
      <c r="O105" s="90"/>
    </row>
    <row r="106" spans="1:15" s="47" customFormat="1" ht="27.75" customHeight="1">
      <c r="A106" s="232">
        <f t="shared" si="3"/>
        <v>82</v>
      </c>
      <c r="B106" s="126"/>
      <c r="C106" s="280" t="s">
        <v>2820</v>
      </c>
      <c r="D106" s="561"/>
      <c r="E106" s="123"/>
      <c r="F106" s="109"/>
      <c r="G106" s="292" t="str">
        <f t="shared" si="2"/>
        <v>01.02.03.09.</v>
      </c>
      <c r="H106" s="966" t="s">
        <v>2189</v>
      </c>
      <c r="I106" s="393"/>
      <c r="J106" s="392"/>
      <c r="K106" s="411"/>
      <c r="L106" s="90"/>
      <c r="M106" s="90"/>
      <c r="N106" s="90"/>
      <c r="O106" s="90"/>
    </row>
    <row r="107" spans="1:15" s="47" customFormat="1" ht="27.75" customHeight="1">
      <c r="A107" s="232">
        <f t="shared" si="3"/>
        <v>83</v>
      </c>
      <c r="B107" s="126"/>
      <c r="C107" s="280" t="s">
        <v>2821</v>
      </c>
      <c r="D107" s="561"/>
      <c r="E107" s="123"/>
      <c r="F107" s="109"/>
      <c r="G107" s="1764" t="str">
        <f t="shared" si="2"/>
        <v>01.02.03.10.</v>
      </c>
      <c r="H107" s="1772" t="s">
        <v>2189</v>
      </c>
      <c r="I107" s="1765"/>
      <c r="J107" s="1771"/>
      <c r="K107" s="411"/>
      <c r="L107" s="90"/>
      <c r="M107" s="90"/>
      <c r="N107" s="90"/>
      <c r="O107" s="90"/>
    </row>
    <row r="108" spans="1:15" s="47" customFormat="1" ht="27.75" customHeight="1" thickBot="1">
      <c r="A108" s="232">
        <f t="shared" si="3"/>
        <v>84</v>
      </c>
      <c r="B108" s="127"/>
      <c r="C108" s="976" t="s">
        <v>2822</v>
      </c>
      <c r="D108" s="564"/>
      <c r="E108" s="121"/>
      <c r="F108" s="109"/>
      <c r="G108" s="293" t="str">
        <f t="shared" si="2"/>
        <v>01.02.03.11.</v>
      </c>
      <c r="H108" s="965" t="s">
        <v>2748</v>
      </c>
      <c r="I108" s="397">
        <f>+I97-SUM(I98:I107)</f>
        <v>0</v>
      </c>
      <c r="J108" s="465">
        <f>+J97-SUM(J98:J107)</f>
        <v>0</v>
      </c>
      <c r="K108" s="411"/>
      <c r="L108" s="90"/>
      <c r="M108" s="90"/>
      <c r="N108" s="90"/>
      <c r="O108" s="90"/>
    </row>
    <row r="109" spans="1:15" s="47" customFormat="1" ht="30.75" customHeight="1" thickTop="1" thickBot="1">
      <c r="A109" s="232">
        <f t="shared" si="3"/>
        <v>85</v>
      </c>
      <c r="B109" s="125" t="s">
        <v>2468</v>
      </c>
      <c r="C109" s="282" t="s">
        <v>2192</v>
      </c>
      <c r="D109" s="977" t="str">
        <f>+'Tabla VI.'!F53</f>
        <v>18.01.01.04</v>
      </c>
      <c r="E109" s="284" t="s">
        <v>2799</v>
      </c>
      <c r="F109" s="90"/>
      <c r="G109" s="260" t="str">
        <f t="shared" si="2"/>
        <v>01.02.04.</v>
      </c>
      <c r="H109" s="986" t="str">
        <f>"4.  FRENTE A EMPRESAS EMPARENTADAS: SI EL INVERSIONISTA DIRECTO QUE EJERCE EL CONTROL FINAL DE LA ED ES RESIDENTE "</f>
        <v xml:space="preserve">4.  FRENTE A EMPRESAS EMPARENTADAS: SI EL INVERSIONISTA DIRECTO QUE EJERCE EL CONTROL FINAL DE LA ED ES RESIDENTE </v>
      </c>
      <c r="I109" s="396">
        <f>+'Tabla VI.'!P53</f>
        <v>0</v>
      </c>
      <c r="J109" s="398">
        <f>+'Tabla VI.'!Q53</f>
        <v>0</v>
      </c>
      <c r="K109" s="411"/>
      <c r="L109" s="46"/>
      <c r="M109" s="46"/>
      <c r="N109" s="46"/>
      <c r="O109" s="46"/>
    </row>
    <row r="110" spans="1:15" s="47" customFormat="1" ht="27.75" customHeight="1" thickTop="1">
      <c r="A110" s="232">
        <f t="shared" si="3"/>
        <v>86</v>
      </c>
      <c r="B110" s="126"/>
      <c r="C110" s="280" t="s">
        <v>2823</v>
      </c>
      <c r="D110" s="561"/>
      <c r="E110" s="123"/>
      <c r="F110" s="109"/>
      <c r="G110" s="292" t="str">
        <f t="shared" si="2"/>
        <v>01.02.04.01.</v>
      </c>
      <c r="H110" s="966" t="s">
        <v>2189</v>
      </c>
      <c r="I110" s="393"/>
      <c r="J110" s="392"/>
      <c r="K110" s="411"/>
      <c r="L110" s="90"/>
      <c r="M110" s="90"/>
      <c r="N110" s="90"/>
      <c r="O110" s="90"/>
    </row>
    <row r="111" spans="1:15" s="47" customFormat="1" ht="27.75" customHeight="1">
      <c r="A111" s="232">
        <f t="shared" si="3"/>
        <v>87</v>
      </c>
      <c r="B111" s="126"/>
      <c r="C111" s="280" t="s">
        <v>2824</v>
      </c>
      <c r="D111" s="561"/>
      <c r="E111" s="123"/>
      <c r="F111" s="109"/>
      <c r="G111" s="292" t="str">
        <f t="shared" si="2"/>
        <v>01.02.04.02.</v>
      </c>
      <c r="H111" s="966" t="s">
        <v>2189</v>
      </c>
      <c r="I111" s="393"/>
      <c r="J111" s="392"/>
      <c r="K111" s="411"/>
      <c r="L111" s="90"/>
      <c r="M111" s="90"/>
      <c r="N111" s="90"/>
      <c r="O111" s="90"/>
    </row>
    <row r="112" spans="1:15" s="47" customFormat="1" ht="27.75" customHeight="1">
      <c r="A112" s="232">
        <f t="shared" si="3"/>
        <v>88</v>
      </c>
      <c r="B112" s="126"/>
      <c r="C112" s="280" t="s">
        <v>2825</v>
      </c>
      <c r="D112" s="561"/>
      <c r="E112" s="123"/>
      <c r="F112" s="109"/>
      <c r="G112" s="292" t="str">
        <f t="shared" si="2"/>
        <v>01.02.04.03.</v>
      </c>
      <c r="H112" s="966" t="s">
        <v>2189</v>
      </c>
      <c r="I112" s="393"/>
      <c r="J112" s="392"/>
      <c r="K112" s="411"/>
      <c r="L112" s="90"/>
      <c r="M112" s="90"/>
      <c r="N112" s="90"/>
      <c r="O112" s="90"/>
    </row>
    <row r="113" spans="1:15" s="47" customFormat="1" ht="27.75" customHeight="1">
      <c r="A113" s="232">
        <f t="shared" si="3"/>
        <v>89</v>
      </c>
      <c r="B113" s="126"/>
      <c r="C113" s="280" t="s">
        <v>2826</v>
      </c>
      <c r="D113" s="561"/>
      <c r="E113" s="123"/>
      <c r="F113" s="109"/>
      <c r="G113" s="292" t="str">
        <f t="shared" si="2"/>
        <v>01.02.04.04.</v>
      </c>
      <c r="H113" s="966" t="s">
        <v>2189</v>
      </c>
      <c r="I113" s="393"/>
      <c r="J113" s="392"/>
      <c r="K113" s="411"/>
      <c r="L113" s="90"/>
      <c r="M113" s="90"/>
      <c r="N113" s="90"/>
      <c r="O113" s="90"/>
    </row>
    <row r="114" spans="1:15" s="47" customFormat="1" ht="27.75" customHeight="1">
      <c r="A114" s="232">
        <f t="shared" si="3"/>
        <v>90</v>
      </c>
      <c r="B114" s="126"/>
      <c r="C114" s="280" t="s">
        <v>2827</v>
      </c>
      <c r="D114" s="561"/>
      <c r="E114" s="123"/>
      <c r="F114" s="109"/>
      <c r="G114" s="292" t="str">
        <f t="shared" si="2"/>
        <v>01.02.04.05.</v>
      </c>
      <c r="H114" s="966" t="s">
        <v>2189</v>
      </c>
      <c r="I114" s="393"/>
      <c r="J114" s="392"/>
      <c r="K114" s="411"/>
      <c r="L114" s="90"/>
      <c r="M114" s="90"/>
      <c r="N114" s="90"/>
      <c r="O114" s="90"/>
    </row>
    <row r="115" spans="1:15" s="47" customFormat="1" ht="27.75" customHeight="1">
      <c r="A115" s="232">
        <f t="shared" si="3"/>
        <v>91</v>
      </c>
      <c r="B115" s="126"/>
      <c r="C115" s="280" t="s">
        <v>2828</v>
      </c>
      <c r="D115" s="561"/>
      <c r="E115" s="123"/>
      <c r="F115" s="109"/>
      <c r="G115" s="292" t="str">
        <f t="shared" si="2"/>
        <v>01.02.04.06.</v>
      </c>
      <c r="H115" s="966" t="s">
        <v>2189</v>
      </c>
      <c r="I115" s="393"/>
      <c r="J115" s="392"/>
      <c r="K115" s="411"/>
      <c r="L115" s="90"/>
      <c r="M115" s="90"/>
      <c r="N115" s="90"/>
      <c r="O115" s="90"/>
    </row>
    <row r="116" spans="1:15" s="47" customFormat="1" ht="27.75" customHeight="1">
      <c r="A116" s="232">
        <f t="shared" si="3"/>
        <v>92</v>
      </c>
      <c r="B116" s="126"/>
      <c r="C116" s="280" t="s">
        <v>2829</v>
      </c>
      <c r="D116" s="561"/>
      <c r="E116" s="123"/>
      <c r="F116" s="109"/>
      <c r="G116" s="292" t="str">
        <f t="shared" si="2"/>
        <v>01.02.04.07.</v>
      </c>
      <c r="H116" s="966" t="s">
        <v>2189</v>
      </c>
      <c r="I116" s="393"/>
      <c r="J116" s="392"/>
      <c r="K116" s="411"/>
      <c r="L116" s="90"/>
      <c r="M116" s="90"/>
      <c r="N116" s="90"/>
      <c r="O116" s="90"/>
    </row>
    <row r="117" spans="1:15" s="47" customFormat="1" ht="27.75" customHeight="1">
      <c r="A117" s="232">
        <f t="shared" si="3"/>
        <v>93</v>
      </c>
      <c r="B117" s="126"/>
      <c r="C117" s="280" t="s">
        <v>2830</v>
      </c>
      <c r="D117" s="561"/>
      <c r="E117" s="123"/>
      <c r="F117" s="109"/>
      <c r="G117" s="292" t="str">
        <f t="shared" si="2"/>
        <v>01.02.04.08.</v>
      </c>
      <c r="H117" s="966" t="s">
        <v>2189</v>
      </c>
      <c r="I117" s="393"/>
      <c r="J117" s="392"/>
      <c r="K117" s="411"/>
      <c r="L117" s="90"/>
      <c r="M117" s="90"/>
      <c r="N117" s="90"/>
      <c r="O117" s="90"/>
    </row>
    <row r="118" spans="1:15" s="47" customFormat="1" ht="27.75" customHeight="1">
      <c r="A118" s="232">
        <f t="shared" si="3"/>
        <v>94</v>
      </c>
      <c r="B118" s="126"/>
      <c r="C118" s="280" t="s">
        <v>2831</v>
      </c>
      <c r="D118" s="561"/>
      <c r="E118" s="123"/>
      <c r="F118" s="109"/>
      <c r="G118" s="292" t="str">
        <f t="shared" si="2"/>
        <v>01.02.04.09.</v>
      </c>
      <c r="H118" s="966" t="s">
        <v>2189</v>
      </c>
      <c r="I118" s="393"/>
      <c r="J118" s="392"/>
      <c r="K118" s="411"/>
      <c r="L118" s="90"/>
      <c r="M118" s="90"/>
      <c r="N118" s="90"/>
      <c r="O118" s="90"/>
    </row>
    <row r="119" spans="1:15" s="47" customFormat="1" ht="27.75" customHeight="1">
      <c r="A119" s="232">
        <f t="shared" si="3"/>
        <v>95</v>
      </c>
      <c r="B119" s="126"/>
      <c r="C119" s="280" t="s">
        <v>2832</v>
      </c>
      <c r="D119" s="561"/>
      <c r="E119" s="123"/>
      <c r="F119" s="109"/>
      <c r="G119" s="1764" t="str">
        <f t="shared" si="2"/>
        <v>01.02.04.10.</v>
      </c>
      <c r="H119" s="1773" t="s">
        <v>2189</v>
      </c>
      <c r="I119" s="1765"/>
      <c r="J119" s="1771"/>
      <c r="K119" s="411"/>
      <c r="L119" s="90"/>
      <c r="M119" s="90"/>
      <c r="N119" s="90"/>
      <c r="O119" s="90"/>
    </row>
    <row r="120" spans="1:15" s="47" customFormat="1" ht="27.75" customHeight="1" thickBot="1">
      <c r="A120" s="232">
        <f t="shared" si="3"/>
        <v>96</v>
      </c>
      <c r="B120" s="1766"/>
      <c r="C120" s="1767" t="s">
        <v>2833</v>
      </c>
      <c r="D120" s="1768"/>
      <c r="E120" s="1769"/>
      <c r="F120" s="109"/>
      <c r="G120" s="394" t="str">
        <f t="shared" si="2"/>
        <v>01.02.04.11.</v>
      </c>
      <c r="H120" s="395" t="s">
        <v>2748</v>
      </c>
      <c r="I120" s="397">
        <f>+I109-SUM(I110:I119)</f>
        <v>0</v>
      </c>
      <c r="J120" s="465">
        <f>+J109-SUM(J110:J119)</f>
        <v>0</v>
      </c>
      <c r="K120" s="411"/>
      <c r="L120" s="90"/>
      <c r="M120" s="90"/>
      <c r="N120" s="90"/>
      <c r="O120" s="90"/>
    </row>
    <row r="121" spans="1:15" s="47" customFormat="1" ht="27.75" customHeight="1" thickTop="1">
      <c r="A121" s="232"/>
      <c r="B121" s="142"/>
      <c r="C121" s="979"/>
      <c r="D121" s="163"/>
      <c r="E121" s="142"/>
      <c r="F121" s="109"/>
      <c r="G121" s="201" t="s">
        <v>2446</v>
      </c>
      <c r="H121" s="223"/>
      <c r="I121" s="980"/>
      <c r="J121" s="224"/>
      <c r="K121" s="90"/>
      <c r="L121" s="90"/>
      <c r="M121" s="90"/>
      <c r="N121" s="90"/>
      <c r="O121" s="90"/>
    </row>
    <row r="122" spans="1:15" s="47" customFormat="1" ht="79.5" customHeight="1">
      <c r="A122" s="232"/>
      <c r="B122" s="142"/>
      <c r="C122" s="979"/>
      <c r="D122" s="163"/>
      <c r="E122" s="163">
        <v>1</v>
      </c>
      <c r="F122" s="109"/>
      <c r="G122" s="2522" t="s">
        <v>4512</v>
      </c>
      <c r="H122" s="2523"/>
      <c r="I122" s="2523"/>
      <c r="J122" s="2524"/>
      <c r="K122" s="90"/>
      <c r="L122" s="90"/>
      <c r="M122" s="90"/>
      <c r="N122" s="90"/>
      <c r="O122" s="90"/>
    </row>
    <row r="123" spans="1:15" s="47" customFormat="1" ht="55.5" customHeight="1" thickBot="1">
      <c r="A123" s="232"/>
      <c r="B123" s="142"/>
      <c r="C123" s="979"/>
      <c r="D123" s="163"/>
      <c r="E123" s="163">
        <v>2</v>
      </c>
      <c r="F123" s="109"/>
      <c r="G123" s="2525" t="s">
        <v>4508</v>
      </c>
      <c r="H123" s="2526"/>
      <c r="I123" s="2526"/>
      <c r="J123" s="2527"/>
      <c r="K123" s="90"/>
      <c r="L123" s="90"/>
      <c r="M123" s="90"/>
      <c r="N123" s="90"/>
      <c r="O123" s="90"/>
    </row>
    <row r="124" spans="1:15" ht="16.5" thickTop="1">
      <c r="E124" s="3"/>
    </row>
    <row r="125" spans="1:15">
      <c r="E125" s="3"/>
    </row>
    <row r="126" spans="1:15">
      <c r="E126" s="3"/>
    </row>
    <row r="127" spans="1:15">
      <c r="E127" s="3"/>
    </row>
    <row r="128" spans="1:15">
      <c r="E128" s="3"/>
    </row>
  </sheetData>
  <sheetProtection algorithmName="SHA-512" hashValue="Q00ItJbXmrjIvQ8KNqDyd8Mt6N4vwZEeGlj7kil804rmPfj3vAnRC2xwNtLO7sM5z6tyt7gFgc1bWzz0diT6cA==" saltValue="oTev9eb9nyyL50o1Fa6u2Q==" spinCount="100000" sheet="1" objects="1" scenarios="1"/>
  <mergeCells count="7">
    <mergeCell ref="G5:J5"/>
    <mergeCell ref="G7:J7"/>
    <mergeCell ref="G122:J122"/>
    <mergeCell ref="G123:J123"/>
    <mergeCell ref="B70:E71"/>
    <mergeCell ref="J70:J71"/>
    <mergeCell ref="B11:E12"/>
  </mergeCells>
  <phoneticPr fontId="0" type="noConversion"/>
  <printOptions horizontalCentered="1" verticalCentered="1" headings="1"/>
  <pageMargins left="0.43307086614173229" right="0.47244094488188981" top="0.35433070866141736" bottom="0.39370078740157483" header="0" footer="0"/>
  <pageSetup paperSize="9" scale="40" orientation="portrait" r:id="rId1"/>
  <headerFooter alignWithMargins="0">
    <oddHeader>&amp;R&amp;18&amp;A</oddHeader>
    <oddFooter>&amp;L&amp;16&amp;D   &amp;T&amp;R&amp;16&amp;F</oddFooter>
  </headerFooter>
  <drawing r:id="rId2"/>
  <legacyDrawing r:id="rId3"/>
  <controls>
    <mc:AlternateContent xmlns:mc="http://schemas.openxmlformats.org/markup-compatibility/2006">
      <mc:Choice Requires="x14">
        <control shapeId="70449" r:id="rId4" name="ComboBox3">
          <controlPr defaultSize="0" autoLine="0" linkedCell="H15" listFillRange="pais" r:id="rId5">
            <anchor moveWithCells="1">
              <from>
                <xdr:col>7</xdr:col>
                <xdr:colOff>19050</xdr:colOff>
                <xdr:row>14</xdr:row>
                <xdr:rowOff>9525</xdr:rowOff>
              </from>
              <to>
                <xdr:col>7</xdr:col>
                <xdr:colOff>10191750</xdr:colOff>
                <xdr:row>14</xdr:row>
                <xdr:rowOff>314325</xdr:rowOff>
              </to>
            </anchor>
          </controlPr>
        </control>
      </mc:Choice>
      <mc:Fallback>
        <control shapeId="70449" r:id="rId4" name="ComboBox3"/>
      </mc:Fallback>
    </mc:AlternateContent>
    <mc:AlternateContent xmlns:mc="http://schemas.openxmlformats.org/markup-compatibility/2006">
      <mc:Choice Requires="x14">
        <control shapeId="70450" r:id="rId6" name="ComboBox2">
          <controlPr defaultSize="0" autoLine="0" linkedCell="H16" listFillRange="pais" r:id="rId7">
            <anchor moveWithCells="1">
              <from>
                <xdr:col>7</xdr:col>
                <xdr:colOff>19050</xdr:colOff>
                <xdr:row>15</xdr:row>
                <xdr:rowOff>9525</xdr:rowOff>
              </from>
              <to>
                <xdr:col>7</xdr:col>
                <xdr:colOff>10191750</xdr:colOff>
                <xdr:row>15</xdr:row>
                <xdr:rowOff>314325</xdr:rowOff>
              </to>
            </anchor>
          </controlPr>
        </control>
      </mc:Choice>
      <mc:Fallback>
        <control shapeId="70450" r:id="rId6" name="ComboBox2"/>
      </mc:Fallback>
    </mc:AlternateContent>
    <mc:AlternateContent xmlns:mc="http://schemas.openxmlformats.org/markup-compatibility/2006">
      <mc:Choice Requires="x14">
        <control shapeId="70451" r:id="rId8" name="ComboBox4">
          <controlPr defaultSize="0" autoLine="0" linkedCell="H17" listFillRange="pais" r:id="rId9">
            <anchor moveWithCells="1">
              <from>
                <xdr:col>7</xdr:col>
                <xdr:colOff>19050</xdr:colOff>
                <xdr:row>16</xdr:row>
                <xdr:rowOff>9525</xdr:rowOff>
              </from>
              <to>
                <xdr:col>7</xdr:col>
                <xdr:colOff>10191750</xdr:colOff>
                <xdr:row>16</xdr:row>
                <xdr:rowOff>314325</xdr:rowOff>
              </to>
            </anchor>
          </controlPr>
        </control>
      </mc:Choice>
      <mc:Fallback>
        <control shapeId="70451" r:id="rId8" name="ComboBox4"/>
      </mc:Fallback>
    </mc:AlternateContent>
    <mc:AlternateContent xmlns:mc="http://schemas.openxmlformats.org/markup-compatibility/2006">
      <mc:Choice Requires="x14">
        <control shapeId="70452" r:id="rId10" name="ComboBox5">
          <controlPr defaultSize="0" autoLine="0" linkedCell="H18" listFillRange="pais" r:id="rId11">
            <anchor moveWithCells="1">
              <from>
                <xdr:col>7</xdr:col>
                <xdr:colOff>19050</xdr:colOff>
                <xdr:row>17</xdr:row>
                <xdr:rowOff>9525</xdr:rowOff>
              </from>
              <to>
                <xdr:col>7</xdr:col>
                <xdr:colOff>10191750</xdr:colOff>
                <xdr:row>17</xdr:row>
                <xdr:rowOff>314325</xdr:rowOff>
              </to>
            </anchor>
          </controlPr>
        </control>
      </mc:Choice>
      <mc:Fallback>
        <control shapeId="70452" r:id="rId10" name="ComboBox5"/>
      </mc:Fallback>
    </mc:AlternateContent>
    <mc:AlternateContent xmlns:mc="http://schemas.openxmlformats.org/markup-compatibility/2006">
      <mc:Choice Requires="x14">
        <control shapeId="70453" r:id="rId12" name="ComboBox6">
          <controlPr defaultSize="0" autoLine="0" linkedCell="H19" listFillRange="pais" r:id="rId13">
            <anchor moveWithCells="1">
              <from>
                <xdr:col>7</xdr:col>
                <xdr:colOff>19050</xdr:colOff>
                <xdr:row>18</xdr:row>
                <xdr:rowOff>9525</xdr:rowOff>
              </from>
              <to>
                <xdr:col>7</xdr:col>
                <xdr:colOff>10191750</xdr:colOff>
                <xdr:row>18</xdr:row>
                <xdr:rowOff>314325</xdr:rowOff>
              </to>
            </anchor>
          </controlPr>
        </control>
      </mc:Choice>
      <mc:Fallback>
        <control shapeId="70453" r:id="rId12" name="ComboBox6"/>
      </mc:Fallback>
    </mc:AlternateContent>
    <mc:AlternateContent xmlns:mc="http://schemas.openxmlformats.org/markup-compatibility/2006">
      <mc:Choice Requires="x14">
        <control shapeId="70454" r:id="rId14" name="ComboBox7">
          <controlPr defaultSize="0" autoLine="0" linkedCell="H20" listFillRange="pais" r:id="rId15">
            <anchor moveWithCells="1">
              <from>
                <xdr:col>7</xdr:col>
                <xdr:colOff>19050</xdr:colOff>
                <xdr:row>19</xdr:row>
                <xdr:rowOff>9525</xdr:rowOff>
              </from>
              <to>
                <xdr:col>7</xdr:col>
                <xdr:colOff>10191750</xdr:colOff>
                <xdr:row>19</xdr:row>
                <xdr:rowOff>314325</xdr:rowOff>
              </to>
            </anchor>
          </controlPr>
        </control>
      </mc:Choice>
      <mc:Fallback>
        <control shapeId="70454" r:id="rId14" name="ComboBox7"/>
      </mc:Fallback>
    </mc:AlternateContent>
    <mc:AlternateContent xmlns:mc="http://schemas.openxmlformats.org/markup-compatibility/2006">
      <mc:Choice Requires="x14">
        <control shapeId="70455" r:id="rId16" name="ComboBox8">
          <controlPr defaultSize="0" autoLine="0" linkedCell="H21" listFillRange="pais" r:id="rId17">
            <anchor moveWithCells="1">
              <from>
                <xdr:col>7</xdr:col>
                <xdr:colOff>19050</xdr:colOff>
                <xdr:row>20</xdr:row>
                <xdr:rowOff>9525</xdr:rowOff>
              </from>
              <to>
                <xdr:col>7</xdr:col>
                <xdr:colOff>10191750</xdr:colOff>
                <xdr:row>20</xdr:row>
                <xdr:rowOff>314325</xdr:rowOff>
              </to>
            </anchor>
          </controlPr>
        </control>
      </mc:Choice>
      <mc:Fallback>
        <control shapeId="70455" r:id="rId16" name="ComboBox8"/>
      </mc:Fallback>
    </mc:AlternateContent>
    <mc:AlternateContent xmlns:mc="http://schemas.openxmlformats.org/markup-compatibility/2006">
      <mc:Choice Requires="x14">
        <control shapeId="70456" r:id="rId18" name="ComboBox9">
          <controlPr defaultSize="0" autoLine="0" linkedCell="H22" listFillRange="pais" r:id="rId19">
            <anchor moveWithCells="1">
              <from>
                <xdr:col>7</xdr:col>
                <xdr:colOff>19050</xdr:colOff>
                <xdr:row>21</xdr:row>
                <xdr:rowOff>9525</xdr:rowOff>
              </from>
              <to>
                <xdr:col>7</xdr:col>
                <xdr:colOff>10191750</xdr:colOff>
                <xdr:row>21</xdr:row>
                <xdr:rowOff>314325</xdr:rowOff>
              </to>
            </anchor>
          </controlPr>
        </control>
      </mc:Choice>
      <mc:Fallback>
        <control shapeId="70456" r:id="rId18" name="ComboBox9"/>
      </mc:Fallback>
    </mc:AlternateContent>
    <mc:AlternateContent xmlns:mc="http://schemas.openxmlformats.org/markup-compatibility/2006">
      <mc:Choice Requires="x14">
        <control shapeId="70457" r:id="rId20" name="ComboBox10">
          <controlPr defaultSize="0" autoLine="0" linkedCell="H23" listFillRange="pais" r:id="rId21">
            <anchor moveWithCells="1">
              <from>
                <xdr:col>7</xdr:col>
                <xdr:colOff>19050</xdr:colOff>
                <xdr:row>22</xdr:row>
                <xdr:rowOff>9525</xdr:rowOff>
              </from>
              <to>
                <xdr:col>7</xdr:col>
                <xdr:colOff>10191750</xdr:colOff>
                <xdr:row>22</xdr:row>
                <xdr:rowOff>314325</xdr:rowOff>
              </to>
            </anchor>
          </controlPr>
        </control>
      </mc:Choice>
      <mc:Fallback>
        <control shapeId="70457" r:id="rId20" name="ComboBox10"/>
      </mc:Fallback>
    </mc:AlternateContent>
    <mc:AlternateContent xmlns:mc="http://schemas.openxmlformats.org/markup-compatibility/2006">
      <mc:Choice Requires="x14">
        <control shapeId="70458" r:id="rId22" name="ComboBox11">
          <controlPr defaultSize="0" autoLine="0" linkedCell="H24" listFillRange="pais" r:id="rId23">
            <anchor moveWithCells="1">
              <from>
                <xdr:col>7</xdr:col>
                <xdr:colOff>19050</xdr:colOff>
                <xdr:row>23</xdr:row>
                <xdr:rowOff>9525</xdr:rowOff>
              </from>
              <to>
                <xdr:col>7</xdr:col>
                <xdr:colOff>10191750</xdr:colOff>
                <xdr:row>23</xdr:row>
                <xdr:rowOff>314325</xdr:rowOff>
              </to>
            </anchor>
          </controlPr>
        </control>
      </mc:Choice>
      <mc:Fallback>
        <control shapeId="70458" r:id="rId22" name="ComboBox11"/>
      </mc:Fallback>
    </mc:AlternateContent>
    <mc:AlternateContent xmlns:mc="http://schemas.openxmlformats.org/markup-compatibility/2006">
      <mc:Choice Requires="x14">
        <control shapeId="70459" r:id="rId24" name="ComboBox12">
          <controlPr defaultSize="0" autoLine="0" linkedCell="H27" listFillRange="pais" r:id="rId25">
            <anchor moveWithCells="1">
              <from>
                <xdr:col>7</xdr:col>
                <xdr:colOff>19050</xdr:colOff>
                <xdr:row>26</xdr:row>
                <xdr:rowOff>9525</xdr:rowOff>
              </from>
              <to>
                <xdr:col>7</xdr:col>
                <xdr:colOff>10210800</xdr:colOff>
                <xdr:row>26</xdr:row>
                <xdr:rowOff>314325</xdr:rowOff>
              </to>
            </anchor>
          </controlPr>
        </control>
      </mc:Choice>
      <mc:Fallback>
        <control shapeId="70459" r:id="rId24" name="ComboBox12"/>
      </mc:Fallback>
    </mc:AlternateContent>
    <mc:AlternateContent xmlns:mc="http://schemas.openxmlformats.org/markup-compatibility/2006">
      <mc:Choice Requires="x14">
        <control shapeId="70465" r:id="rId26" name="ComboBox13">
          <controlPr defaultSize="0" autoLine="0" linkedCell="H28" listFillRange="pais" r:id="rId27">
            <anchor moveWithCells="1">
              <from>
                <xdr:col>7</xdr:col>
                <xdr:colOff>19050</xdr:colOff>
                <xdr:row>27</xdr:row>
                <xdr:rowOff>9525</xdr:rowOff>
              </from>
              <to>
                <xdr:col>7</xdr:col>
                <xdr:colOff>10210800</xdr:colOff>
                <xdr:row>27</xdr:row>
                <xdr:rowOff>314325</xdr:rowOff>
              </to>
            </anchor>
          </controlPr>
        </control>
      </mc:Choice>
      <mc:Fallback>
        <control shapeId="70465" r:id="rId26" name="ComboBox13"/>
      </mc:Fallback>
    </mc:AlternateContent>
    <mc:AlternateContent xmlns:mc="http://schemas.openxmlformats.org/markup-compatibility/2006">
      <mc:Choice Requires="x14">
        <control shapeId="70466" r:id="rId28" name="ComboBox14">
          <controlPr defaultSize="0" autoLine="0" linkedCell="H29" listFillRange="pais" r:id="rId29">
            <anchor moveWithCells="1">
              <from>
                <xdr:col>7</xdr:col>
                <xdr:colOff>19050</xdr:colOff>
                <xdr:row>28</xdr:row>
                <xdr:rowOff>9525</xdr:rowOff>
              </from>
              <to>
                <xdr:col>7</xdr:col>
                <xdr:colOff>10210800</xdr:colOff>
                <xdr:row>28</xdr:row>
                <xdr:rowOff>314325</xdr:rowOff>
              </to>
            </anchor>
          </controlPr>
        </control>
      </mc:Choice>
      <mc:Fallback>
        <control shapeId="70466" r:id="rId28" name="ComboBox14"/>
      </mc:Fallback>
    </mc:AlternateContent>
    <mc:AlternateContent xmlns:mc="http://schemas.openxmlformats.org/markup-compatibility/2006">
      <mc:Choice Requires="x14">
        <control shapeId="70467" r:id="rId30" name="ComboBox15">
          <controlPr defaultSize="0" autoLine="0" linkedCell="H30" listFillRange="pais" r:id="rId31">
            <anchor moveWithCells="1">
              <from>
                <xdr:col>7</xdr:col>
                <xdr:colOff>19050</xdr:colOff>
                <xdr:row>29</xdr:row>
                <xdr:rowOff>9525</xdr:rowOff>
              </from>
              <to>
                <xdr:col>7</xdr:col>
                <xdr:colOff>10210800</xdr:colOff>
                <xdr:row>29</xdr:row>
                <xdr:rowOff>314325</xdr:rowOff>
              </to>
            </anchor>
          </controlPr>
        </control>
      </mc:Choice>
      <mc:Fallback>
        <control shapeId="70467" r:id="rId30" name="ComboBox15"/>
      </mc:Fallback>
    </mc:AlternateContent>
    <mc:AlternateContent xmlns:mc="http://schemas.openxmlformats.org/markup-compatibility/2006">
      <mc:Choice Requires="x14">
        <control shapeId="70468" r:id="rId32" name="ComboBox16">
          <controlPr defaultSize="0" autoLine="0" linkedCell="H31" listFillRange="pais" r:id="rId33">
            <anchor moveWithCells="1">
              <from>
                <xdr:col>7</xdr:col>
                <xdr:colOff>19050</xdr:colOff>
                <xdr:row>30</xdr:row>
                <xdr:rowOff>9525</xdr:rowOff>
              </from>
              <to>
                <xdr:col>7</xdr:col>
                <xdr:colOff>10210800</xdr:colOff>
                <xdr:row>30</xdr:row>
                <xdr:rowOff>314325</xdr:rowOff>
              </to>
            </anchor>
          </controlPr>
        </control>
      </mc:Choice>
      <mc:Fallback>
        <control shapeId="70468" r:id="rId32" name="ComboBox16"/>
      </mc:Fallback>
    </mc:AlternateContent>
    <mc:AlternateContent xmlns:mc="http://schemas.openxmlformats.org/markup-compatibility/2006">
      <mc:Choice Requires="x14">
        <control shapeId="70469" r:id="rId34" name="ComboBox17">
          <controlPr defaultSize="0" autoLine="0" linkedCell="H32" listFillRange="pais" r:id="rId35">
            <anchor moveWithCells="1">
              <from>
                <xdr:col>7</xdr:col>
                <xdr:colOff>19050</xdr:colOff>
                <xdr:row>31</xdr:row>
                <xdr:rowOff>9525</xdr:rowOff>
              </from>
              <to>
                <xdr:col>7</xdr:col>
                <xdr:colOff>10210800</xdr:colOff>
                <xdr:row>31</xdr:row>
                <xdr:rowOff>314325</xdr:rowOff>
              </to>
            </anchor>
          </controlPr>
        </control>
      </mc:Choice>
      <mc:Fallback>
        <control shapeId="70469" r:id="rId34" name="ComboBox17"/>
      </mc:Fallback>
    </mc:AlternateContent>
    <mc:AlternateContent xmlns:mc="http://schemas.openxmlformats.org/markup-compatibility/2006">
      <mc:Choice Requires="x14">
        <control shapeId="70470" r:id="rId36" name="ComboBox1">
          <controlPr defaultSize="0" autoLine="0" linkedCell="H33" listFillRange="pais" r:id="rId37">
            <anchor moveWithCells="1">
              <from>
                <xdr:col>7</xdr:col>
                <xdr:colOff>19050</xdr:colOff>
                <xdr:row>32</xdr:row>
                <xdr:rowOff>9525</xdr:rowOff>
              </from>
              <to>
                <xdr:col>7</xdr:col>
                <xdr:colOff>10210800</xdr:colOff>
                <xdr:row>32</xdr:row>
                <xdr:rowOff>314325</xdr:rowOff>
              </to>
            </anchor>
          </controlPr>
        </control>
      </mc:Choice>
      <mc:Fallback>
        <control shapeId="70470" r:id="rId36" name="ComboBox1"/>
      </mc:Fallback>
    </mc:AlternateContent>
    <mc:AlternateContent xmlns:mc="http://schemas.openxmlformats.org/markup-compatibility/2006">
      <mc:Choice Requires="x14">
        <control shapeId="70471" r:id="rId38" name="ComboBox18">
          <controlPr defaultSize="0" autoLine="0" linkedCell="H35" listFillRange="pais" r:id="rId39">
            <anchor moveWithCells="1">
              <from>
                <xdr:col>7</xdr:col>
                <xdr:colOff>19050</xdr:colOff>
                <xdr:row>34</xdr:row>
                <xdr:rowOff>9525</xdr:rowOff>
              </from>
              <to>
                <xdr:col>7</xdr:col>
                <xdr:colOff>10210800</xdr:colOff>
                <xdr:row>34</xdr:row>
                <xdr:rowOff>314325</xdr:rowOff>
              </to>
            </anchor>
          </controlPr>
        </control>
      </mc:Choice>
      <mc:Fallback>
        <control shapeId="70471" r:id="rId38" name="ComboBox18"/>
      </mc:Fallback>
    </mc:AlternateContent>
    <mc:AlternateContent xmlns:mc="http://schemas.openxmlformats.org/markup-compatibility/2006">
      <mc:Choice Requires="x14">
        <control shapeId="70472" r:id="rId40" name="ComboBox19">
          <controlPr defaultSize="0" autoLine="0" linkedCell="H34" listFillRange="pais" r:id="rId41">
            <anchor moveWithCells="1">
              <from>
                <xdr:col>7</xdr:col>
                <xdr:colOff>19050</xdr:colOff>
                <xdr:row>33</xdr:row>
                <xdr:rowOff>9525</xdr:rowOff>
              </from>
              <to>
                <xdr:col>7</xdr:col>
                <xdr:colOff>10210800</xdr:colOff>
                <xdr:row>33</xdr:row>
                <xdr:rowOff>314325</xdr:rowOff>
              </to>
            </anchor>
          </controlPr>
        </control>
      </mc:Choice>
      <mc:Fallback>
        <control shapeId="70472" r:id="rId40" name="ComboBox19"/>
      </mc:Fallback>
    </mc:AlternateContent>
    <mc:AlternateContent xmlns:mc="http://schemas.openxmlformats.org/markup-compatibility/2006">
      <mc:Choice Requires="x14">
        <control shapeId="70473" r:id="rId42" name="ComboBox20">
          <controlPr defaultSize="0" autoLine="0" linkedCell="H36" listFillRange="pais" r:id="rId43">
            <anchor moveWithCells="1">
              <from>
                <xdr:col>7</xdr:col>
                <xdr:colOff>19050</xdr:colOff>
                <xdr:row>35</xdr:row>
                <xdr:rowOff>9525</xdr:rowOff>
              </from>
              <to>
                <xdr:col>7</xdr:col>
                <xdr:colOff>10210800</xdr:colOff>
                <xdr:row>35</xdr:row>
                <xdr:rowOff>314325</xdr:rowOff>
              </to>
            </anchor>
          </controlPr>
        </control>
      </mc:Choice>
      <mc:Fallback>
        <control shapeId="70473" r:id="rId42" name="ComboBox20"/>
      </mc:Fallback>
    </mc:AlternateContent>
    <mc:AlternateContent xmlns:mc="http://schemas.openxmlformats.org/markup-compatibility/2006">
      <mc:Choice Requires="x14">
        <control shapeId="70474" r:id="rId44" name="ComboBox21">
          <controlPr defaultSize="0" autoLine="0" linkedCell="H39" listFillRange="pais" r:id="rId45">
            <anchor moveWithCells="1">
              <from>
                <xdr:col>7</xdr:col>
                <xdr:colOff>19050</xdr:colOff>
                <xdr:row>38</xdr:row>
                <xdr:rowOff>9525</xdr:rowOff>
              </from>
              <to>
                <xdr:col>7</xdr:col>
                <xdr:colOff>10210800</xdr:colOff>
                <xdr:row>38</xdr:row>
                <xdr:rowOff>314325</xdr:rowOff>
              </to>
            </anchor>
          </controlPr>
        </control>
      </mc:Choice>
      <mc:Fallback>
        <control shapeId="70474" r:id="rId44" name="ComboBox21"/>
      </mc:Fallback>
    </mc:AlternateContent>
    <mc:AlternateContent xmlns:mc="http://schemas.openxmlformats.org/markup-compatibility/2006">
      <mc:Choice Requires="x14">
        <control shapeId="70475" r:id="rId46" name="ComboBox22">
          <controlPr defaultSize="0" autoLine="0" linkedCell="H40" listFillRange="pais" r:id="rId47">
            <anchor moveWithCells="1">
              <from>
                <xdr:col>7</xdr:col>
                <xdr:colOff>19050</xdr:colOff>
                <xdr:row>39</xdr:row>
                <xdr:rowOff>9525</xdr:rowOff>
              </from>
              <to>
                <xdr:col>7</xdr:col>
                <xdr:colOff>10210800</xdr:colOff>
                <xdr:row>39</xdr:row>
                <xdr:rowOff>314325</xdr:rowOff>
              </to>
            </anchor>
          </controlPr>
        </control>
      </mc:Choice>
      <mc:Fallback>
        <control shapeId="70475" r:id="rId46" name="ComboBox22"/>
      </mc:Fallback>
    </mc:AlternateContent>
    <mc:AlternateContent xmlns:mc="http://schemas.openxmlformats.org/markup-compatibility/2006">
      <mc:Choice Requires="x14">
        <control shapeId="70476" r:id="rId48" name="ComboBox23">
          <controlPr defaultSize="0" autoLine="0" linkedCell="H41" listFillRange="pais" r:id="rId49">
            <anchor moveWithCells="1">
              <from>
                <xdr:col>7</xdr:col>
                <xdr:colOff>19050</xdr:colOff>
                <xdr:row>40</xdr:row>
                <xdr:rowOff>9525</xdr:rowOff>
              </from>
              <to>
                <xdr:col>7</xdr:col>
                <xdr:colOff>10210800</xdr:colOff>
                <xdr:row>40</xdr:row>
                <xdr:rowOff>314325</xdr:rowOff>
              </to>
            </anchor>
          </controlPr>
        </control>
      </mc:Choice>
      <mc:Fallback>
        <control shapeId="70476" r:id="rId48" name="ComboBox23"/>
      </mc:Fallback>
    </mc:AlternateContent>
    <mc:AlternateContent xmlns:mc="http://schemas.openxmlformats.org/markup-compatibility/2006">
      <mc:Choice Requires="x14">
        <control shapeId="70477" r:id="rId50" name="ComboBox24">
          <controlPr defaultSize="0" autoLine="0" linkedCell="H42" listFillRange="pais" r:id="rId51">
            <anchor moveWithCells="1">
              <from>
                <xdr:col>7</xdr:col>
                <xdr:colOff>19050</xdr:colOff>
                <xdr:row>41</xdr:row>
                <xdr:rowOff>9525</xdr:rowOff>
              </from>
              <to>
                <xdr:col>7</xdr:col>
                <xdr:colOff>6924675</xdr:colOff>
                <xdr:row>41</xdr:row>
                <xdr:rowOff>219075</xdr:rowOff>
              </to>
            </anchor>
          </controlPr>
        </control>
      </mc:Choice>
      <mc:Fallback>
        <control shapeId="70477" r:id="rId50" name="ComboBox24"/>
      </mc:Fallback>
    </mc:AlternateContent>
    <mc:AlternateContent xmlns:mc="http://schemas.openxmlformats.org/markup-compatibility/2006">
      <mc:Choice Requires="x14">
        <control shapeId="70478" r:id="rId52" name="ComboBox25">
          <controlPr defaultSize="0" autoLine="0" linkedCell="H43" listFillRange="pais" r:id="rId53">
            <anchor moveWithCells="1">
              <from>
                <xdr:col>7</xdr:col>
                <xdr:colOff>19050</xdr:colOff>
                <xdr:row>42</xdr:row>
                <xdr:rowOff>9525</xdr:rowOff>
              </from>
              <to>
                <xdr:col>7</xdr:col>
                <xdr:colOff>8096250</xdr:colOff>
                <xdr:row>42</xdr:row>
                <xdr:rowOff>257175</xdr:rowOff>
              </to>
            </anchor>
          </controlPr>
        </control>
      </mc:Choice>
      <mc:Fallback>
        <control shapeId="70478" r:id="rId52" name="ComboBox25"/>
      </mc:Fallback>
    </mc:AlternateContent>
    <mc:AlternateContent xmlns:mc="http://schemas.openxmlformats.org/markup-compatibility/2006">
      <mc:Choice Requires="x14">
        <control shapeId="70479" r:id="rId54" name="ComboBox26">
          <controlPr defaultSize="0" autoLine="0" linkedCell="H44" listFillRange="pais" r:id="rId55">
            <anchor moveWithCells="1">
              <from>
                <xdr:col>7</xdr:col>
                <xdr:colOff>19050</xdr:colOff>
                <xdr:row>43</xdr:row>
                <xdr:rowOff>9525</xdr:rowOff>
              </from>
              <to>
                <xdr:col>7</xdr:col>
                <xdr:colOff>10210800</xdr:colOff>
                <xdr:row>43</xdr:row>
                <xdr:rowOff>314325</xdr:rowOff>
              </to>
            </anchor>
          </controlPr>
        </control>
      </mc:Choice>
      <mc:Fallback>
        <control shapeId="70479" r:id="rId54" name="ComboBox26"/>
      </mc:Fallback>
    </mc:AlternateContent>
    <mc:AlternateContent xmlns:mc="http://schemas.openxmlformats.org/markup-compatibility/2006">
      <mc:Choice Requires="x14">
        <control shapeId="70480" r:id="rId56" name="ComboBox27">
          <controlPr defaultSize="0" autoLine="0" linkedCell="H45" listFillRange="pais" r:id="rId57">
            <anchor moveWithCells="1">
              <from>
                <xdr:col>7</xdr:col>
                <xdr:colOff>19050</xdr:colOff>
                <xdr:row>44</xdr:row>
                <xdr:rowOff>9525</xdr:rowOff>
              </from>
              <to>
                <xdr:col>7</xdr:col>
                <xdr:colOff>10210800</xdr:colOff>
                <xdr:row>44</xdr:row>
                <xdr:rowOff>314325</xdr:rowOff>
              </to>
            </anchor>
          </controlPr>
        </control>
      </mc:Choice>
      <mc:Fallback>
        <control shapeId="70480" r:id="rId56" name="ComboBox27"/>
      </mc:Fallback>
    </mc:AlternateContent>
    <mc:AlternateContent xmlns:mc="http://schemas.openxmlformats.org/markup-compatibility/2006">
      <mc:Choice Requires="x14">
        <control shapeId="70481" r:id="rId58" name="ComboBox28">
          <controlPr defaultSize="0" autoLine="0" linkedCell="H46" listFillRange="pais" r:id="rId59">
            <anchor moveWithCells="1">
              <from>
                <xdr:col>7</xdr:col>
                <xdr:colOff>19050</xdr:colOff>
                <xdr:row>45</xdr:row>
                <xdr:rowOff>9525</xdr:rowOff>
              </from>
              <to>
                <xdr:col>7</xdr:col>
                <xdr:colOff>10210800</xdr:colOff>
                <xdr:row>45</xdr:row>
                <xdr:rowOff>314325</xdr:rowOff>
              </to>
            </anchor>
          </controlPr>
        </control>
      </mc:Choice>
      <mc:Fallback>
        <control shapeId="70481" r:id="rId58" name="ComboBox28"/>
      </mc:Fallback>
    </mc:AlternateContent>
    <mc:AlternateContent xmlns:mc="http://schemas.openxmlformats.org/markup-compatibility/2006">
      <mc:Choice Requires="x14">
        <control shapeId="70482" r:id="rId60" name="ComboBox29">
          <controlPr defaultSize="0" autoLine="0" linkedCell="H47" listFillRange="pais" r:id="rId61">
            <anchor moveWithCells="1">
              <from>
                <xdr:col>7</xdr:col>
                <xdr:colOff>19050</xdr:colOff>
                <xdr:row>46</xdr:row>
                <xdr:rowOff>9525</xdr:rowOff>
              </from>
              <to>
                <xdr:col>7</xdr:col>
                <xdr:colOff>10210800</xdr:colOff>
                <xdr:row>46</xdr:row>
                <xdr:rowOff>314325</xdr:rowOff>
              </to>
            </anchor>
          </controlPr>
        </control>
      </mc:Choice>
      <mc:Fallback>
        <control shapeId="70482" r:id="rId60" name="ComboBox29"/>
      </mc:Fallback>
    </mc:AlternateContent>
    <mc:AlternateContent xmlns:mc="http://schemas.openxmlformats.org/markup-compatibility/2006">
      <mc:Choice Requires="x14">
        <control shapeId="70483" r:id="rId62" name="ComboBox30">
          <controlPr defaultSize="0" autoLine="0" linkedCell="H48" listFillRange="pais" r:id="rId63">
            <anchor moveWithCells="1">
              <from>
                <xdr:col>7</xdr:col>
                <xdr:colOff>19050</xdr:colOff>
                <xdr:row>47</xdr:row>
                <xdr:rowOff>9525</xdr:rowOff>
              </from>
              <to>
                <xdr:col>7</xdr:col>
                <xdr:colOff>10210800</xdr:colOff>
                <xdr:row>47</xdr:row>
                <xdr:rowOff>314325</xdr:rowOff>
              </to>
            </anchor>
          </controlPr>
        </control>
      </mc:Choice>
      <mc:Fallback>
        <control shapeId="70483" r:id="rId62" name="ComboBox30"/>
      </mc:Fallback>
    </mc:AlternateContent>
    <mc:AlternateContent xmlns:mc="http://schemas.openxmlformats.org/markup-compatibility/2006">
      <mc:Choice Requires="x14">
        <control shapeId="70484" r:id="rId64" name="ComboBox31">
          <controlPr defaultSize="0" autoLine="0" linkedCell="H51" listFillRange="pais" r:id="rId65">
            <anchor moveWithCells="1">
              <from>
                <xdr:col>7</xdr:col>
                <xdr:colOff>19050</xdr:colOff>
                <xdr:row>50</xdr:row>
                <xdr:rowOff>9525</xdr:rowOff>
              </from>
              <to>
                <xdr:col>7</xdr:col>
                <xdr:colOff>1000125</xdr:colOff>
                <xdr:row>50</xdr:row>
                <xdr:rowOff>38100</xdr:rowOff>
              </to>
            </anchor>
          </controlPr>
        </control>
      </mc:Choice>
      <mc:Fallback>
        <control shapeId="70484" r:id="rId64" name="ComboBox31"/>
      </mc:Fallback>
    </mc:AlternateContent>
    <mc:AlternateContent xmlns:mc="http://schemas.openxmlformats.org/markup-compatibility/2006">
      <mc:Choice Requires="x14">
        <control shapeId="70485" r:id="rId66" name="ComboBox32">
          <controlPr defaultSize="0" autoLine="0" linkedCell="H52" listFillRange="pais" r:id="rId67">
            <anchor moveWithCells="1">
              <from>
                <xdr:col>7</xdr:col>
                <xdr:colOff>19050</xdr:colOff>
                <xdr:row>51</xdr:row>
                <xdr:rowOff>9525</xdr:rowOff>
              </from>
              <to>
                <xdr:col>7</xdr:col>
                <xdr:colOff>10210800</xdr:colOff>
                <xdr:row>51</xdr:row>
                <xdr:rowOff>314325</xdr:rowOff>
              </to>
            </anchor>
          </controlPr>
        </control>
      </mc:Choice>
      <mc:Fallback>
        <control shapeId="70485" r:id="rId66" name="ComboBox32"/>
      </mc:Fallback>
    </mc:AlternateContent>
    <mc:AlternateContent xmlns:mc="http://schemas.openxmlformats.org/markup-compatibility/2006">
      <mc:Choice Requires="x14">
        <control shapeId="70486" r:id="rId68" name="ComboBox33">
          <controlPr defaultSize="0" autoLine="0" linkedCell="H53" listFillRange="pais" r:id="rId69">
            <anchor moveWithCells="1">
              <from>
                <xdr:col>7</xdr:col>
                <xdr:colOff>19050</xdr:colOff>
                <xdr:row>52</xdr:row>
                <xdr:rowOff>9525</xdr:rowOff>
              </from>
              <to>
                <xdr:col>7</xdr:col>
                <xdr:colOff>10210800</xdr:colOff>
                <xdr:row>52</xdr:row>
                <xdr:rowOff>314325</xdr:rowOff>
              </to>
            </anchor>
          </controlPr>
        </control>
      </mc:Choice>
      <mc:Fallback>
        <control shapeId="70486" r:id="rId68" name="ComboBox33"/>
      </mc:Fallback>
    </mc:AlternateContent>
    <mc:AlternateContent xmlns:mc="http://schemas.openxmlformats.org/markup-compatibility/2006">
      <mc:Choice Requires="x14">
        <control shapeId="70487" r:id="rId70" name="ComboBox34">
          <controlPr defaultSize="0" autoLine="0" linkedCell="H54" listFillRange="pais" r:id="rId71">
            <anchor moveWithCells="1">
              <from>
                <xdr:col>7</xdr:col>
                <xdr:colOff>19050</xdr:colOff>
                <xdr:row>53</xdr:row>
                <xdr:rowOff>9525</xdr:rowOff>
              </from>
              <to>
                <xdr:col>7</xdr:col>
                <xdr:colOff>10210800</xdr:colOff>
                <xdr:row>53</xdr:row>
                <xdr:rowOff>314325</xdr:rowOff>
              </to>
            </anchor>
          </controlPr>
        </control>
      </mc:Choice>
      <mc:Fallback>
        <control shapeId="70487" r:id="rId70" name="ComboBox34"/>
      </mc:Fallback>
    </mc:AlternateContent>
    <mc:AlternateContent xmlns:mc="http://schemas.openxmlformats.org/markup-compatibility/2006">
      <mc:Choice Requires="x14">
        <control shapeId="70488" r:id="rId72" name="ComboBox35">
          <controlPr defaultSize="0" autoLine="0" linkedCell="H55" listFillRange="pais" r:id="rId73">
            <anchor moveWithCells="1">
              <from>
                <xdr:col>7</xdr:col>
                <xdr:colOff>19050</xdr:colOff>
                <xdr:row>54</xdr:row>
                <xdr:rowOff>9525</xdr:rowOff>
              </from>
              <to>
                <xdr:col>7</xdr:col>
                <xdr:colOff>10210800</xdr:colOff>
                <xdr:row>54</xdr:row>
                <xdr:rowOff>314325</xdr:rowOff>
              </to>
            </anchor>
          </controlPr>
        </control>
      </mc:Choice>
      <mc:Fallback>
        <control shapeId="70488" r:id="rId72" name="ComboBox35"/>
      </mc:Fallback>
    </mc:AlternateContent>
    <mc:AlternateContent xmlns:mc="http://schemas.openxmlformats.org/markup-compatibility/2006">
      <mc:Choice Requires="x14">
        <control shapeId="70489" r:id="rId74" name="ComboBox36">
          <controlPr defaultSize="0" autoLine="0" linkedCell="H56" listFillRange="pais" r:id="rId75">
            <anchor moveWithCells="1">
              <from>
                <xdr:col>7</xdr:col>
                <xdr:colOff>19050</xdr:colOff>
                <xdr:row>55</xdr:row>
                <xdr:rowOff>9525</xdr:rowOff>
              </from>
              <to>
                <xdr:col>7</xdr:col>
                <xdr:colOff>10210800</xdr:colOff>
                <xdr:row>55</xdr:row>
                <xdr:rowOff>314325</xdr:rowOff>
              </to>
            </anchor>
          </controlPr>
        </control>
      </mc:Choice>
      <mc:Fallback>
        <control shapeId="70489" r:id="rId74" name="ComboBox36"/>
      </mc:Fallback>
    </mc:AlternateContent>
    <mc:AlternateContent xmlns:mc="http://schemas.openxmlformats.org/markup-compatibility/2006">
      <mc:Choice Requires="x14">
        <control shapeId="70490" r:id="rId76" name="ComboBox37">
          <controlPr defaultSize="0" autoLine="0" linkedCell="H57" listFillRange="pais" r:id="rId77">
            <anchor moveWithCells="1">
              <from>
                <xdr:col>7</xdr:col>
                <xdr:colOff>19050</xdr:colOff>
                <xdr:row>56</xdr:row>
                <xdr:rowOff>9525</xdr:rowOff>
              </from>
              <to>
                <xdr:col>7</xdr:col>
                <xdr:colOff>10210800</xdr:colOff>
                <xdr:row>56</xdr:row>
                <xdr:rowOff>314325</xdr:rowOff>
              </to>
            </anchor>
          </controlPr>
        </control>
      </mc:Choice>
      <mc:Fallback>
        <control shapeId="70490" r:id="rId76" name="ComboBox37"/>
      </mc:Fallback>
    </mc:AlternateContent>
    <mc:AlternateContent xmlns:mc="http://schemas.openxmlformats.org/markup-compatibility/2006">
      <mc:Choice Requires="x14">
        <control shapeId="70491" r:id="rId78" name="ComboBox38">
          <controlPr defaultSize="0" autoLine="0" linkedCell="H58" listFillRange="pais" r:id="rId79">
            <anchor moveWithCells="1">
              <from>
                <xdr:col>7</xdr:col>
                <xdr:colOff>19050</xdr:colOff>
                <xdr:row>57</xdr:row>
                <xdr:rowOff>9525</xdr:rowOff>
              </from>
              <to>
                <xdr:col>7</xdr:col>
                <xdr:colOff>10210800</xdr:colOff>
                <xdr:row>57</xdr:row>
                <xdr:rowOff>314325</xdr:rowOff>
              </to>
            </anchor>
          </controlPr>
        </control>
      </mc:Choice>
      <mc:Fallback>
        <control shapeId="70491" r:id="rId78" name="ComboBox38"/>
      </mc:Fallback>
    </mc:AlternateContent>
    <mc:AlternateContent xmlns:mc="http://schemas.openxmlformats.org/markup-compatibility/2006">
      <mc:Choice Requires="x14">
        <control shapeId="70492" r:id="rId80" name="ComboBox39">
          <controlPr defaultSize="0" autoLine="0" linkedCell="H59" listFillRange="pais" r:id="rId81">
            <anchor moveWithCells="1">
              <from>
                <xdr:col>7</xdr:col>
                <xdr:colOff>19050</xdr:colOff>
                <xdr:row>58</xdr:row>
                <xdr:rowOff>9525</xdr:rowOff>
              </from>
              <to>
                <xdr:col>7</xdr:col>
                <xdr:colOff>10210800</xdr:colOff>
                <xdr:row>58</xdr:row>
                <xdr:rowOff>314325</xdr:rowOff>
              </to>
            </anchor>
          </controlPr>
        </control>
      </mc:Choice>
      <mc:Fallback>
        <control shapeId="70492" r:id="rId80" name="ComboBox39"/>
      </mc:Fallback>
    </mc:AlternateContent>
    <mc:AlternateContent xmlns:mc="http://schemas.openxmlformats.org/markup-compatibility/2006">
      <mc:Choice Requires="x14">
        <control shapeId="70493" r:id="rId82" name="ComboBox40">
          <controlPr defaultSize="0" autoLine="0" linkedCell="H60" listFillRange="pais" r:id="rId83">
            <anchor moveWithCells="1">
              <from>
                <xdr:col>7</xdr:col>
                <xdr:colOff>19050</xdr:colOff>
                <xdr:row>59</xdr:row>
                <xdr:rowOff>9525</xdr:rowOff>
              </from>
              <to>
                <xdr:col>7</xdr:col>
                <xdr:colOff>10210800</xdr:colOff>
                <xdr:row>59</xdr:row>
                <xdr:rowOff>314325</xdr:rowOff>
              </to>
            </anchor>
          </controlPr>
        </control>
      </mc:Choice>
      <mc:Fallback>
        <control shapeId="70493" r:id="rId82" name="ComboBox40"/>
      </mc:Fallback>
    </mc:AlternateContent>
    <mc:AlternateContent xmlns:mc="http://schemas.openxmlformats.org/markup-compatibility/2006">
      <mc:Choice Requires="x14">
        <control shapeId="70494" r:id="rId84" name="ComboBox41">
          <controlPr defaultSize="0" autoLine="0" linkedCell="H74" listFillRange="pais" r:id="rId85">
            <anchor moveWithCells="1">
              <from>
                <xdr:col>7</xdr:col>
                <xdr:colOff>19050</xdr:colOff>
                <xdr:row>73</xdr:row>
                <xdr:rowOff>9525</xdr:rowOff>
              </from>
              <to>
                <xdr:col>7</xdr:col>
                <xdr:colOff>10210800</xdr:colOff>
                <xdr:row>73</xdr:row>
                <xdr:rowOff>314325</xdr:rowOff>
              </to>
            </anchor>
          </controlPr>
        </control>
      </mc:Choice>
      <mc:Fallback>
        <control shapeId="70494" r:id="rId84" name="ComboBox41"/>
      </mc:Fallback>
    </mc:AlternateContent>
    <mc:AlternateContent xmlns:mc="http://schemas.openxmlformats.org/markup-compatibility/2006">
      <mc:Choice Requires="x14">
        <control shapeId="70495" r:id="rId86" name="ComboBox42">
          <controlPr defaultSize="0" autoLine="0" linkedCell="H75" listFillRange="pais" r:id="rId87">
            <anchor moveWithCells="1">
              <from>
                <xdr:col>7</xdr:col>
                <xdr:colOff>19050</xdr:colOff>
                <xdr:row>74</xdr:row>
                <xdr:rowOff>9525</xdr:rowOff>
              </from>
              <to>
                <xdr:col>7</xdr:col>
                <xdr:colOff>10210800</xdr:colOff>
                <xdr:row>74</xdr:row>
                <xdr:rowOff>314325</xdr:rowOff>
              </to>
            </anchor>
          </controlPr>
        </control>
      </mc:Choice>
      <mc:Fallback>
        <control shapeId="70495" r:id="rId86" name="ComboBox42"/>
      </mc:Fallback>
    </mc:AlternateContent>
    <mc:AlternateContent xmlns:mc="http://schemas.openxmlformats.org/markup-compatibility/2006">
      <mc:Choice Requires="x14">
        <control shapeId="70496" r:id="rId88" name="ComboBox43">
          <controlPr defaultSize="0" autoLine="0" linkedCell="H76" listFillRange="pais" r:id="rId89">
            <anchor moveWithCells="1">
              <from>
                <xdr:col>7</xdr:col>
                <xdr:colOff>19050</xdr:colOff>
                <xdr:row>75</xdr:row>
                <xdr:rowOff>9525</xdr:rowOff>
              </from>
              <to>
                <xdr:col>7</xdr:col>
                <xdr:colOff>10210800</xdr:colOff>
                <xdr:row>75</xdr:row>
                <xdr:rowOff>314325</xdr:rowOff>
              </to>
            </anchor>
          </controlPr>
        </control>
      </mc:Choice>
      <mc:Fallback>
        <control shapeId="70496" r:id="rId88" name="ComboBox43"/>
      </mc:Fallback>
    </mc:AlternateContent>
    <mc:AlternateContent xmlns:mc="http://schemas.openxmlformats.org/markup-compatibility/2006">
      <mc:Choice Requires="x14">
        <control shapeId="70497" r:id="rId90" name="ComboBox44">
          <controlPr defaultSize="0" autoLine="0" linkedCell="H77" listFillRange="pais" r:id="rId91">
            <anchor moveWithCells="1">
              <from>
                <xdr:col>7</xdr:col>
                <xdr:colOff>19050</xdr:colOff>
                <xdr:row>76</xdr:row>
                <xdr:rowOff>9525</xdr:rowOff>
              </from>
              <to>
                <xdr:col>7</xdr:col>
                <xdr:colOff>10210800</xdr:colOff>
                <xdr:row>76</xdr:row>
                <xdr:rowOff>314325</xdr:rowOff>
              </to>
            </anchor>
          </controlPr>
        </control>
      </mc:Choice>
      <mc:Fallback>
        <control shapeId="70497" r:id="rId90" name="ComboBox44"/>
      </mc:Fallback>
    </mc:AlternateContent>
    <mc:AlternateContent xmlns:mc="http://schemas.openxmlformats.org/markup-compatibility/2006">
      <mc:Choice Requires="x14">
        <control shapeId="70498" r:id="rId92" name="ComboBox45">
          <controlPr defaultSize="0" autoLine="0" linkedCell="H78" listFillRange="pais" r:id="rId93">
            <anchor moveWithCells="1">
              <from>
                <xdr:col>7</xdr:col>
                <xdr:colOff>19050</xdr:colOff>
                <xdr:row>77</xdr:row>
                <xdr:rowOff>9525</xdr:rowOff>
              </from>
              <to>
                <xdr:col>7</xdr:col>
                <xdr:colOff>10210800</xdr:colOff>
                <xdr:row>77</xdr:row>
                <xdr:rowOff>314325</xdr:rowOff>
              </to>
            </anchor>
          </controlPr>
        </control>
      </mc:Choice>
      <mc:Fallback>
        <control shapeId="70498" r:id="rId92" name="ComboBox45"/>
      </mc:Fallback>
    </mc:AlternateContent>
    <mc:AlternateContent xmlns:mc="http://schemas.openxmlformats.org/markup-compatibility/2006">
      <mc:Choice Requires="x14">
        <control shapeId="70499" r:id="rId94" name="ComboBox46">
          <controlPr defaultSize="0" autoLine="0" linkedCell="H79" listFillRange="pais" r:id="rId95">
            <anchor moveWithCells="1">
              <from>
                <xdr:col>7</xdr:col>
                <xdr:colOff>19050</xdr:colOff>
                <xdr:row>78</xdr:row>
                <xdr:rowOff>9525</xdr:rowOff>
              </from>
              <to>
                <xdr:col>7</xdr:col>
                <xdr:colOff>10210800</xdr:colOff>
                <xdr:row>78</xdr:row>
                <xdr:rowOff>314325</xdr:rowOff>
              </to>
            </anchor>
          </controlPr>
        </control>
      </mc:Choice>
      <mc:Fallback>
        <control shapeId="70499" r:id="rId94" name="ComboBox46"/>
      </mc:Fallback>
    </mc:AlternateContent>
    <mc:AlternateContent xmlns:mc="http://schemas.openxmlformats.org/markup-compatibility/2006">
      <mc:Choice Requires="x14">
        <control shapeId="70500" r:id="rId96" name="ComboBox47">
          <controlPr defaultSize="0" autoLine="0" linkedCell="H80" listFillRange="pais" r:id="rId97">
            <anchor moveWithCells="1">
              <from>
                <xdr:col>7</xdr:col>
                <xdr:colOff>19050</xdr:colOff>
                <xdr:row>79</xdr:row>
                <xdr:rowOff>9525</xdr:rowOff>
              </from>
              <to>
                <xdr:col>7</xdr:col>
                <xdr:colOff>10210800</xdr:colOff>
                <xdr:row>79</xdr:row>
                <xdr:rowOff>314325</xdr:rowOff>
              </to>
            </anchor>
          </controlPr>
        </control>
      </mc:Choice>
      <mc:Fallback>
        <control shapeId="70500" r:id="rId96" name="ComboBox47"/>
      </mc:Fallback>
    </mc:AlternateContent>
    <mc:AlternateContent xmlns:mc="http://schemas.openxmlformats.org/markup-compatibility/2006">
      <mc:Choice Requires="x14">
        <control shapeId="70501" r:id="rId98" name="ComboBox48">
          <controlPr defaultSize="0" autoLine="0" linkedCell="H81" listFillRange="pais" r:id="rId99">
            <anchor moveWithCells="1">
              <from>
                <xdr:col>7</xdr:col>
                <xdr:colOff>19050</xdr:colOff>
                <xdr:row>80</xdr:row>
                <xdr:rowOff>9525</xdr:rowOff>
              </from>
              <to>
                <xdr:col>7</xdr:col>
                <xdr:colOff>10210800</xdr:colOff>
                <xdr:row>80</xdr:row>
                <xdr:rowOff>314325</xdr:rowOff>
              </to>
            </anchor>
          </controlPr>
        </control>
      </mc:Choice>
      <mc:Fallback>
        <control shapeId="70501" r:id="rId98" name="ComboBox48"/>
      </mc:Fallback>
    </mc:AlternateContent>
    <mc:AlternateContent xmlns:mc="http://schemas.openxmlformats.org/markup-compatibility/2006">
      <mc:Choice Requires="x14">
        <control shapeId="70502" r:id="rId100" name="ComboBox49">
          <controlPr defaultSize="0" autoLine="0" linkedCell="H82" listFillRange="pais" r:id="rId101">
            <anchor moveWithCells="1">
              <from>
                <xdr:col>7</xdr:col>
                <xdr:colOff>19050</xdr:colOff>
                <xdr:row>81</xdr:row>
                <xdr:rowOff>9525</xdr:rowOff>
              </from>
              <to>
                <xdr:col>7</xdr:col>
                <xdr:colOff>10210800</xdr:colOff>
                <xdr:row>81</xdr:row>
                <xdr:rowOff>314325</xdr:rowOff>
              </to>
            </anchor>
          </controlPr>
        </control>
      </mc:Choice>
      <mc:Fallback>
        <control shapeId="70502" r:id="rId100" name="ComboBox49"/>
      </mc:Fallback>
    </mc:AlternateContent>
    <mc:AlternateContent xmlns:mc="http://schemas.openxmlformats.org/markup-compatibility/2006">
      <mc:Choice Requires="x14">
        <control shapeId="70503" r:id="rId102" name="ComboBox50">
          <controlPr defaultSize="0" autoLine="0" linkedCell="H83" listFillRange="pais" r:id="rId103">
            <anchor moveWithCells="1">
              <from>
                <xdr:col>7</xdr:col>
                <xdr:colOff>19050</xdr:colOff>
                <xdr:row>82</xdr:row>
                <xdr:rowOff>9525</xdr:rowOff>
              </from>
              <to>
                <xdr:col>7</xdr:col>
                <xdr:colOff>10210800</xdr:colOff>
                <xdr:row>82</xdr:row>
                <xdr:rowOff>314325</xdr:rowOff>
              </to>
            </anchor>
          </controlPr>
        </control>
      </mc:Choice>
      <mc:Fallback>
        <control shapeId="70503" r:id="rId102" name="ComboBox50"/>
      </mc:Fallback>
    </mc:AlternateContent>
    <mc:AlternateContent xmlns:mc="http://schemas.openxmlformats.org/markup-compatibility/2006">
      <mc:Choice Requires="x14">
        <control shapeId="70504" r:id="rId104" name="ComboBox51">
          <controlPr defaultSize="0" autoLine="0" linkedCell="H86" listFillRange="pais" r:id="rId105">
            <anchor moveWithCells="1">
              <from>
                <xdr:col>7</xdr:col>
                <xdr:colOff>19050</xdr:colOff>
                <xdr:row>85</xdr:row>
                <xdr:rowOff>9525</xdr:rowOff>
              </from>
              <to>
                <xdr:col>7</xdr:col>
                <xdr:colOff>10210800</xdr:colOff>
                <xdr:row>85</xdr:row>
                <xdr:rowOff>314325</xdr:rowOff>
              </to>
            </anchor>
          </controlPr>
        </control>
      </mc:Choice>
      <mc:Fallback>
        <control shapeId="70504" r:id="rId104" name="ComboBox51"/>
      </mc:Fallback>
    </mc:AlternateContent>
    <mc:AlternateContent xmlns:mc="http://schemas.openxmlformats.org/markup-compatibility/2006">
      <mc:Choice Requires="x14">
        <control shapeId="70505" r:id="rId106" name="ComboBox52">
          <controlPr defaultSize="0" autoLine="0" linkedCell="H87" listFillRange="pais" r:id="rId107">
            <anchor moveWithCells="1">
              <from>
                <xdr:col>7</xdr:col>
                <xdr:colOff>19050</xdr:colOff>
                <xdr:row>86</xdr:row>
                <xdr:rowOff>9525</xdr:rowOff>
              </from>
              <to>
                <xdr:col>7</xdr:col>
                <xdr:colOff>10210800</xdr:colOff>
                <xdr:row>86</xdr:row>
                <xdr:rowOff>314325</xdr:rowOff>
              </to>
            </anchor>
          </controlPr>
        </control>
      </mc:Choice>
      <mc:Fallback>
        <control shapeId="70505" r:id="rId106" name="ComboBox52"/>
      </mc:Fallback>
    </mc:AlternateContent>
    <mc:AlternateContent xmlns:mc="http://schemas.openxmlformats.org/markup-compatibility/2006">
      <mc:Choice Requires="x14">
        <control shapeId="70506" r:id="rId108" name="ComboBox53">
          <controlPr defaultSize="0" autoLine="0" linkedCell="H88" listFillRange="pais" r:id="rId109">
            <anchor moveWithCells="1">
              <from>
                <xdr:col>7</xdr:col>
                <xdr:colOff>19050</xdr:colOff>
                <xdr:row>87</xdr:row>
                <xdr:rowOff>9525</xdr:rowOff>
              </from>
              <to>
                <xdr:col>7</xdr:col>
                <xdr:colOff>10210800</xdr:colOff>
                <xdr:row>87</xdr:row>
                <xdr:rowOff>314325</xdr:rowOff>
              </to>
            </anchor>
          </controlPr>
        </control>
      </mc:Choice>
      <mc:Fallback>
        <control shapeId="70506" r:id="rId108" name="ComboBox53"/>
      </mc:Fallback>
    </mc:AlternateContent>
    <mc:AlternateContent xmlns:mc="http://schemas.openxmlformats.org/markup-compatibility/2006">
      <mc:Choice Requires="x14">
        <control shapeId="70507" r:id="rId110" name="ComboBox54">
          <controlPr defaultSize="0" autoLine="0" linkedCell="H89" listFillRange="pais" r:id="rId111">
            <anchor moveWithCells="1">
              <from>
                <xdr:col>7</xdr:col>
                <xdr:colOff>19050</xdr:colOff>
                <xdr:row>88</xdr:row>
                <xdr:rowOff>9525</xdr:rowOff>
              </from>
              <to>
                <xdr:col>7</xdr:col>
                <xdr:colOff>10210800</xdr:colOff>
                <xdr:row>88</xdr:row>
                <xdr:rowOff>314325</xdr:rowOff>
              </to>
            </anchor>
          </controlPr>
        </control>
      </mc:Choice>
      <mc:Fallback>
        <control shapeId="70507" r:id="rId110" name="ComboBox54"/>
      </mc:Fallback>
    </mc:AlternateContent>
    <mc:AlternateContent xmlns:mc="http://schemas.openxmlformats.org/markup-compatibility/2006">
      <mc:Choice Requires="x14">
        <control shapeId="70508" r:id="rId112" name="ComboBox55">
          <controlPr defaultSize="0" autoLine="0" linkedCell="H90" listFillRange="pais" r:id="rId113">
            <anchor moveWithCells="1">
              <from>
                <xdr:col>7</xdr:col>
                <xdr:colOff>19050</xdr:colOff>
                <xdr:row>89</xdr:row>
                <xdr:rowOff>9525</xdr:rowOff>
              </from>
              <to>
                <xdr:col>7</xdr:col>
                <xdr:colOff>10210800</xdr:colOff>
                <xdr:row>89</xdr:row>
                <xdr:rowOff>314325</xdr:rowOff>
              </to>
            </anchor>
          </controlPr>
        </control>
      </mc:Choice>
      <mc:Fallback>
        <control shapeId="70508" r:id="rId112" name="ComboBox55"/>
      </mc:Fallback>
    </mc:AlternateContent>
    <mc:AlternateContent xmlns:mc="http://schemas.openxmlformats.org/markup-compatibility/2006">
      <mc:Choice Requires="x14">
        <control shapeId="70509" r:id="rId114" name="ComboBox56">
          <controlPr defaultSize="0" autoLine="0" linkedCell="H91" listFillRange="pais" r:id="rId115">
            <anchor moveWithCells="1">
              <from>
                <xdr:col>7</xdr:col>
                <xdr:colOff>19050</xdr:colOff>
                <xdr:row>90</xdr:row>
                <xdr:rowOff>9525</xdr:rowOff>
              </from>
              <to>
                <xdr:col>7</xdr:col>
                <xdr:colOff>10210800</xdr:colOff>
                <xdr:row>90</xdr:row>
                <xdr:rowOff>314325</xdr:rowOff>
              </to>
            </anchor>
          </controlPr>
        </control>
      </mc:Choice>
      <mc:Fallback>
        <control shapeId="70509" r:id="rId114" name="ComboBox56"/>
      </mc:Fallback>
    </mc:AlternateContent>
    <mc:AlternateContent xmlns:mc="http://schemas.openxmlformats.org/markup-compatibility/2006">
      <mc:Choice Requires="x14">
        <control shapeId="70510" r:id="rId116" name="ComboBox57">
          <controlPr defaultSize="0" autoLine="0" linkedCell="H92" listFillRange="pais" r:id="rId117">
            <anchor moveWithCells="1">
              <from>
                <xdr:col>7</xdr:col>
                <xdr:colOff>19050</xdr:colOff>
                <xdr:row>91</xdr:row>
                <xdr:rowOff>9525</xdr:rowOff>
              </from>
              <to>
                <xdr:col>7</xdr:col>
                <xdr:colOff>10210800</xdr:colOff>
                <xdr:row>91</xdr:row>
                <xdr:rowOff>314325</xdr:rowOff>
              </to>
            </anchor>
          </controlPr>
        </control>
      </mc:Choice>
      <mc:Fallback>
        <control shapeId="70510" r:id="rId116" name="ComboBox57"/>
      </mc:Fallback>
    </mc:AlternateContent>
    <mc:AlternateContent xmlns:mc="http://schemas.openxmlformats.org/markup-compatibility/2006">
      <mc:Choice Requires="x14">
        <control shapeId="70511" r:id="rId118" name="ComboBox58">
          <controlPr defaultSize="0" autoLine="0" linkedCell="H93" listFillRange="pais" r:id="rId119">
            <anchor moveWithCells="1">
              <from>
                <xdr:col>7</xdr:col>
                <xdr:colOff>19050</xdr:colOff>
                <xdr:row>92</xdr:row>
                <xdr:rowOff>9525</xdr:rowOff>
              </from>
              <to>
                <xdr:col>7</xdr:col>
                <xdr:colOff>10210800</xdr:colOff>
                <xdr:row>92</xdr:row>
                <xdr:rowOff>314325</xdr:rowOff>
              </to>
            </anchor>
          </controlPr>
        </control>
      </mc:Choice>
      <mc:Fallback>
        <control shapeId="70511" r:id="rId118" name="ComboBox58"/>
      </mc:Fallback>
    </mc:AlternateContent>
    <mc:AlternateContent xmlns:mc="http://schemas.openxmlformats.org/markup-compatibility/2006">
      <mc:Choice Requires="x14">
        <control shapeId="70512" r:id="rId120" name="ComboBox59">
          <controlPr defaultSize="0" autoLine="0" linkedCell="H94" listFillRange="pais" r:id="rId121">
            <anchor moveWithCells="1">
              <from>
                <xdr:col>7</xdr:col>
                <xdr:colOff>19050</xdr:colOff>
                <xdr:row>93</xdr:row>
                <xdr:rowOff>9525</xdr:rowOff>
              </from>
              <to>
                <xdr:col>7</xdr:col>
                <xdr:colOff>10210800</xdr:colOff>
                <xdr:row>93</xdr:row>
                <xdr:rowOff>314325</xdr:rowOff>
              </to>
            </anchor>
          </controlPr>
        </control>
      </mc:Choice>
      <mc:Fallback>
        <control shapeId="70512" r:id="rId120" name="ComboBox59"/>
      </mc:Fallback>
    </mc:AlternateContent>
    <mc:AlternateContent xmlns:mc="http://schemas.openxmlformats.org/markup-compatibility/2006">
      <mc:Choice Requires="x14">
        <control shapeId="70513" r:id="rId122" name="ComboBox60">
          <controlPr defaultSize="0" autoLine="0" linkedCell="H95" listFillRange="pais" r:id="rId123">
            <anchor moveWithCells="1">
              <from>
                <xdr:col>7</xdr:col>
                <xdr:colOff>19050</xdr:colOff>
                <xdr:row>94</xdr:row>
                <xdr:rowOff>9525</xdr:rowOff>
              </from>
              <to>
                <xdr:col>7</xdr:col>
                <xdr:colOff>10210800</xdr:colOff>
                <xdr:row>94</xdr:row>
                <xdr:rowOff>314325</xdr:rowOff>
              </to>
            </anchor>
          </controlPr>
        </control>
      </mc:Choice>
      <mc:Fallback>
        <control shapeId="70513" r:id="rId122" name="ComboBox60"/>
      </mc:Fallback>
    </mc:AlternateContent>
    <mc:AlternateContent xmlns:mc="http://schemas.openxmlformats.org/markup-compatibility/2006">
      <mc:Choice Requires="x14">
        <control shapeId="70514" r:id="rId124" name="ComboBox61">
          <controlPr defaultSize="0" autoLine="0" linkedCell="H98" listFillRange="pais" r:id="rId125">
            <anchor moveWithCells="1">
              <from>
                <xdr:col>7</xdr:col>
                <xdr:colOff>19050</xdr:colOff>
                <xdr:row>97</xdr:row>
                <xdr:rowOff>9525</xdr:rowOff>
              </from>
              <to>
                <xdr:col>7</xdr:col>
                <xdr:colOff>10210800</xdr:colOff>
                <xdr:row>97</xdr:row>
                <xdr:rowOff>314325</xdr:rowOff>
              </to>
            </anchor>
          </controlPr>
        </control>
      </mc:Choice>
      <mc:Fallback>
        <control shapeId="70514" r:id="rId124" name="ComboBox61"/>
      </mc:Fallback>
    </mc:AlternateContent>
    <mc:AlternateContent xmlns:mc="http://schemas.openxmlformats.org/markup-compatibility/2006">
      <mc:Choice Requires="x14">
        <control shapeId="70515" r:id="rId126" name="ComboBox62">
          <controlPr defaultSize="0" autoLine="0" linkedCell="H99" listFillRange="pais" r:id="rId127">
            <anchor moveWithCells="1">
              <from>
                <xdr:col>7</xdr:col>
                <xdr:colOff>19050</xdr:colOff>
                <xdr:row>98</xdr:row>
                <xdr:rowOff>9525</xdr:rowOff>
              </from>
              <to>
                <xdr:col>7</xdr:col>
                <xdr:colOff>10210800</xdr:colOff>
                <xdr:row>98</xdr:row>
                <xdr:rowOff>314325</xdr:rowOff>
              </to>
            </anchor>
          </controlPr>
        </control>
      </mc:Choice>
      <mc:Fallback>
        <control shapeId="70515" r:id="rId126" name="ComboBox62"/>
      </mc:Fallback>
    </mc:AlternateContent>
    <mc:AlternateContent xmlns:mc="http://schemas.openxmlformats.org/markup-compatibility/2006">
      <mc:Choice Requires="x14">
        <control shapeId="70516" r:id="rId128" name="ComboBox63">
          <controlPr defaultSize="0" autoLine="0" linkedCell="H100" listFillRange="pais" r:id="rId129">
            <anchor moveWithCells="1">
              <from>
                <xdr:col>7</xdr:col>
                <xdr:colOff>19050</xdr:colOff>
                <xdr:row>99</xdr:row>
                <xdr:rowOff>9525</xdr:rowOff>
              </from>
              <to>
                <xdr:col>7</xdr:col>
                <xdr:colOff>10210800</xdr:colOff>
                <xdr:row>99</xdr:row>
                <xdr:rowOff>314325</xdr:rowOff>
              </to>
            </anchor>
          </controlPr>
        </control>
      </mc:Choice>
      <mc:Fallback>
        <control shapeId="70516" r:id="rId128" name="ComboBox63"/>
      </mc:Fallback>
    </mc:AlternateContent>
    <mc:AlternateContent xmlns:mc="http://schemas.openxmlformats.org/markup-compatibility/2006">
      <mc:Choice Requires="x14">
        <control shapeId="70518" r:id="rId130" name="ComboBox64">
          <controlPr defaultSize="0" autoLine="0" linkedCell="H101" listFillRange="pais" r:id="rId131">
            <anchor moveWithCells="1">
              <from>
                <xdr:col>7</xdr:col>
                <xdr:colOff>19050</xdr:colOff>
                <xdr:row>100</xdr:row>
                <xdr:rowOff>9525</xdr:rowOff>
              </from>
              <to>
                <xdr:col>7</xdr:col>
                <xdr:colOff>10210800</xdr:colOff>
                <xdr:row>100</xdr:row>
                <xdr:rowOff>314325</xdr:rowOff>
              </to>
            </anchor>
          </controlPr>
        </control>
      </mc:Choice>
      <mc:Fallback>
        <control shapeId="70518" r:id="rId130" name="ComboBox64"/>
      </mc:Fallback>
    </mc:AlternateContent>
    <mc:AlternateContent xmlns:mc="http://schemas.openxmlformats.org/markup-compatibility/2006">
      <mc:Choice Requires="x14">
        <control shapeId="70519" r:id="rId132" name="ComboBox65">
          <controlPr defaultSize="0" autoLine="0" linkedCell="H102" listFillRange="pais" r:id="rId133">
            <anchor moveWithCells="1">
              <from>
                <xdr:col>7</xdr:col>
                <xdr:colOff>19050</xdr:colOff>
                <xdr:row>101</xdr:row>
                <xdr:rowOff>9525</xdr:rowOff>
              </from>
              <to>
                <xdr:col>7</xdr:col>
                <xdr:colOff>10210800</xdr:colOff>
                <xdr:row>101</xdr:row>
                <xdr:rowOff>314325</xdr:rowOff>
              </to>
            </anchor>
          </controlPr>
        </control>
      </mc:Choice>
      <mc:Fallback>
        <control shapeId="70519" r:id="rId132" name="ComboBox65"/>
      </mc:Fallback>
    </mc:AlternateContent>
    <mc:AlternateContent xmlns:mc="http://schemas.openxmlformats.org/markup-compatibility/2006">
      <mc:Choice Requires="x14">
        <control shapeId="70520" r:id="rId134" name="ComboBox66">
          <controlPr defaultSize="0" autoLine="0" linkedCell="H103" listFillRange="pais" r:id="rId135">
            <anchor moveWithCells="1">
              <from>
                <xdr:col>7</xdr:col>
                <xdr:colOff>19050</xdr:colOff>
                <xdr:row>102</xdr:row>
                <xdr:rowOff>9525</xdr:rowOff>
              </from>
              <to>
                <xdr:col>7</xdr:col>
                <xdr:colOff>10210800</xdr:colOff>
                <xdr:row>102</xdr:row>
                <xdr:rowOff>314325</xdr:rowOff>
              </to>
            </anchor>
          </controlPr>
        </control>
      </mc:Choice>
      <mc:Fallback>
        <control shapeId="70520" r:id="rId134" name="ComboBox66"/>
      </mc:Fallback>
    </mc:AlternateContent>
    <mc:AlternateContent xmlns:mc="http://schemas.openxmlformats.org/markup-compatibility/2006">
      <mc:Choice Requires="x14">
        <control shapeId="70521" r:id="rId136" name="ComboBox67">
          <controlPr defaultSize="0" autoLine="0" linkedCell="H104" listFillRange="pais" r:id="rId137">
            <anchor moveWithCells="1">
              <from>
                <xdr:col>7</xdr:col>
                <xdr:colOff>19050</xdr:colOff>
                <xdr:row>103</xdr:row>
                <xdr:rowOff>9525</xdr:rowOff>
              </from>
              <to>
                <xdr:col>7</xdr:col>
                <xdr:colOff>10210800</xdr:colOff>
                <xdr:row>103</xdr:row>
                <xdr:rowOff>314325</xdr:rowOff>
              </to>
            </anchor>
          </controlPr>
        </control>
      </mc:Choice>
      <mc:Fallback>
        <control shapeId="70521" r:id="rId136" name="ComboBox67"/>
      </mc:Fallback>
    </mc:AlternateContent>
    <mc:AlternateContent xmlns:mc="http://schemas.openxmlformats.org/markup-compatibility/2006">
      <mc:Choice Requires="x14">
        <control shapeId="70522" r:id="rId138" name="ComboBox68">
          <controlPr defaultSize="0" autoLine="0" linkedCell="H105" listFillRange="pais" r:id="rId139">
            <anchor moveWithCells="1">
              <from>
                <xdr:col>7</xdr:col>
                <xdr:colOff>19050</xdr:colOff>
                <xdr:row>104</xdr:row>
                <xdr:rowOff>9525</xdr:rowOff>
              </from>
              <to>
                <xdr:col>7</xdr:col>
                <xdr:colOff>10210800</xdr:colOff>
                <xdr:row>104</xdr:row>
                <xdr:rowOff>314325</xdr:rowOff>
              </to>
            </anchor>
          </controlPr>
        </control>
      </mc:Choice>
      <mc:Fallback>
        <control shapeId="70522" r:id="rId138" name="ComboBox68"/>
      </mc:Fallback>
    </mc:AlternateContent>
    <mc:AlternateContent xmlns:mc="http://schemas.openxmlformats.org/markup-compatibility/2006">
      <mc:Choice Requires="x14">
        <control shapeId="70523" r:id="rId140" name="ComboBox69">
          <controlPr defaultSize="0" autoLine="0" linkedCell="H106" listFillRange="pais" r:id="rId141">
            <anchor moveWithCells="1">
              <from>
                <xdr:col>7</xdr:col>
                <xdr:colOff>19050</xdr:colOff>
                <xdr:row>105</xdr:row>
                <xdr:rowOff>9525</xdr:rowOff>
              </from>
              <to>
                <xdr:col>7</xdr:col>
                <xdr:colOff>10210800</xdr:colOff>
                <xdr:row>105</xdr:row>
                <xdr:rowOff>314325</xdr:rowOff>
              </to>
            </anchor>
          </controlPr>
        </control>
      </mc:Choice>
      <mc:Fallback>
        <control shapeId="70523" r:id="rId140" name="ComboBox69"/>
      </mc:Fallback>
    </mc:AlternateContent>
    <mc:AlternateContent xmlns:mc="http://schemas.openxmlformats.org/markup-compatibility/2006">
      <mc:Choice Requires="x14">
        <control shapeId="70524" r:id="rId142" name="ComboBox70">
          <controlPr defaultSize="0" autoLine="0" linkedCell="H107" listFillRange="pais" r:id="rId143">
            <anchor moveWithCells="1">
              <from>
                <xdr:col>7</xdr:col>
                <xdr:colOff>19050</xdr:colOff>
                <xdr:row>106</xdr:row>
                <xdr:rowOff>9525</xdr:rowOff>
              </from>
              <to>
                <xdr:col>7</xdr:col>
                <xdr:colOff>10210800</xdr:colOff>
                <xdr:row>106</xdr:row>
                <xdr:rowOff>314325</xdr:rowOff>
              </to>
            </anchor>
          </controlPr>
        </control>
      </mc:Choice>
      <mc:Fallback>
        <control shapeId="70524" r:id="rId142" name="ComboBox70"/>
      </mc:Fallback>
    </mc:AlternateContent>
    <mc:AlternateContent xmlns:mc="http://schemas.openxmlformats.org/markup-compatibility/2006">
      <mc:Choice Requires="x14">
        <control shapeId="70525" r:id="rId144" name="ComboBox71">
          <controlPr defaultSize="0" autoLine="0" linkedCell="H110" listFillRange="pais" r:id="rId145">
            <anchor moveWithCells="1">
              <from>
                <xdr:col>7</xdr:col>
                <xdr:colOff>19050</xdr:colOff>
                <xdr:row>109</xdr:row>
                <xdr:rowOff>9525</xdr:rowOff>
              </from>
              <to>
                <xdr:col>7</xdr:col>
                <xdr:colOff>10210800</xdr:colOff>
                <xdr:row>109</xdr:row>
                <xdr:rowOff>314325</xdr:rowOff>
              </to>
            </anchor>
          </controlPr>
        </control>
      </mc:Choice>
      <mc:Fallback>
        <control shapeId="70525" r:id="rId144" name="ComboBox71"/>
      </mc:Fallback>
    </mc:AlternateContent>
    <mc:AlternateContent xmlns:mc="http://schemas.openxmlformats.org/markup-compatibility/2006">
      <mc:Choice Requires="x14">
        <control shapeId="70526" r:id="rId146" name="ComboBox72">
          <controlPr defaultSize="0" autoLine="0" linkedCell="H111" listFillRange="pais" r:id="rId147">
            <anchor moveWithCells="1">
              <from>
                <xdr:col>7</xdr:col>
                <xdr:colOff>19050</xdr:colOff>
                <xdr:row>110</xdr:row>
                <xdr:rowOff>9525</xdr:rowOff>
              </from>
              <to>
                <xdr:col>7</xdr:col>
                <xdr:colOff>10210800</xdr:colOff>
                <xdr:row>110</xdr:row>
                <xdr:rowOff>314325</xdr:rowOff>
              </to>
            </anchor>
          </controlPr>
        </control>
      </mc:Choice>
      <mc:Fallback>
        <control shapeId="70526" r:id="rId146" name="ComboBox72"/>
      </mc:Fallback>
    </mc:AlternateContent>
    <mc:AlternateContent xmlns:mc="http://schemas.openxmlformats.org/markup-compatibility/2006">
      <mc:Choice Requires="x14">
        <control shapeId="70527" r:id="rId148" name="ComboBox73">
          <controlPr defaultSize="0" autoLine="0" linkedCell="H112" listFillRange="pais" r:id="rId149">
            <anchor moveWithCells="1">
              <from>
                <xdr:col>7</xdr:col>
                <xdr:colOff>19050</xdr:colOff>
                <xdr:row>111</xdr:row>
                <xdr:rowOff>9525</xdr:rowOff>
              </from>
              <to>
                <xdr:col>7</xdr:col>
                <xdr:colOff>10210800</xdr:colOff>
                <xdr:row>111</xdr:row>
                <xdr:rowOff>314325</xdr:rowOff>
              </to>
            </anchor>
          </controlPr>
        </control>
      </mc:Choice>
      <mc:Fallback>
        <control shapeId="70527" r:id="rId148" name="ComboBox73"/>
      </mc:Fallback>
    </mc:AlternateContent>
    <mc:AlternateContent xmlns:mc="http://schemas.openxmlformats.org/markup-compatibility/2006">
      <mc:Choice Requires="x14">
        <control shapeId="70528" r:id="rId150" name="ComboBox74">
          <controlPr defaultSize="0" autoLine="0" linkedCell="H113" listFillRange="pais" r:id="rId151">
            <anchor moveWithCells="1">
              <from>
                <xdr:col>7</xdr:col>
                <xdr:colOff>19050</xdr:colOff>
                <xdr:row>112</xdr:row>
                <xdr:rowOff>9525</xdr:rowOff>
              </from>
              <to>
                <xdr:col>7</xdr:col>
                <xdr:colOff>10210800</xdr:colOff>
                <xdr:row>112</xdr:row>
                <xdr:rowOff>314325</xdr:rowOff>
              </to>
            </anchor>
          </controlPr>
        </control>
      </mc:Choice>
      <mc:Fallback>
        <control shapeId="70528" r:id="rId150" name="ComboBox74"/>
      </mc:Fallback>
    </mc:AlternateContent>
    <mc:AlternateContent xmlns:mc="http://schemas.openxmlformats.org/markup-compatibility/2006">
      <mc:Choice Requires="x14">
        <control shapeId="70529" r:id="rId152" name="ComboBox75">
          <controlPr defaultSize="0" autoLine="0" linkedCell="H114" listFillRange="pais" r:id="rId153">
            <anchor moveWithCells="1">
              <from>
                <xdr:col>7</xdr:col>
                <xdr:colOff>19050</xdr:colOff>
                <xdr:row>113</xdr:row>
                <xdr:rowOff>9525</xdr:rowOff>
              </from>
              <to>
                <xdr:col>7</xdr:col>
                <xdr:colOff>10210800</xdr:colOff>
                <xdr:row>113</xdr:row>
                <xdr:rowOff>314325</xdr:rowOff>
              </to>
            </anchor>
          </controlPr>
        </control>
      </mc:Choice>
      <mc:Fallback>
        <control shapeId="70529" r:id="rId152" name="ComboBox75"/>
      </mc:Fallback>
    </mc:AlternateContent>
    <mc:AlternateContent xmlns:mc="http://schemas.openxmlformats.org/markup-compatibility/2006">
      <mc:Choice Requires="x14">
        <control shapeId="70530" r:id="rId154" name="ComboBox76">
          <controlPr defaultSize="0" autoLine="0" linkedCell="H115" listFillRange="pais" r:id="rId155">
            <anchor moveWithCells="1">
              <from>
                <xdr:col>7</xdr:col>
                <xdr:colOff>19050</xdr:colOff>
                <xdr:row>114</xdr:row>
                <xdr:rowOff>9525</xdr:rowOff>
              </from>
              <to>
                <xdr:col>7</xdr:col>
                <xdr:colOff>10210800</xdr:colOff>
                <xdr:row>114</xdr:row>
                <xdr:rowOff>314325</xdr:rowOff>
              </to>
            </anchor>
          </controlPr>
        </control>
      </mc:Choice>
      <mc:Fallback>
        <control shapeId="70530" r:id="rId154" name="ComboBox76"/>
      </mc:Fallback>
    </mc:AlternateContent>
    <mc:AlternateContent xmlns:mc="http://schemas.openxmlformats.org/markup-compatibility/2006">
      <mc:Choice Requires="x14">
        <control shapeId="70531" r:id="rId156" name="ComboBox77">
          <controlPr defaultSize="0" autoLine="0" linkedCell="H116" listFillRange="pais" r:id="rId157">
            <anchor moveWithCells="1">
              <from>
                <xdr:col>7</xdr:col>
                <xdr:colOff>19050</xdr:colOff>
                <xdr:row>115</xdr:row>
                <xdr:rowOff>9525</xdr:rowOff>
              </from>
              <to>
                <xdr:col>7</xdr:col>
                <xdr:colOff>10210800</xdr:colOff>
                <xdr:row>115</xdr:row>
                <xdr:rowOff>314325</xdr:rowOff>
              </to>
            </anchor>
          </controlPr>
        </control>
      </mc:Choice>
      <mc:Fallback>
        <control shapeId="70531" r:id="rId156" name="ComboBox77"/>
      </mc:Fallback>
    </mc:AlternateContent>
    <mc:AlternateContent xmlns:mc="http://schemas.openxmlformats.org/markup-compatibility/2006">
      <mc:Choice Requires="x14">
        <control shapeId="70532" r:id="rId158" name="ComboBox78">
          <controlPr defaultSize="0" autoLine="0" linkedCell="H117" listFillRange="pais" r:id="rId159">
            <anchor moveWithCells="1">
              <from>
                <xdr:col>7</xdr:col>
                <xdr:colOff>19050</xdr:colOff>
                <xdr:row>116</xdr:row>
                <xdr:rowOff>9525</xdr:rowOff>
              </from>
              <to>
                <xdr:col>7</xdr:col>
                <xdr:colOff>10210800</xdr:colOff>
                <xdr:row>116</xdr:row>
                <xdr:rowOff>314325</xdr:rowOff>
              </to>
            </anchor>
          </controlPr>
        </control>
      </mc:Choice>
      <mc:Fallback>
        <control shapeId="70532" r:id="rId158" name="ComboBox78"/>
      </mc:Fallback>
    </mc:AlternateContent>
    <mc:AlternateContent xmlns:mc="http://schemas.openxmlformats.org/markup-compatibility/2006">
      <mc:Choice Requires="x14">
        <control shapeId="70533" r:id="rId160" name="ComboBox79">
          <controlPr defaultSize="0" autoLine="0" linkedCell="H118" listFillRange="pais" r:id="rId161">
            <anchor moveWithCells="1">
              <from>
                <xdr:col>7</xdr:col>
                <xdr:colOff>19050</xdr:colOff>
                <xdr:row>117</xdr:row>
                <xdr:rowOff>9525</xdr:rowOff>
              </from>
              <to>
                <xdr:col>7</xdr:col>
                <xdr:colOff>10210800</xdr:colOff>
                <xdr:row>117</xdr:row>
                <xdr:rowOff>314325</xdr:rowOff>
              </to>
            </anchor>
          </controlPr>
        </control>
      </mc:Choice>
      <mc:Fallback>
        <control shapeId="70533" r:id="rId160" name="ComboBox79"/>
      </mc:Fallback>
    </mc:AlternateContent>
    <mc:AlternateContent xmlns:mc="http://schemas.openxmlformats.org/markup-compatibility/2006">
      <mc:Choice Requires="x14">
        <control shapeId="70534" r:id="rId162" name="ComboBox80">
          <controlPr defaultSize="0" autoLine="0" linkedCell="H119" listFillRange="pais" r:id="rId163">
            <anchor moveWithCells="1">
              <from>
                <xdr:col>7</xdr:col>
                <xdr:colOff>19050</xdr:colOff>
                <xdr:row>118</xdr:row>
                <xdr:rowOff>9525</xdr:rowOff>
              </from>
              <to>
                <xdr:col>7</xdr:col>
                <xdr:colOff>10210800</xdr:colOff>
                <xdr:row>118</xdr:row>
                <xdr:rowOff>314325</xdr:rowOff>
              </to>
            </anchor>
          </controlPr>
        </control>
      </mc:Choice>
      <mc:Fallback>
        <control shapeId="70534" r:id="rId162" name="ComboBox80"/>
      </mc:Fallback>
    </mc:AlternateContent>
  </control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1">
    <tabColor theme="9" tint="-0.499984740745262"/>
  </sheetPr>
  <dimension ref="B2:D35"/>
  <sheetViews>
    <sheetView topLeftCell="A13" zoomScale="130" zoomScaleNormal="130" workbookViewId="0">
      <pane xSplit="1" ySplit="2" topLeftCell="B21" activePane="bottomRight" state="frozen"/>
      <selection activeCell="A13" sqref="A13"/>
      <selection pane="topRight" activeCell="B13" sqref="B13"/>
      <selection pane="bottomLeft" activeCell="A15" sqref="A15"/>
      <selection pane="bottomRight" activeCell="D23" sqref="D23"/>
    </sheetView>
  </sheetViews>
  <sheetFormatPr baseColWidth="10" defaultColWidth="11.42578125" defaultRowHeight="12.75"/>
  <cols>
    <col min="1" max="1" width="3.28515625" customWidth="1"/>
    <col min="2" max="2" width="40.5703125" customWidth="1"/>
    <col min="3" max="3" width="12.85546875" customWidth="1"/>
    <col min="4" max="4" width="50.140625" customWidth="1"/>
  </cols>
  <sheetData>
    <row r="2" spans="2:4" ht="15">
      <c r="B2" s="83" t="s">
        <v>7</v>
      </c>
    </row>
    <row r="3" spans="2:4">
      <c r="B3" s="1326" t="s">
        <v>8</v>
      </c>
      <c r="C3" s="1327" t="s">
        <v>9</v>
      </c>
      <c r="D3" s="1327" t="s">
        <v>10</v>
      </c>
    </row>
    <row r="4" spans="2:4" ht="14.25">
      <c r="B4" s="84" t="s">
        <v>11</v>
      </c>
      <c r="C4" s="85" t="s">
        <v>12</v>
      </c>
    </row>
    <row r="5" spans="2:4" ht="14.25">
      <c r="B5" s="86" t="s">
        <v>13</v>
      </c>
      <c r="C5" s="85" t="s">
        <v>12</v>
      </c>
      <c r="D5" s="51"/>
    </row>
    <row r="6" spans="2:4" ht="14.25">
      <c r="B6" s="1225" t="s">
        <v>14</v>
      </c>
      <c r="C6" s="85" t="s">
        <v>12</v>
      </c>
      <c r="D6" s="51"/>
    </row>
    <row r="7" spans="2:4" ht="14.25">
      <c r="B7" s="1225" t="s">
        <v>15</v>
      </c>
      <c r="C7" s="85" t="s">
        <v>12</v>
      </c>
      <c r="D7" s="51"/>
    </row>
    <row r="8" spans="2:4" ht="14.25">
      <c r="B8" s="1225" t="s">
        <v>16</v>
      </c>
      <c r="C8" s="85" t="s">
        <v>12</v>
      </c>
      <c r="D8" s="51"/>
    </row>
    <row r="9" spans="2:4" ht="14.25">
      <c r="B9" s="1225" t="s">
        <v>17</v>
      </c>
      <c r="C9" s="85" t="s">
        <v>12</v>
      </c>
      <c r="D9" s="51"/>
    </row>
    <row r="10" spans="2:4" ht="14.25">
      <c r="B10" s="1225" t="s">
        <v>18</v>
      </c>
      <c r="C10" s="85" t="s">
        <v>12</v>
      </c>
      <c r="D10" s="51"/>
    </row>
    <row r="11" spans="2:4" ht="15.95" customHeight="1">
      <c r="B11" s="1225" t="s">
        <v>19</v>
      </c>
      <c r="C11" s="1328" t="s">
        <v>20</v>
      </c>
      <c r="D11" s="554" t="s">
        <v>21</v>
      </c>
    </row>
    <row r="12" spans="2:4" ht="5.25" customHeight="1">
      <c r="B12" s="87"/>
      <c r="C12" s="88"/>
      <c r="D12" s="1226"/>
    </row>
    <row r="14" spans="2:4">
      <c r="B14" s="1322" t="s">
        <v>22</v>
      </c>
      <c r="C14" s="1322" t="s">
        <v>4501</v>
      </c>
      <c r="D14" s="1323" t="s">
        <v>23</v>
      </c>
    </row>
    <row r="16" spans="2:4" ht="108">
      <c r="B16" s="1321" t="s">
        <v>24</v>
      </c>
      <c r="D16" s="1324" t="s">
        <v>25</v>
      </c>
    </row>
    <row r="17" spans="2:4" ht="106.5" customHeight="1">
      <c r="B17" s="1321" t="s">
        <v>4468</v>
      </c>
      <c r="D17" s="1817" t="s">
        <v>4492</v>
      </c>
    </row>
    <row r="18" spans="2:4" ht="73.5" customHeight="1">
      <c r="B18" s="1321" t="s">
        <v>4468</v>
      </c>
      <c r="D18" s="1817" t="s">
        <v>4493</v>
      </c>
    </row>
    <row r="19" spans="2:4" ht="40.5" customHeight="1">
      <c r="B19" s="1321" t="s">
        <v>4491</v>
      </c>
      <c r="D19" s="1817" t="s">
        <v>4494</v>
      </c>
    </row>
    <row r="20" spans="2:4" ht="93.75" customHeight="1">
      <c r="B20" s="1321" t="s">
        <v>4502</v>
      </c>
      <c r="C20" s="1328" t="s">
        <v>4503</v>
      </c>
      <c r="D20" s="1817" t="s">
        <v>4504</v>
      </c>
    </row>
    <row r="21" spans="2:4" ht="131.25" customHeight="1">
      <c r="B21" s="1321" t="s">
        <v>4505</v>
      </c>
      <c r="C21" s="1328" t="s">
        <v>4507</v>
      </c>
      <c r="D21" s="1817" t="s">
        <v>4506</v>
      </c>
    </row>
    <row r="22" spans="2:4" ht="101.25">
      <c r="B22" s="1321" t="s">
        <v>4505</v>
      </c>
      <c r="C22" s="2141" t="s">
        <v>4511</v>
      </c>
      <c r="D22" s="1817" t="s">
        <v>4510</v>
      </c>
    </row>
    <row r="23" spans="2:4" ht="67.5">
      <c r="B23" s="1321" t="s">
        <v>4513</v>
      </c>
      <c r="C23" s="2142" t="s">
        <v>4514</v>
      </c>
      <c r="D23" s="1817" t="s">
        <v>4515</v>
      </c>
    </row>
    <row r="24" spans="2:4" ht="91.5" customHeight="1">
      <c r="B24" s="1321"/>
      <c r="C24" s="1328"/>
      <c r="D24" s="1817"/>
    </row>
    <row r="25" spans="2:4" ht="91.5" customHeight="1">
      <c r="B25" s="1321"/>
      <c r="C25" s="1328"/>
      <c r="D25" s="1817"/>
    </row>
    <row r="26" spans="2:4" ht="91.5" customHeight="1">
      <c r="B26" s="1321"/>
      <c r="C26" s="1328"/>
      <c r="D26" s="1817"/>
    </row>
    <row r="27" spans="2:4" ht="91.5" customHeight="1">
      <c r="B27" s="1321"/>
      <c r="C27" s="1328"/>
      <c r="D27" s="1817"/>
    </row>
    <row r="28" spans="2:4" ht="91.5" customHeight="1">
      <c r="B28" s="1321"/>
      <c r="C28" s="1328"/>
      <c r="D28" s="1817"/>
    </row>
    <row r="29" spans="2:4" ht="84" customHeight="1">
      <c r="B29" s="1321" t="s">
        <v>4497</v>
      </c>
      <c r="C29" s="1328" t="s">
        <v>4499</v>
      </c>
      <c r="D29" s="1817" t="s">
        <v>4500</v>
      </c>
    </row>
    <row r="30" spans="2:4" ht="89.25" customHeight="1">
      <c r="B30" s="1321" t="s">
        <v>4498</v>
      </c>
      <c r="C30" s="1328" t="s">
        <v>4495</v>
      </c>
      <c r="D30" s="1817" t="s">
        <v>4496</v>
      </c>
    </row>
    <row r="31" spans="2:4" ht="40.5" customHeight="1">
      <c r="B31" s="1321"/>
      <c r="D31" s="1817"/>
    </row>
    <row r="32" spans="2:4" ht="40.5" customHeight="1">
      <c r="B32" s="1321"/>
      <c r="D32" s="1817"/>
    </row>
    <row r="33" spans="2:4" ht="40.5" customHeight="1">
      <c r="B33" s="1321"/>
      <c r="D33" s="1817"/>
    </row>
    <row r="34" spans="2:4">
      <c r="B34" s="131"/>
    </row>
    <row r="35" spans="2:4">
      <c r="B35" s="1325"/>
      <c r="C35" s="1325"/>
      <c r="D35" s="1325"/>
    </row>
  </sheetData>
  <phoneticPr fontId="0" type="noConversion"/>
  <pageMargins left="0.75" right="0.75" top="1" bottom="1" header="0" footer="0"/>
  <pageSetup paperSize="9" orientation="portrait" horizontalDpi="4294967295" verticalDpi="4294967295" r:id="rId1"/>
  <headerFooter alignWithMargins="0"/>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52">
    <tabColor theme="6" tint="-0.499984740745262"/>
    <pageSetUpPr fitToPage="1"/>
  </sheetPr>
  <dimension ref="A1:Q122"/>
  <sheetViews>
    <sheetView showGridLines="0" topLeftCell="F3" zoomScale="55" zoomScaleNormal="55" workbookViewId="0">
      <pane xSplit="1" ySplit="6" topLeftCell="G9" activePane="bottomRight" state="frozen"/>
      <selection activeCell="H11" sqref="H11:XFD11"/>
      <selection pane="topRight" activeCell="H11" sqref="H11:XFD11"/>
      <selection pane="bottomLeft" activeCell="H11" sqref="H11:XFD11"/>
      <selection pane="bottomRight" activeCell="L38" sqref="L38"/>
    </sheetView>
  </sheetViews>
  <sheetFormatPr baseColWidth="10" defaultColWidth="11.42578125" defaultRowHeight="15.75"/>
  <cols>
    <col min="1" max="1" width="5.5703125" style="93" hidden="1" customWidth="1"/>
    <col min="2" max="2" width="18.42578125" style="93" hidden="1" customWidth="1"/>
    <col min="3" max="3" width="20.28515625" style="93" hidden="1" customWidth="1"/>
    <col min="4" max="4" width="24.140625" style="93" hidden="1" customWidth="1"/>
    <col min="5" max="5" width="26.85546875" style="93" hidden="1" customWidth="1"/>
    <col min="6" max="6" width="6.85546875" style="92" customWidth="1"/>
    <col min="7" max="7" width="22" style="45" customWidth="1"/>
    <col min="8" max="8" width="164" style="45" customWidth="1"/>
    <col min="9" max="9" width="35" style="45" customWidth="1"/>
    <col min="10" max="17" width="11.42578125" style="44"/>
    <col min="18" max="16384" width="11.42578125" style="45"/>
  </cols>
  <sheetData>
    <row r="1" spans="1:17" ht="25.5" customHeight="1">
      <c r="A1" s="98"/>
      <c r="B1" s="98"/>
      <c r="C1" s="98"/>
      <c r="D1" s="98"/>
      <c r="E1" s="98"/>
      <c r="F1" s="98"/>
      <c r="G1" s="309" t="s">
        <v>2253</v>
      </c>
      <c r="H1" s="309"/>
      <c r="I1" s="311" t="s">
        <v>2254</v>
      </c>
    </row>
    <row r="2" spans="1:17" ht="25.5" customHeight="1">
      <c r="A2" s="98"/>
      <c r="B2" s="98"/>
      <c r="C2" s="98"/>
      <c r="D2" s="98"/>
      <c r="E2" s="98"/>
      <c r="F2" s="98"/>
      <c r="G2" s="97"/>
      <c r="H2" s="97"/>
      <c r="I2" s="97"/>
    </row>
    <row r="3" spans="1:17" s="97" customFormat="1" ht="17.25" customHeight="1">
      <c r="A3" s="98"/>
      <c r="B3" s="98"/>
      <c r="C3" s="98"/>
      <c r="D3" s="98"/>
      <c r="E3" s="98"/>
      <c r="F3" s="98"/>
      <c r="G3" s="171"/>
      <c r="H3" s="172"/>
      <c r="I3" s="172"/>
    </row>
    <row r="4" spans="1:17" s="97" customFormat="1" ht="35.25">
      <c r="A4" s="98"/>
      <c r="C4" s="98"/>
      <c r="D4" s="98"/>
      <c r="E4" s="98"/>
      <c r="F4" s="98"/>
      <c r="G4" s="2535" t="str">
        <f ca="1">$B$10&amp;"  Inversión directa por país de origen y de destino."</f>
        <v>Tabla VII.2.  Inversión directa por país de origen y de destino.</v>
      </c>
      <c r="H4" s="2535"/>
      <c r="I4" s="2535"/>
    </row>
    <row r="5" spans="1:17" s="97" customFormat="1" ht="35.25">
      <c r="A5" s="98"/>
      <c r="B5" s="98"/>
      <c r="C5" s="98"/>
      <c r="D5" s="98"/>
      <c r="E5" s="98"/>
      <c r="F5" s="98"/>
      <c r="G5" s="162" t="s">
        <v>2834</v>
      </c>
      <c r="H5" s="161"/>
      <c r="I5" s="160"/>
    </row>
    <row r="6" spans="1:17" s="97" customFormat="1" ht="36.75" customHeight="1">
      <c r="A6" s="98"/>
      <c r="B6" s="98"/>
      <c r="C6" s="98"/>
      <c r="D6" s="98"/>
      <c r="E6" s="98"/>
      <c r="F6" s="98"/>
      <c r="G6" s="1236" t="s">
        <v>2420</v>
      </c>
      <c r="H6" s="168"/>
      <c r="I6" s="168"/>
    </row>
    <row r="7" spans="1:17" s="97" customFormat="1" ht="42" customHeight="1">
      <c r="A7" s="98"/>
      <c r="B7" s="98"/>
      <c r="C7" s="98"/>
      <c r="D7" s="98"/>
      <c r="E7" s="98"/>
      <c r="F7" s="98"/>
      <c r="G7" s="2536" t="s">
        <v>2727</v>
      </c>
      <c r="H7" s="2536"/>
      <c r="I7" s="2536"/>
    </row>
    <row r="8" spans="1:17" s="97" customFormat="1" ht="12.75" customHeight="1">
      <c r="A8" s="98"/>
      <c r="C8" s="98"/>
      <c r="D8" s="98"/>
      <c r="E8" s="98"/>
      <c r="F8" s="98"/>
      <c r="G8" s="169"/>
      <c r="H8" s="168"/>
      <c r="I8" s="168"/>
    </row>
    <row r="9" spans="1:17" s="97" customFormat="1" ht="38.25">
      <c r="A9" s="98"/>
      <c r="B9" s="98"/>
      <c r="C9" s="98"/>
      <c r="D9" s="98"/>
      <c r="E9" s="98"/>
      <c r="F9" s="98"/>
      <c r="G9" s="158" t="s">
        <v>2835</v>
      </c>
      <c r="H9" s="160"/>
      <c r="I9" s="160"/>
    </row>
    <row r="10" spans="1:17" s="44" customFormat="1" ht="30" thickBot="1">
      <c r="A10" s="92"/>
      <c r="B10" s="120" t="str">
        <f ca="1">RIGHT(CELL("nombrearchivo",$A$1),LEN(CELL("nombrearchivo",$A$1))-SEARCH("]",CELL("nombrearchivo",$A$1)))</f>
        <v>Tabla VII.2.</v>
      </c>
      <c r="C10" s="92"/>
      <c r="D10" s="92"/>
      <c r="E10" s="92"/>
      <c r="F10" s="92"/>
      <c r="G10" s="177" t="s">
        <v>2729</v>
      </c>
      <c r="H10" s="160"/>
      <c r="I10" s="160"/>
    </row>
    <row r="11" spans="1:17" ht="63.75" thickTop="1">
      <c r="B11" s="2528" t="str">
        <f ca="1">RIGHT(CELL("nombrearchivo",$A$1),LEN(CELL("nombrearchivo",$A$1))-SEARCH("]",CELL("nombrearchivo",$A$1)))</f>
        <v>Tabla VII.2.</v>
      </c>
      <c r="C11" s="2529"/>
      <c r="D11" s="2529"/>
      <c r="E11" s="2530"/>
      <c r="G11" s="288"/>
      <c r="H11" s="289"/>
      <c r="I11" s="159" t="s">
        <v>2836</v>
      </c>
      <c r="J11" s="91"/>
      <c r="K11" s="91"/>
      <c r="L11" s="91"/>
      <c r="M11" s="91"/>
      <c r="N11" s="91"/>
      <c r="O11" s="91"/>
      <c r="P11" s="91"/>
      <c r="Q11" s="91"/>
    </row>
    <row r="12" spans="1:17" ht="56.25" customHeight="1" thickBot="1">
      <c r="B12" s="2531"/>
      <c r="C12" s="2532"/>
      <c r="D12" s="2532"/>
      <c r="E12" s="2533"/>
      <c r="G12" s="237"/>
      <c r="H12" s="290"/>
      <c r="I12" s="151" t="str">
        <f>CONCATENATE("SALDO A FINES DE"," ",Menu!$E$3," ",Menu!$C$3)</f>
        <v>SALDO A FINES DE SETIEMBRE 2025</v>
      </c>
      <c r="J12" s="91"/>
      <c r="K12" s="91"/>
      <c r="L12" s="91"/>
      <c r="M12" s="91"/>
      <c r="N12" s="91"/>
      <c r="O12" s="91"/>
      <c r="P12" s="91"/>
      <c r="Q12" s="91"/>
    </row>
    <row r="13" spans="1:17" s="47" customFormat="1" ht="27.75" customHeight="1" thickBot="1">
      <c r="A13" s="232"/>
      <c r="B13" s="124" t="s">
        <v>2730</v>
      </c>
      <c r="C13" s="122" t="s">
        <v>2731</v>
      </c>
      <c r="D13" s="295" t="s">
        <v>2732</v>
      </c>
      <c r="E13" s="99" t="s">
        <v>2733</v>
      </c>
      <c r="F13" s="109"/>
      <c r="G13" s="279" t="s">
        <v>2734</v>
      </c>
      <c r="H13" s="291" t="s">
        <v>2735</v>
      </c>
      <c r="I13" s="294" t="s">
        <v>2591</v>
      </c>
      <c r="J13" s="90"/>
      <c r="K13" s="90"/>
      <c r="L13" s="90"/>
      <c r="M13" s="90"/>
      <c r="N13" s="90"/>
      <c r="O13" s="90"/>
      <c r="P13" s="90"/>
      <c r="Q13" s="90"/>
    </row>
    <row r="14" spans="1:17" s="47" customFormat="1" ht="27.75" customHeight="1" thickTop="1" thickBot="1">
      <c r="A14" s="232">
        <f>+'Tabla VII.1.'!A119</f>
        <v>95</v>
      </c>
      <c r="B14" s="129"/>
      <c r="C14" s="281" t="s">
        <v>2203</v>
      </c>
      <c r="D14" s="298" t="str">
        <f>'Tabla II.'!F13</f>
        <v>01.01.</v>
      </c>
      <c r="E14" s="286" t="s">
        <v>2736</v>
      </c>
      <c r="F14" s="109"/>
      <c r="G14" s="260" t="str">
        <f>+C14</f>
        <v>02.01.01.</v>
      </c>
      <c r="H14" s="233" t="str">
        <f>"1. EMITIDOS POR SUS INVERSIONISTAS DIRECTOS NO RESIDENTES (inversión en sentido contrario) "&amp;$E$63&amp;"/"</f>
        <v>1. EMITIDOS POR SUS INVERSIONISTAS DIRECTOS NO RESIDENTES (inversión en sentido contrario) 1/</v>
      </c>
      <c r="I14" s="396">
        <f>+'Tabla II.'!L13</f>
        <v>0</v>
      </c>
      <c r="J14" s="411"/>
      <c r="K14" s="90"/>
      <c r="L14" s="90"/>
      <c r="M14" s="90"/>
      <c r="N14" s="90"/>
      <c r="O14" s="90"/>
      <c r="P14" s="90"/>
      <c r="Q14" s="90"/>
    </row>
    <row r="15" spans="1:17" s="47" customFormat="1" ht="27.75" customHeight="1" thickTop="1">
      <c r="A15" s="232">
        <f>+A14+1</f>
        <v>96</v>
      </c>
      <c r="B15" s="126"/>
      <c r="C15" s="280" t="s">
        <v>2837</v>
      </c>
      <c r="D15" s="296"/>
      <c r="E15" s="123"/>
      <c r="F15" s="109"/>
      <c r="G15" s="292" t="str">
        <f t="shared" ref="G15:G61" si="0">+C15</f>
        <v>02.01.01.01.</v>
      </c>
      <c r="H15" s="1203" t="s">
        <v>2189</v>
      </c>
      <c r="I15" s="393"/>
      <c r="J15" s="411"/>
      <c r="K15" s="90"/>
      <c r="L15" s="90"/>
      <c r="M15" s="90"/>
      <c r="N15" s="90"/>
      <c r="O15" s="90"/>
      <c r="P15" s="90"/>
      <c r="Q15" s="90"/>
    </row>
    <row r="16" spans="1:17" s="47" customFormat="1" ht="27.75" customHeight="1">
      <c r="A16" s="232"/>
      <c r="B16" s="126"/>
      <c r="C16" s="280" t="s">
        <v>2838</v>
      </c>
      <c r="D16" s="296"/>
      <c r="E16" s="123"/>
      <c r="F16" s="109"/>
      <c r="G16" s="292" t="str">
        <f t="shared" si="0"/>
        <v>02.01.01.02.</v>
      </c>
      <c r="H16" s="1203" t="s">
        <v>2189</v>
      </c>
      <c r="I16" s="393"/>
      <c r="J16" s="411"/>
      <c r="K16" s="90"/>
      <c r="L16" s="90"/>
      <c r="M16" s="90"/>
      <c r="N16" s="90"/>
      <c r="O16" s="90"/>
      <c r="P16" s="90"/>
      <c r="Q16" s="90"/>
    </row>
    <row r="17" spans="1:17" s="47" customFormat="1" ht="27.75" customHeight="1">
      <c r="A17" s="232"/>
      <c r="B17" s="126"/>
      <c r="C17" s="280" t="s">
        <v>2839</v>
      </c>
      <c r="D17" s="296"/>
      <c r="E17" s="123"/>
      <c r="F17" s="109"/>
      <c r="G17" s="292" t="str">
        <f t="shared" si="0"/>
        <v>02.01.01.03.</v>
      </c>
      <c r="H17" s="1203" t="s">
        <v>2189</v>
      </c>
      <c r="I17" s="393"/>
      <c r="J17" s="411"/>
      <c r="K17" s="90"/>
      <c r="L17" s="90"/>
      <c r="M17" s="90"/>
      <c r="N17" s="90"/>
      <c r="O17" s="90"/>
      <c r="P17" s="90"/>
      <c r="Q17" s="90"/>
    </row>
    <row r="18" spans="1:17" s="47" customFormat="1" ht="27.75" customHeight="1">
      <c r="A18" s="232"/>
      <c r="B18" s="126"/>
      <c r="C18" s="280" t="s">
        <v>2840</v>
      </c>
      <c r="D18" s="296"/>
      <c r="E18" s="123"/>
      <c r="F18" s="109"/>
      <c r="G18" s="292" t="str">
        <f t="shared" si="0"/>
        <v>02.01.01.04.</v>
      </c>
      <c r="H18" s="1203" t="s">
        <v>2189</v>
      </c>
      <c r="I18" s="393"/>
      <c r="J18" s="411"/>
      <c r="K18" s="90"/>
      <c r="L18" s="90"/>
      <c r="M18" s="90"/>
      <c r="N18" s="90"/>
      <c r="O18" s="90"/>
      <c r="P18" s="90"/>
      <c r="Q18" s="90"/>
    </row>
    <row r="19" spans="1:17" s="47" customFormat="1" ht="27.75" customHeight="1">
      <c r="A19" s="232"/>
      <c r="B19" s="126"/>
      <c r="C19" s="280" t="s">
        <v>2841</v>
      </c>
      <c r="D19" s="296"/>
      <c r="E19" s="123"/>
      <c r="F19" s="109"/>
      <c r="G19" s="292" t="str">
        <f t="shared" si="0"/>
        <v>02.01.01.05.</v>
      </c>
      <c r="H19" s="1203" t="s">
        <v>2189</v>
      </c>
      <c r="I19" s="393"/>
      <c r="J19" s="411"/>
      <c r="K19" s="90"/>
      <c r="L19" s="90"/>
      <c r="M19" s="90"/>
      <c r="N19" s="90"/>
      <c r="O19" s="90"/>
      <c r="P19" s="90"/>
      <c r="Q19" s="90"/>
    </row>
    <row r="20" spans="1:17" s="47" customFormat="1" ht="27.75" customHeight="1">
      <c r="A20" s="232"/>
      <c r="B20" s="126"/>
      <c r="C20" s="280" t="s">
        <v>2842</v>
      </c>
      <c r="D20" s="296"/>
      <c r="E20" s="123"/>
      <c r="F20" s="109"/>
      <c r="G20" s="292" t="str">
        <f t="shared" si="0"/>
        <v>02.01.01.06.</v>
      </c>
      <c r="H20" s="1203" t="s">
        <v>2189</v>
      </c>
      <c r="I20" s="393"/>
      <c r="J20" s="411"/>
      <c r="K20" s="90"/>
      <c r="L20" s="90"/>
      <c r="M20" s="90"/>
      <c r="N20" s="90"/>
      <c r="O20" s="90"/>
      <c r="P20" s="90"/>
      <c r="Q20" s="90"/>
    </row>
    <row r="21" spans="1:17" s="47" customFormat="1" ht="27.75" customHeight="1">
      <c r="A21" s="232"/>
      <c r="B21" s="126"/>
      <c r="C21" s="280" t="s">
        <v>2843</v>
      </c>
      <c r="D21" s="296"/>
      <c r="E21" s="123"/>
      <c r="F21" s="109"/>
      <c r="G21" s="292" t="str">
        <f t="shared" si="0"/>
        <v>02.01.01.07.</v>
      </c>
      <c r="H21" s="1203" t="s">
        <v>2189</v>
      </c>
      <c r="I21" s="393"/>
      <c r="J21" s="411"/>
      <c r="K21" s="90"/>
      <c r="L21" s="90"/>
      <c r="M21" s="90"/>
      <c r="N21" s="90"/>
      <c r="O21" s="90"/>
      <c r="P21" s="90"/>
      <c r="Q21" s="90"/>
    </row>
    <row r="22" spans="1:17" s="47" customFormat="1" ht="27.75" customHeight="1">
      <c r="A22" s="232"/>
      <c r="B22" s="126"/>
      <c r="C22" s="280" t="s">
        <v>2844</v>
      </c>
      <c r="D22" s="296"/>
      <c r="E22" s="123"/>
      <c r="F22" s="109"/>
      <c r="G22" s="292" t="str">
        <f t="shared" si="0"/>
        <v>02.01.01.08.</v>
      </c>
      <c r="H22" s="1203" t="s">
        <v>2189</v>
      </c>
      <c r="I22" s="393"/>
      <c r="J22" s="411"/>
      <c r="K22" s="90"/>
      <c r="L22" s="90"/>
      <c r="M22" s="90"/>
      <c r="N22" s="90"/>
      <c r="O22" s="90"/>
      <c r="P22" s="90"/>
      <c r="Q22" s="90"/>
    </row>
    <row r="23" spans="1:17" s="47" customFormat="1" ht="27.75" customHeight="1">
      <c r="A23" s="232"/>
      <c r="B23" s="126"/>
      <c r="C23" s="280" t="s">
        <v>2845</v>
      </c>
      <c r="D23" s="296"/>
      <c r="E23" s="123"/>
      <c r="F23" s="109"/>
      <c r="G23" s="292" t="str">
        <f t="shared" si="0"/>
        <v>02.01.01.09.</v>
      </c>
      <c r="H23" s="1203" t="s">
        <v>2189</v>
      </c>
      <c r="I23" s="393"/>
      <c r="J23" s="411"/>
      <c r="K23" s="90"/>
      <c r="L23" s="90"/>
      <c r="M23" s="90"/>
      <c r="N23" s="90"/>
      <c r="O23" s="90"/>
      <c r="P23" s="90"/>
      <c r="Q23" s="90"/>
    </row>
    <row r="24" spans="1:17" s="47" customFormat="1" ht="27.75" customHeight="1">
      <c r="A24" s="232"/>
      <c r="B24" s="126"/>
      <c r="C24" s="280" t="s">
        <v>2846</v>
      </c>
      <c r="D24" s="296"/>
      <c r="E24" s="123"/>
      <c r="F24" s="109"/>
      <c r="G24" s="293" t="str">
        <f t="shared" si="0"/>
        <v>02.01.01.10.</v>
      </c>
      <c r="H24" s="1203" t="s">
        <v>2189</v>
      </c>
      <c r="I24" s="393"/>
      <c r="J24" s="411"/>
      <c r="K24" s="90"/>
      <c r="L24" s="90"/>
      <c r="M24" s="90"/>
      <c r="N24" s="90"/>
      <c r="O24" s="90"/>
      <c r="P24" s="90"/>
      <c r="Q24" s="90"/>
    </row>
    <row r="25" spans="1:17" s="47" customFormat="1" ht="27.75" customHeight="1" thickBot="1">
      <c r="A25" s="232"/>
      <c r="B25" s="127"/>
      <c r="C25" s="280" t="s">
        <v>2847</v>
      </c>
      <c r="D25" s="297"/>
      <c r="E25" s="121"/>
      <c r="F25" s="109"/>
      <c r="G25" s="1774" t="str">
        <f t="shared" si="0"/>
        <v>02.01.01.11.</v>
      </c>
      <c r="H25" s="395" t="s">
        <v>2748</v>
      </c>
      <c r="I25" s="397">
        <f>+I14-SUM(I15:I24)</f>
        <v>0</v>
      </c>
      <c r="J25" s="411"/>
      <c r="K25" s="90"/>
      <c r="L25" s="90"/>
      <c r="M25" s="90"/>
      <c r="N25" s="90"/>
      <c r="O25" s="90"/>
      <c r="P25" s="90"/>
      <c r="Q25" s="90"/>
    </row>
    <row r="26" spans="1:17" s="47" customFormat="1" ht="27.75" customHeight="1" thickTop="1" thickBot="1">
      <c r="A26" s="232"/>
      <c r="B26" s="125"/>
      <c r="C26" s="282" t="s">
        <v>2204</v>
      </c>
      <c r="D26" s="299" t="str">
        <f>'Tabla II.'!F16</f>
        <v>01.02.</v>
      </c>
      <c r="E26" s="284" t="s">
        <v>2749</v>
      </c>
      <c r="F26" s="109"/>
      <c r="G26" s="260" t="str">
        <f t="shared" si="0"/>
        <v>02.01.02.</v>
      </c>
      <c r="H26" s="234" t="str">
        <f>"2. EMITIDOS POR SUS EMPRESAS DE INVERSIÓN DIRECTA NO RESIDENTES (p.ej. subsidiarias de la empresa declarante) "&amp;$E$63&amp;"/"</f>
        <v>2. EMITIDOS POR SUS EMPRESAS DE INVERSIÓN DIRECTA NO RESIDENTES (p.ej. subsidiarias de la empresa declarante) 1/</v>
      </c>
      <c r="I26" s="396">
        <f>+'Tabla II.'!L16</f>
        <v>0</v>
      </c>
      <c r="J26" s="411"/>
      <c r="K26" s="90"/>
      <c r="L26" s="90"/>
      <c r="M26" s="90"/>
      <c r="N26" s="90"/>
      <c r="O26" s="90"/>
      <c r="P26" s="90"/>
      <c r="Q26" s="90"/>
    </row>
    <row r="27" spans="1:17" s="47" customFormat="1" ht="27.75" customHeight="1" thickTop="1">
      <c r="A27" s="232"/>
      <c r="B27" s="126"/>
      <c r="C27" s="280" t="s">
        <v>2848</v>
      </c>
      <c r="D27" s="296"/>
      <c r="E27" s="123"/>
      <c r="F27" s="109"/>
      <c r="G27" s="292" t="str">
        <f t="shared" si="0"/>
        <v>02.01.02.01.</v>
      </c>
      <c r="H27" s="1203" t="s">
        <v>2189</v>
      </c>
      <c r="I27" s="393"/>
      <c r="J27" s="411"/>
      <c r="K27" s="90"/>
      <c r="L27" s="90"/>
      <c r="M27" s="90"/>
      <c r="N27" s="90"/>
      <c r="O27" s="90"/>
      <c r="P27" s="90"/>
      <c r="Q27" s="90"/>
    </row>
    <row r="28" spans="1:17" s="47" customFormat="1" ht="27.75" customHeight="1">
      <c r="A28" s="232"/>
      <c r="B28" s="126"/>
      <c r="C28" s="280" t="s">
        <v>2849</v>
      </c>
      <c r="D28" s="296"/>
      <c r="E28" s="123"/>
      <c r="F28" s="109"/>
      <c r="G28" s="292" t="str">
        <f t="shared" si="0"/>
        <v>02.01.02.02.</v>
      </c>
      <c r="H28" s="1203" t="s">
        <v>2189</v>
      </c>
      <c r="I28" s="393"/>
      <c r="J28" s="411"/>
      <c r="K28" s="90"/>
      <c r="L28" s="90"/>
      <c r="M28" s="90"/>
      <c r="N28" s="90"/>
      <c r="O28" s="90"/>
      <c r="P28" s="90"/>
      <c r="Q28" s="90"/>
    </row>
    <row r="29" spans="1:17" s="47" customFormat="1" ht="27.75" customHeight="1">
      <c r="A29" s="232"/>
      <c r="B29" s="126"/>
      <c r="C29" s="280" t="s">
        <v>2850</v>
      </c>
      <c r="D29" s="296"/>
      <c r="E29" s="123"/>
      <c r="F29" s="109"/>
      <c r="G29" s="292" t="str">
        <f t="shared" si="0"/>
        <v>02.01.02.03.</v>
      </c>
      <c r="H29" s="1203" t="s">
        <v>2189</v>
      </c>
      <c r="I29" s="393"/>
      <c r="J29" s="411"/>
      <c r="K29" s="90"/>
      <c r="L29" s="90"/>
      <c r="M29" s="90"/>
      <c r="N29" s="90"/>
      <c r="O29" s="90"/>
      <c r="P29" s="90"/>
      <c r="Q29" s="90"/>
    </row>
    <row r="30" spans="1:17" s="47" customFormat="1" ht="27.75" customHeight="1">
      <c r="A30" s="232"/>
      <c r="B30" s="126"/>
      <c r="C30" s="280" t="s">
        <v>2851</v>
      </c>
      <c r="D30" s="296"/>
      <c r="E30" s="123"/>
      <c r="F30" s="109"/>
      <c r="G30" s="292" t="str">
        <f t="shared" si="0"/>
        <v>02.01.02.04.</v>
      </c>
      <c r="H30" s="1203" t="s">
        <v>2189</v>
      </c>
      <c r="I30" s="393"/>
      <c r="J30" s="411"/>
      <c r="K30" s="90"/>
      <c r="L30" s="90"/>
      <c r="M30" s="90"/>
      <c r="N30" s="90"/>
      <c r="O30" s="90"/>
      <c r="P30" s="90"/>
      <c r="Q30" s="90"/>
    </row>
    <row r="31" spans="1:17" s="47" customFormat="1" ht="27.75" customHeight="1">
      <c r="A31" s="232"/>
      <c r="B31" s="126"/>
      <c r="C31" s="280" t="s">
        <v>2852</v>
      </c>
      <c r="D31" s="296"/>
      <c r="E31" s="123"/>
      <c r="F31" s="109"/>
      <c r="G31" s="292" t="str">
        <f t="shared" si="0"/>
        <v>02.01.02.05.</v>
      </c>
      <c r="H31" s="1203" t="s">
        <v>2189</v>
      </c>
      <c r="I31" s="393"/>
      <c r="J31" s="411"/>
      <c r="K31" s="90"/>
      <c r="L31" s="90"/>
      <c r="M31" s="90"/>
      <c r="N31" s="90"/>
      <c r="O31" s="90"/>
      <c r="P31" s="90"/>
      <c r="Q31" s="90"/>
    </row>
    <row r="32" spans="1:17" s="47" customFormat="1" ht="27.75" customHeight="1">
      <c r="A32" s="232"/>
      <c r="B32" s="126"/>
      <c r="C32" s="280" t="s">
        <v>2853</v>
      </c>
      <c r="D32" s="296"/>
      <c r="E32" s="123"/>
      <c r="F32" s="109"/>
      <c r="G32" s="292" t="str">
        <f t="shared" si="0"/>
        <v>02.01.02.06.</v>
      </c>
      <c r="H32" s="1203" t="s">
        <v>2189</v>
      </c>
      <c r="I32" s="393"/>
      <c r="J32" s="411"/>
      <c r="K32" s="90"/>
      <c r="L32" s="90"/>
      <c r="M32" s="90"/>
      <c r="N32" s="90"/>
      <c r="O32" s="90"/>
      <c r="P32" s="90"/>
      <c r="Q32" s="90"/>
    </row>
    <row r="33" spans="1:17" s="47" customFormat="1" ht="27.75" customHeight="1">
      <c r="A33" s="232"/>
      <c r="B33" s="126"/>
      <c r="C33" s="280" t="s">
        <v>2854</v>
      </c>
      <c r="D33" s="296"/>
      <c r="E33" s="123"/>
      <c r="F33" s="109"/>
      <c r="G33" s="292" t="str">
        <f t="shared" si="0"/>
        <v>02.01.02.07.</v>
      </c>
      <c r="H33" s="1203" t="s">
        <v>2189</v>
      </c>
      <c r="I33" s="393"/>
      <c r="J33" s="411"/>
      <c r="K33" s="90"/>
      <c r="L33" s="90"/>
      <c r="M33" s="90"/>
      <c r="N33" s="90"/>
      <c r="O33" s="90"/>
      <c r="P33" s="90"/>
      <c r="Q33" s="90"/>
    </row>
    <row r="34" spans="1:17" s="47" customFormat="1" ht="27.75" customHeight="1">
      <c r="A34" s="232"/>
      <c r="B34" s="126"/>
      <c r="C34" s="280" t="s">
        <v>2855</v>
      </c>
      <c r="D34" s="296"/>
      <c r="E34" s="123"/>
      <c r="F34" s="109"/>
      <c r="G34" s="292" t="str">
        <f t="shared" si="0"/>
        <v>02.01.02.08.</v>
      </c>
      <c r="H34" s="1203" t="s">
        <v>2189</v>
      </c>
      <c r="I34" s="393"/>
      <c r="J34" s="411"/>
      <c r="K34" s="90"/>
      <c r="L34" s="90"/>
      <c r="M34" s="90"/>
      <c r="N34" s="90"/>
      <c r="O34" s="90"/>
      <c r="P34" s="90"/>
      <c r="Q34" s="90"/>
    </row>
    <row r="35" spans="1:17" s="47" customFormat="1" ht="27.75" customHeight="1">
      <c r="A35" s="232"/>
      <c r="B35" s="126"/>
      <c r="C35" s="280" t="s">
        <v>2856</v>
      </c>
      <c r="D35" s="296"/>
      <c r="E35" s="123"/>
      <c r="F35" s="109"/>
      <c r="G35" s="292" t="str">
        <f t="shared" si="0"/>
        <v>02.01.02.09.</v>
      </c>
      <c r="H35" s="1203" t="s">
        <v>2189</v>
      </c>
      <c r="I35" s="393"/>
      <c r="J35" s="411"/>
      <c r="K35" s="90"/>
      <c r="L35" s="90"/>
      <c r="M35" s="90"/>
      <c r="N35" s="90"/>
      <c r="O35" s="90"/>
      <c r="P35" s="90"/>
      <c r="Q35" s="90"/>
    </row>
    <row r="36" spans="1:17" s="47" customFormat="1" ht="27.75" customHeight="1">
      <c r="A36" s="232"/>
      <c r="B36" s="126"/>
      <c r="C36" s="280" t="s">
        <v>2857</v>
      </c>
      <c r="D36" s="296"/>
      <c r="E36" s="123"/>
      <c r="F36" s="109"/>
      <c r="G36" s="292" t="str">
        <f t="shared" si="0"/>
        <v>02.01.02.10.</v>
      </c>
      <c r="H36" s="1203" t="s">
        <v>2189</v>
      </c>
      <c r="I36" s="1765"/>
      <c r="J36" s="411"/>
      <c r="K36" s="90"/>
      <c r="L36" s="90"/>
      <c r="M36" s="90"/>
      <c r="N36" s="90"/>
      <c r="O36" s="90"/>
      <c r="P36" s="90"/>
      <c r="Q36" s="90"/>
    </row>
    <row r="37" spans="1:17" s="47" customFormat="1" ht="27.75" customHeight="1" thickBot="1">
      <c r="A37" s="232"/>
      <c r="B37" s="127"/>
      <c r="C37" s="280" t="s">
        <v>2858</v>
      </c>
      <c r="D37" s="297"/>
      <c r="E37" s="121"/>
      <c r="F37" s="109"/>
      <c r="G37" s="1774" t="str">
        <f t="shared" si="0"/>
        <v>02.01.02.11.</v>
      </c>
      <c r="H37" s="395" t="s">
        <v>2748</v>
      </c>
      <c r="I37" s="397">
        <f>+I26-SUM(I27:I36)</f>
        <v>0</v>
      </c>
      <c r="J37" s="411"/>
      <c r="K37" s="90"/>
      <c r="L37" s="90"/>
      <c r="M37" s="90"/>
      <c r="N37" s="90"/>
      <c r="O37" s="90"/>
      <c r="P37" s="90"/>
      <c r="Q37" s="90"/>
    </row>
    <row r="38" spans="1:17" s="47" customFormat="1" ht="27.75" customHeight="1" thickTop="1" thickBot="1">
      <c r="A38" s="232"/>
      <c r="B38" s="125" t="s">
        <v>2761</v>
      </c>
      <c r="C38" s="282" t="s">
        <v>2205</v>
      </c>
      <c r="D38" s="299" t="str">
        <f>'Tabla II.'!F19</f>
        <v>01.03.</v>
      </c>
      <c r="E38" s="284" t="s">
        <v>2749</v>
      </c>
      <c r="F38" s="109"/>
      <c r="G38" s="260" t="str">
        <f t="shared" si="0"/>
        <v>02.01.03.</v>
      </c>
      <c r="H38" s="234" t="str">
        <f>"3.  EMITIDOS POR EMPRESAS EMPARENTADAS: SI EL INVERSIONISTA DIRECTO QUE EJERCE EL CONTROL FINAL DE LA ED ES NO RESIDENTE  "&amp;$E$63&amp;"/"</f>
        <v>3.  EMITIDOS POR EMPRESAS EMPARENTADAS: SI EL INVERSIONISTA DIRECTO QUE EJERCE EL CONTROL FINAL DE LA ED ES NO RESIDENTE  1/</v>
      </c>
      <c r="I38" s="396">
        <f>+'Tabla II.'!L19</f>
        <v>0</v>
      </c>
      <c r="J38" s="411"/>
      <c r="K38" s="90"/>
      <c r="L38" s="90"/>
      <c r="M38" s="90"/>
      <c r="N38" s="90"/>
      <c r="O38" s="90"/>
      <c r="P38" s="90"/>
      <c r="Q38" s="90"/>
    </row>
    <row r="39" spans="1:17" s="47" customFormat="1" ht="27.75" customHeight="1" thickTop="1">
      <c r="A39" s="232"/>
      <c r="B39" s="126"/>
      <c r="C39" s="280" t="s">
        <v>2859</v>
      </c>
      <c r="D39" s="296"/>
      <c r="E39" s="123"/>
      <c r="F39" s="109"/>
      <c r="G39" s="292" t="str">
        <f t="shared" si="0"/>
        <v>02.01.03.01.</v>
      </c>
      <c r="H39" s="1204" t="s">
        <v>2189</v>
      </c>
      <c r="I39" s="393"/>
      <c r="J39" s="411"/>
      <c r="K39" s="90"/>
      <c r="L39" s="90"/>
      <c r="M39" s="90"/>
      <c r="N39" s="90"/>
      <c r="O39" s="90"/>
      <c r="P39" s="90"/>
      <c r="Q39" s="90"/>
    </row>
    <row r="40" spans="1:17" s="47" customFormat="1" ht="27.75" customHeight="1">
      <c r="A40" s="232"/>
      <c r="B40" s="126"/>
      <c r="C40" s="280" t="s">
        <v>2860</v>
      </c>
      <c r="D40" s="296"/>
      <c r="E40" s="123"/>
      <c r="F40" s="109"/>
      <c r="G40" s="292" t="str">
        <f t="shared" si="0"/>
        <v>02.01.03.02.</v>
      </c>
      <c r="H40" s="1204" t="s">
        <v>2189</v>
      </c>
      <c r="I40" s="393"/>
      <c r="J40" s="411"/>
      <c r="K40" s="90"/>
      <c r="L40" s="90"/>
      <c r="M40" s="90"/>
      <c r="N40" s="90"/>
      <c r="O40" s="90"/>
      <c r="P40" s="90"/>
      <c r="Q40" s="90"/>
    </row>
    <row r="41" spans="1:17" s="47" customFormat="1" ht="27.75" customHeight="1">
      <c r="A41" s="232"/>
      <c r="B41" s="126"/>
      <c r="C41" s="280" t="s">
        <v>2861</v>
      </c>
      <c r="D41" s="296"/>
      <c r="E41" s="123"/>
      <c r="F41" s="109"/>
      <c r="G41" s="292" t="str">
        <f t="shared" si="0"/>
        <v>02.01.03.03.</v>
      </c>
      <c r="H41" s="1204" t="s">
        <v>2189</v>
      </c>
      <c r="I41" s="393"/>
      <c r="J41" s="411"/>
      <c r="K41" s="90"/>
      <c r="L41" s="90"/>
      <c r="M41" s="90"/>
      <c r="N41" s="90"/>
      <c r="O41" s="90"/>
      <c r="P41" s="90"/>
      <c r="Q41" s="90"/>
    </row>
    <row r="42" spans="1:17" s="47" customFormat="1" ht="27.75" customHeight="1">
      <c r="A42" s="232"/>
      <c r="B42" s="126"/>
      <c r="C42" s="280" t="s">
        <v>2862</v>
      </c>
      <c r="D42" s="296"/>
      <c r="E42" s="123"/>
      <c r="F42" s="109"/>
      <c r="G42" s="292" t="str">
        <f t="shared" si="0"/>
        <v>02.01.03.04.</v>
      </c>
      <c r="H42" s="1204" t="s">
        <v>2189</v>
      </c>
      <c r="I42" s="393"/>
      <c r="J42" s="411"/>
      <c r="K42" s="90"/>
      <c r="L42" s="90"/>
      <c r="M42" s="90"/>
      <c r="N42" s="90"/>
      <c r="O42" s="90"/>
      <c r="P42" s="90"/>
      <c r="Q42" s="90"/>
    </row>
    <row r="43" spans="1:17" s="47" customFormat="1" ht="27.75" customHeight="1">
      <c r="A43" s="232"/>
      <c r="B43" s="126"/>
      <c r="C43" s="280" t="s">
        <v>2863</v>
      </c>
      <c r="D43" s="296"/>
      <c r="E43" s="123"/>
      <c r="F43" s="109"/>
      <c r="G43" s="292" t="str">
        <f t="shared" si="0"/>
        <v>02.01.03.05.</v>
      </c>
      <c r="H43" s="1204" t="s">
        <v>2189</v>
      </c>
      <c r="I43" s="393"/>
      <c r="J43" s="411"/>
      <c r="K43" s="90"/>
      <c r="L43" s="90"/>
      <c r="M43" s="90"/>
      <c r="N43" s="90"/>
      <c r="O43" s="90"/>
      <c r="P43" s="90"/>
      <c r="Q43" s="90"/>
    </row>
    <row r="44" spans="1:17" s="47" customFormat="1" ht="27.75" customHeight="1">
      <c r="A44" s="232"/>
      <c r="B44" s="126"/>
      <c r="C44" s="280" t="s">
        <v>2864</v>
      </c>
      <c r="D44" s="296"/>
      <c r="E44" s="123"/>
      <c r="F44" s="109"/>
      <c r="G44" s="292" t="str">
        <f t="shared" si="0"/>
        <v>02.01.03.06.</v>
      </c>
      <c r="H44" s="1204" t="s">
        <v>2189</v>
      </c>
      <c r="I44" s="393"/>
      <c r="J44" s="411"/>
      <c r="K44" s="90"/>
      <c r="L44" s="90"/>
      <c r="M44" s="90"/>
      <c r="N44" s="90"/>
      <c r="O44" s="90"/>
      <c r="P44" s="90"/>
      <c r="Q44" s="90"/>
    </row>
    <row r="45" spans="1:17" s="47" customFormat="1" ht="27.75" customHeight="1">
      <c r="A45" s="232"/>
      <c r="B45" s="126"/>
      <c r="C45" s="280" t="s">
        <v>2865</v>
      </c>
      <c r="D45" s="296"/>
      <c r="E45" s="123"/>
      <c r="F45" s="109"/>
      <c r="G45" s="292" t="str">
        <f t="shared" si="0"/>
        <v>02.01.03.07.</v>
      </c>
      <c r="H45" s="1204" t="s">
        <v>2189</v>
      </c>
      <c r="I45" s="393"/>
      <c r="J45" s="411"/>
      <c r="K45" s="90"/>
      <c r="L45" s="90"/>
      <c r="M45" s="90"/>
      <c r="N45" s="90"/>
      <c r="O45" s="90"/>
      <c r="P45" s="90"/>
      <c r="Q45" s="90"/>
    </row>
    <row r="46" spans="1:17" s="47" customFormat="1" ht="27.75" customHeight="1">
      <c r="A46" s="232"/>
      <c r="B46" s="126"/>
      <c r="C46" s="280" t="s">
        <v>2866</v>
      </c>
      <c r="D46" s="296"/>
      <c r="E46" s="123"/>
      <c r="F46" s="109"/>
      <c r="G46" s="292" t="str">
        <f t="shared" si="0"/>
        <v>02.01.03.08.</v>
      </c>
      <c r="H46" s="1204" t="s">
        <v>2189</v>
      </c>
      <c r="I46" s="393"/>
      <c r="J46" s="411"/>
      <c r="K46" s="90"/>
      <c r="L46" s="90"/>
      <c r="M46" s="90"/>
      <c r="N46" s="90"/>
      <c r="O46" s="90"/>
      <c r="P46" s="90"/>
      <c r="Q46" s="90"/>
    </row>
    <row r="47" spans="1:17" s="47" customFormat="1" ht="27.75" customHeight="1">
      <c r="A47" s="232"/>
      <c r="B47" s="126"/>
      <c r="C47" s="280" t="s">
        <v>2867</v>
      </c>
      <c r="D47" s="296"/>
      <c r="E47" s="123"/>
      <c r="F47" s="109"/>
      <c r="G47" s="292" t="str">
        <f t="shared" si="0"/>
        <v>02.01.03.09.</v>
      </c>
      <c r="H47" s="1204" t="s">
        <v>2189</v>
      </c>
      <c r="I47" s="393"/>
      <c r="J47" s="411"/>
      <c r="K47" s="90"/>
      <c r="L47" s="90"/>
      <c r="M47" s="90"/>
      <c r="N47" s="90"/>
      <c r="O47" s="90"/>
      <c r="P47" s="90"/>
      <c r="Q47" s="90"/>
    </row>
    <row r="48" spans="1:17" s="47" customFormat="1" ht="27.75" customHeight="1">
      <c r="A48" s="232"/>
      <c r="B48" s="126"/>
      <c r="C48" s="280" t="s">
        <v>2868</v>
      </c>
      <c r="D48" s="296"/>
      <c r="E48" s="123"/>
      <c r="F48" s="109"/>
      <c r="G48" s="293" t="str">
        <f t="shared" si="0"/>
        <v>02.01.03.10.</v>
      </c>
      <c r="H48" s="1204" t="s">
        <v>2189</v>
      </c>
      <c r="I48" s="1765"/>
      <c r="J48" s="411"/>
      <c r="K48" s="90"/>
      <c r="L48" s="90"/>
      <c r="M48" s="90"/>
      <c r="N48" s="90"/>
      <c r="O48" s="90"/>
      <c r="P48" s="90"/>
      <c r="Q48" s="90"/>
    </row>
    <row r="49" spans="1:17" s="47" customFormat="1" ht="27.75" customHeight="1" thickBot="1">
      <c r="A49" s="232"/>
      <c r="B49" s="127"/>
      <c r="C49" s="280" t="s">
        <v>2869</v>
      </c>
      <c r="D49" s="297"/>
      <c r="E49" s="121"/>
      <c r="F49" s="109"/>
      <c r="G49" s="1774" t="str">
        <f t="shared" si="0"/>
        <v>02.01.03.11.</v>
      </c>
      <c r="H49" s="395" t="s">
        <v>2748</v>
      </c>
      <c r="I49" s="397">
        <f>+I38-SUM(I39:I48)</f>
        <v>0</v>
      </c>
      <c r="J49" s="411"/>
      <c r="K49" s="90"/>
      <c r="L49" s="90"/>
      <c r="M49" s="90"/>
      <c r="N49" s="90"/>
      <c r="O49" s="90"/>
      <c r="P49" s="90"/>
      <c r="Q49" s="90"/>
    </row>
    <row r="50" spans="1:17" s="47" customFormat="1" ht="27.75" customHeight="1" thickTop="1" thickBot="1">
      <c r="A50" s="232"/>
      <c r="B50" s="125" t="s">
        <v>2452</v>
      </c>
      <c r="C50" s="282" t="s">
        <v>2206</v>
      </c>
      <c r="D50" s="299" t="str">
        <f>'Tabla II.'!F22</f>
        <v>01.04.</v>
      </c>
      <c r="E50" s="284" t="s">
        <v>2736</v>
      </c>
      <c r="F50" s="109"/>
      <c r="G50" s="260" t="str">
        <f t="shared" si="0"/>
        <v>02.01.04.</v>
      </c>
      <c r="H50" s="234" t="str">
        <f>"4.  EMITIDOS POR EMPRESAS EMPARENTADAS: SI EL INVERSIONISTA DIRECTO QUE EJERCE EL CONTROL FINAL DE LA ED ES RESIDENTE  "&amp;$E$63&amp;"/"</f>
        <v>4.  EMITIDOS POR EMPRESAS EMPARENTADAS: SI EL INVERSIONISTA DIRECTO QUE EJERCE EL CONTROL FINAL DE LA ED ES RESIDENTE  1/</v>
      </c>
      <c r="I50" s="396">
        <f>+'Tabla II.'!L22</f>
        <v>0</v>
      </c>
      <c r="J50" s="411"/>
      <c r="K50" s="90"/>
      <c r="L50" s="90"/>
      <c r="M50" s="90"/>
      <c r="N50" s="90"/>
      <c r="O50" s="90"/>
      <c r="P50" s="90"/>
      <c r="Q50" s="90"/>
    </row>
    <row r="51" spans="1:17" s="47" customFormat="1" ht="27.75" customHeight="1" thickTop="1">
      <c r="A51" s="232"/>
      <c r="B51" s="126"/>
      <c r="C51" s="280" t="s">
        <v>2870</v>
      </c>
      <c r="D51" s="296"/>
      <c r="E51" s="123"/>
      <c r="F51" s="109"/>
      <c r="G51" s="292" t="str">
        <f t="shared" si="0"/>
        <v>02.01.04.01.</v>
      </c>
      <c r="H51" s="1204" t="s">
        <v>2189</v>
      </c>
      <c r="I51" s="393"/>
      <c r="J51" s="411"/>
      <c r="K51" s="90"/>
      <c r="L51" s="90"/>
      <c r="M51" s="90"/>
      <c r="N51" s="90"/>
      <c r="O51" s="90"/>
      <c r="P51" s="90"/>
      <c r="Q51" s="90"/>
    </row>
    <row r="52" spans="1:17" s="47" customFormat="1" ht="27.75" customHeight="1">
      <c r="A52" s="232"/>
      <c r="B52" s="126"/>
      <c r="C52" s="280" t="s">
        <v>2871</v>
      </c>
      <c r="D52" s="296"/>
      <c r="E52" s="123"/>
      <c r="F52" s="109"/>
      <c r="G52" s="292" t="str">
        <f t="shared" si="0"/>
        <v>02.01.04.02.</v>
      </c>
      <c r="H52" s="1204" t="s">
        <v>2189</v>
      </c>
      <c r="I52" s="393"/>
      <c r="J52" s="411"/>
      <c r="K52" s="90"/>
      <c r="L52" s="90"/>
      <c r="M52" s="90"/>
      <c r="N52" s="90"/>
      <c r="O52" s="90"/>
      <c r="P52" s="90"/>
      <c r="Q52" s="90"/>
    </row>
    <row r="53" spans="1:17" s="47" customFormat="1" ht="27.75" customHeight="1">
      <c r="A53" s="232"/>
      <c r="B53" s="126"/>
      <c r="C53" s="280" t="s">
        <v>2872</v>
      </c>
      <c r="D53" s="296"/>
      <c r="E53" s="123"/>
      <c r="F53" s="109"/>
      <c r="G53" s="292" t="str">
        <f t="shared" si="0"/>
        <v>02.01.04.03.</v>
      </c>
      <c r="H53" s="1204" t="s">
        <v>2189</v>
      </c>
      <c r="I53" s="393"/>
      <c r="J53" s="411"/>
      <c r="K53" s="90"/>
      <c r="L53" s="90"/>
      <c r="M53" s="90"/>
      <c r="N53" s="90"/>
      <c r="O53" s="90"/>
      <c r="P53" s="90"/>
      <c r="Q53" s="90"/>
    </row>
    <row r="54" spans="1:17" s="47" customFormat="1" ht="27.75" customHeight="1">
      <c r="A54" s="232"/>
      <c r="B54" s="126"/>
      <c r="C54" s="280" t="s">
        <v>2873</v>
      </c>
      <c r="D54" s="296"/>
      <c r="E54" s="123"/>
      <c r="F54" s="109"/>
      <c r="G54" s="292" t="str">
        <f t="shared" si="0"/>
        <v>02.01.04.04.</v>
      </c>
      <c r="H54" s="1204" t="s">
        <v>2189</v>
      </c>
      <c r="I54" s="393"/>
      <c r="J54" s="411"/>
      <c r="K54" s="90"/>
      <c r="L54" s="90"/>
      <c r="M54" s="90"/>
      <c r="N54" s="90"/>
      <c r="O54" s="90"/>
      <c r="P54" s="90"/>
      <c r="Q54" s="90"/>
    </row>
    <row r="55" spans="1:17" s="47" customFormat="1" ht="27.75" customHeight="1">
      <c r="A55" s="232"/>
      <c r="B55" s="126"/>
      <c r="C55" s="280" t="s">
        <v>2874</v>
      </c>
      <c r="D55" s="296"/>
      <c r="E55" s="123"/>
      <c r="F55" s="109"/>
      <c r="G55" s="292" t="str">
        <f t="shared" si="0"/>
        <v>02.01.04.05.</v>
      </c>
      <c r="H55" s="1204" t="s">
        <v>2189</v>
      </c>
      <c r="I55" s="393"/>
      <c r="J55" s="411"/>
      <c r="K55" s="90"/>
      <c r="L55" s="90"/>
      <c r="M55" s="90"/>
      <c r="N55" s="90"/>
      <c r="O55" s="90"/>
      <c r="P55" s="90"/>
      <c r="Q55" s="90"/>
    </row>
    <row r="56" spans="1:17" s="47" customFormat="1" ht="27.75" customHeight="1">
      <c r="A56" s="232"/>
      <c r="B56" s="126"/>
      <c r="C56" s="280" t="s">
        <v>2875</v>
      </c>
      <c r="D56" s="296"/>
      <c r="E56" s="123"/>
      <c r="F56" s="109"/>
      <c r="G56" s="292" t="str">
        <f t="shared" si="0"/>
        <v>02.01.04.06.</v>
      </c>
      <c r="H56" s="1204" t="s">
        <v>2189</v>
      </c>
      <c r="I56" s="393"/>
      <c r="J56" s="411"/>
      <c r="K56" s="90"/>
      <c r="L56" s="90"/>
      <c r="M56" s="90"/>
      <c r="N56" s="90"/>
      <c r="O56" s="90"/>
      <c r="P56" s="90"/>
      <c r="Q56" s="90"/>
    </row>
    <row r="57" spans="1:17" s="47" customFormat="1" ht="27.75" customHeight="1">
      <c r="A57" s="232"/>
      <c r="B57" s="126"/>
      <c r="C57" s="280" t="s">
        <v>2876</v>
      </c>
      <c r="D57" s="296"/>
      <c r="E57" s="123"/>
      <c r="F57" s="109"/>
      <c r="G57" s="292" t="str">
        <f t="shared" si="0"/>
        <v>02.01.04.07.</v>
      </c>
      <c r="H57" s="1204" t="s">
        <v>2189</v>
      </c>
      <c r="I57" s="393"/>
      <c r="J57" s="411"/>
      <c r="K57" s="90"/>
      <c r="L57" s="90"/>
      <c r="M57" s="90"/>
      <c r="N57" s="90"/>
      <c r="O57" s="90"/>
      <c r="P57" s="90"/>
      <c r="Q57" s="90"/>
    </row>
    <row r="58" spans="1:17" s="47" customFormat="1" ht="27.75" customHeight="1">
      <c r="A58" s="232"/>
      <c r="B58" s="126"/>
      <c r="C58" s="280" t="s">
        <v>2877</v>
      </c>
      <c r="D58" s="296"/>
      <c r="E58" s="123"/>
      <c r="F58" s="109"/>
      <c r="G58" s="292" t="str">
        <f t="shared" si="0"/>
        <v>02.01.04.08.</v>
      </c>
      <c r="H58" s="1204" t="s">
        <v>2189</v>
      </c>
      <c r="I58" s="393"/>
      <c r="J58" s="411"/>
      <c r="K58" s="90"/>
      <c r="L58" s="90"/>
      <c r="M58" s="90"/>
      <c r="N58" s="90"/>
      <c r="O58" s="90"/>
      <c r="P58" s="90"/>
      <c r="Q58" s="90"/>
    </row>
    <row r="59" spans="1:17" s="47" customFormat="1" ht="27.75" customHeight="1">
      <c r="A59" s="232"/>
      <c r="B59" s="126"/>
      <c r="C59" s="280" t="s">
        <v>2878</v>
      </c>
      <c r="D59" s="296"/>
      <c r="E59" s="123"/>
      <c r="F59" s="109"/>
      <c r="G59" s="292" t="str">
        <f t="shared" si="0"/>
        <v>02.01.04.09.</v>
      </c>
      <c r="H59" s="1204" t="s">
        <v>2189</v>
      </c>
      <c r="I59" s="393"/>
      <c r="J59" s="411"/>
      <c r="K59" s="90"/>
      <c r="L59" s="90"/>
      <c r="M59" s="90"/>
      <c r="N59" s="90"/>
      <c r="O59" s="90"/>
      <c r="P59" s="90"/>
      <c r="Q59" s="90"/>
    </row>
    <row r="60" spans="1:17" s="47" customFormat="1" ht="27.75" customHeight="1">
      <c r="A60" s="232"/>
      <c r="B60" s="126"/>
      <c r="C60" s="280" t="s">
        <v>2879</v>
      </c>
      <c r="D60" s="296"/>
      <c r="E60" s="123"/>
      <c r="F60" s="109"/>
      <c r="G60" s="1764" t="str">
        <f t="shared" si="0"/>
        <v>02.01.04.10.</v>
      </c>
      <c r="H60" s="1775" t="s">
        <v>2189</v>
      </c>
      <c r="I60" s="1765"/>
      <c r="J60" s="411"/>
      <c r="K60" s="90"/>
      <c r="L60" s="90"/>
      <c r="M60" s="90"/>
      <c r="N60" s="90"/>
      <c r="O60" s="90"/>
      <c r="P60" s="90"/>
      <c r="Q60" s="90"/>
    </row>
    <row r="61" spans="1:17" s="47" customFormat="1" ht="27.75" customHeight="1" thickBot="1">
      <c r="A61" s="232"/>
      <c r="B61" s="1766"/>
      <c r="C61" s="1767" t="s">
        <v>2880</v>
      </c>
      <c r="D61" s="1776"/>
      <c r="E61" s="1769"/>
      <c r="F61" s="109"/>
      <c r="G61" s="1774" t="str">
        <f t="shared" si="0"/>
        <v>02.01.04.11.</v>
      </c>
      <c r="H61" s="395" t="s">
        <v>2748</v>
      </c>
      <c r="I61" s="397">
        <f>+I50-SUM(I51:I60)</f>
        <v>0</v>
      </c>
      <c r="J61" s="411"/>
      <c r="K61" s="90"/>
      <c r="L61" s="90"/>
      <c r="M61" s="90"/>
      <c r="N61" s="90"/>
      <c r="O61" s="90"/>
      <c r="P61" s="90"/>
      <c r="Q61" s="90"/>
    </row>
    <row r="62" spans="1:17" s="47" customFormat="1" ht="27.75" customHeight="1" thickTop="1">
      <c r="A62" s="232"/>
      <c r="B62" s="142"/>
      <c r="C62" s="142"/>
      <c r="D62" s="163"/>
      <c r="E62" s="142"/>
      <c r="F62" s="109"/>
      <c r="G62" s="201" t="s">
        <v>2446</v>
      </c>
      <c r="H62" s="223"/>
      <c r="I62" s="224"/>
      <c r="J62" s="90"/>
      <c r="K62" s="90"/>
      <c r="L62" s="90"/>
      <c r="M62" s="90"/>
      <c r="N62" s="90"/>
      <c r="O62" s="90"/>
      <c r="P62" s="90"/>
      <c r="Q62" s="90"/>
    </row>
    <row r="63" spans="1:17" s="47" customFormat="1" ht="27.75" customHeight="1" thickBot="1">
      <c r="A63" s="232"/>
      <c r="B63" s="142"/>
      <c r="C63" s="142"/>
      <c r="D63" s="163"/>
      <c r="E63" s="163">
        <v>1</v>
      </c>
      <c r="F63" s="109"/>
      <c r="G63" s="227" t="str">
        <f>E63&amp;"/ "&amp;"Este valor corresponde a lo declarado en el Formulario II. Deuda Activos, Parte A y debe ser equivalente a la suma de los montos de los países a registrar más abajo"</f>
        <v>1/ Este valor corresponde a lo declarado en el Formulario II. Deuda Activos, Parte A y debe ser equivalente a la suma de los montos de los países a registrar más abajo</v>
      </c>
      <c r="H63" s="225"/>
      <c r="I63" s="226"/>
      <c r="J63" s="90"/>
      <c r="K63" s="90"/>
      <c r="L63" s="90"/>
      <c r="M63" s="90"/>
      <c r="N63" s="90"/>
      <c r="O63" s="90"/>
      <c r="P63" s="90"/>
      <c r="Q63" s="90"/>
    </row>
    <row r="64" spans="1:17" s="47" customFormat="1" ht="27.75" customHeight="1" thickTop="1">
      <c r="A64" s="232"/>
      <c r="B64" s="142"/>
      <c r="C64" s="142"/>
      <c r="D64" s="163"/>
      <c r="E64" s="142"/>
      <c r="F64" s="109"/>
      <c r="G64" s="164"/>
      <c r="H64" s="173"/>
      <c r="I64" s="165"/>
      <c r="J64" s="90"/>
      <c r="K64" s="90"/>
      <c r="L64" s="90"/>
      <c r="M64" s="90"/>
      <c r="N64" s="90"/>
      <c r="O64" s="90"/>
      <c r="P64" s="90"/>
      <c r="Q64" s="90"/>
    </row>
    <row r="65" spans="1:17" s="47" customFormat="1" ht="19.5" customHeight="1">
      <c r="A65" s="232"/>
      <c r="B65" s="142"/>
      <c r="C65" s="142"/>
      <c r="D65" s="163"/>
      <c r="E65" s="142"/>
      <c r="F65" s="109"/>
      <c r="G65" s="174"/>
      <c r="H65" s="175"/>
      <c r="I65" s="176"/>
      <c r="J65" s="90"/>
      <c r="K65" s="90"/>
      <c r="L65" s="90"/>
      <c r="M65" s="90"/>
      <c r="N65" s="90"/>
      <c r="O65" s="90"/>
      <c r="P65" s="90"/>
      <c r="Q65" s="90"/>
    </row>
    <row r="66" spans="1:17" s="47" customFormat="1" ht="13.5" customHeight="1">
      <c r="A66" s="232"/>
      <c r="B66" s="142"/>
      <c r="C66" s="142"/>
      <c r="D66" s="163"/>
      <c r="E66" s="142"/>
      <c r="F66" s="109"/>
      <c r="G66" s="164"/>
      <c r="H66" s="173"/>
      <c r="I66" s="165"/>
      <c r="J66" s="90"/>
      <c r="K66" s="90"/>
      <c r="L66" s="90"/>
      <c r="M66" s="90"/>
      <c r="N66" s="90"/>
      <c r="O66" s="90"/>
      <c r="P66" s="90"/>
      <c r="Q66" s="90"/>
    </row>
    <row r="67" spans="1:17" s="47" customFormat="1" ht="38.25">
      <c r="A67" s="232"/>
      <c r="B67" s="142"/>
      <c r="C67" s="142"/>
      <c r="D67" s="163"/>
      <c r="E67" s="142"/>
      <c r="F67" s="109"/>
      <c r="G67" s="158" t="s">
        <v>2881</v>
      </c>
      <c r="H67" s="166"/>
      <c r="I67" s="167"/>
      <c r="J67" s="90"/>
      <c r="K67" s="90"/>
      <c r="L67" s="90"/>
      <c r="M67" s="90"/>
      <c r="N67" s="90"/>
      <c r="O67" s="90"/>
      <c r="P67" s="90"/>
      <c r="Q67" s="90"/>
    </row>
    <row r="68" spans="1:17" s="47" customFormat="1" ht="30" thickBot="1">
      <c r="A68" s="232"/>
      <c r="B68" s="142"/>
      <c r="C68" s="142"/>
      <c r="D68" s="163"/>
      <c r="E68" s="142"/>
      <c r="F68" s="109"/>
      <c r="G68" s="177" t="s">
        <v>2729</v>
      </c>
      <c r="H68" s="166"/>
      <c r="I68" s="167"/>
      <c r="J68" s="90"/>
      <c r="K68" s="90"/>
      <c r="L68" s="90"/>
      <c r="M68" s="90"/>
      <c r="N68" s="90"/>
      <c r="O68" s="90"/>
      <c r="P68" s="90"/>
      <c r="Q68" s="90"/>
    </row>
    <row r="69" spans="1:17" ht="63.75" thickTop="1">
      <c r="B69" s="2528" t="str">
        <f ca="1">RIGHT(CELL("nombrearchivo",$A$1),LEN(CELL("nombrearchivo",$A$1))-SEARCH("]",CELL("nombrearchivo",$A$1)))</f>
        <v>Tabla VII.2.</v>
      </c>
      <c r="C69" s="2529"/>
      <c r="D69" s="2529"/>
      <c r="E69" s="2530"/>
      <c r="G69" s="288"/>
      <c r="H69" s="289"/>
      <c r="I69" s="159" t="s">
        <v>2836</v>
      </c>
      <c r="J69" s="91"/>
      <c r="K69" s="91"/>
      <c r="L69" s="91"/>
      <c r="M69" s="91"/>
      <c r="N69" s="91"/>
      <c r="O69" s="91"/>
      <c r="P69" s="91"/>
      <c r="Q69" s="91"/>
    </row>
    <row r="70" spans="1:17" ht="56.25" customHeight="1" thickBot="1">
      <c r="B70" s="2531"/>
      <c r="C70" s="2532"/>
      <c r="D70" s="2532"/>
      <c r="E70" s="2533"/>
      <c r="G70" s="237"/>
      <c r="H70" s="290"/>
      <c r="I70" s="151" t="str">
        <f>CONCATENATE("SALDO A FINES DE"," ",Menu!$E$3," ",Menu!$C$3)</f>
        <v>SALDO A FINES DE SETIEMBRE 2025</v>
      </c>
      <c r="J70" s="91"/>
      <c r="K70" s="91"/>
      <c r="L70" s="91"/>
      <c r="M70" s="91"/>
      <c r="N70" s="91"/>
      <c r="O70" s="91"/>
      <c r="P70" s="91"/>
      <c r="Q70" s="91"/>
    </row>
    <row r="71" spans="1:17" s="47" customFormat="1" ht="27.75" customHeight="1" thickBot="1">
      <c r="A71" s="232"/>
      <c r="B71" s="124" t="s">
        <v>2730</v>
      </c>
      <c r="C71" s="122" t="s">
        <v>2731</v>
      </c>
      <c r="D71" s="128" t="s">
        <v>2732</v>
      </c>
      <c r="E71" s="99" t="s">
        <v>2733</v>
      </c>
      <c r="F71" s="109"/>
      <c r="G71" s="279" t="s">
        <v>2734</v>
      </c>
      <c r="H71" s="291" t="s">
        <v>2735</v>
      </c>
      <c r="I71" s="294" t="s">
        <v>2591</v>
      </c>
      <c r="J71" s="90"/>
      <c r="K71" s="90"/>
      <c r="L71" s="90"/>
      <c r="M71" s="90"/>
      <c r="N71" s="90"/>
      <c r="O71" s="90"/>
      <c r="P71" s="90"/>
      <c r="Q71" s="90"/>
    </row>
    <row r="72" spans="1:17" s="47" customFormat="1" ht="27.75" customHeight="1" thickTop="1" thickBot="1">
      <c r="A72" s="232"/>
      <c r="B72" s="285" t="s">
        <v>2785</v>
      </c>
      <c r="C72" s="281" t="s">
        <v>2215</v>
      </c>
      <c r="D72" s="301" t="str">
        <f>'Tabla III.1.'!D13</f>
        <v>03.01.</v>
      </c>
      <c r="E72" s="286" t="s">
        <v>2786</v>
      </c>
      <c r="F72" s="90"/>
      <c r="G72" s="260" t="str">
        <f>+C72</f>
        <v>02.02.01.</v>
      </c>
      <c r="H72" s="220" t="str">
        <f>"1. FRENTE A INVERSIONISTAS DIRECTOS (p.ej. matriz no residente) "&amp;$E$121&amp;"/"</f>
        <v>1. FRENTE A INVERSIONISTAS DIRECTOS (p.ej. matriz no residente) 1/</v>
      </c>
      <c r="I72" s="396">
        <f>+'Tabla III.1.'!L13</f>
        <v>0</v>
      </c>
      <c r="J72" s="411"/>
      <c r="K72" s="46"/>
      <c r="L72" s="46"/>
      <c r="M72" s="46"/>
      <c r="N72" s="46"/>
      <c r="O72" s="46"/>
      <c r="P72" s="46"/>
      <c r="Q72" s="46"/>
    </row>
    <row r="73" spans="1:17" s="47" customFormat="1" ht="27.75" customHeight="1" thickTop="1">
      <c r="A73" s="232"/>
      <c r="B73" s="126"/>
      <c r="C73" s="280" t="s">
        <v>2882</v>
      </c>
      <c r="D73" s="296"/>
      <c r="E73" s="123"/>
      <c r="F73" s="109"/>
      <c r="G73" s="292" t="str">
        <f t="shared" ref="G73:G119" si="1">+C73</f>
        <v>02.02.01.01.</v>
      </c>
      <c r="H73" s="964" t="s">
        <v>2189</v>
      </c>
      <c r="I73" s="393"/>
      <c r="J73" s="411"/>
      <c r="K73" s="90"/>
      <c r="L73" s="90"/>
      <c r="M73" s="90"/>
      <c r="N73" s="90"/>
      <c r="O73" s="90"/>
      <c r="P73" s="90"/>
      <c r="Q73" s="90"/>
    </row>
    <row r="74" spans="1:17" s="47" customFormat="1" ht="27.75" customHeight="1">
      <c r="A74" s="232"/>
      <c r="B74" s="126"/>
      <c r="C74" s="280" t="s">
        <v>2883</v>
      </c>
      <c r="D74" s="296"/>
      <c r="E74" s="123"/>
      <c r="F74" s="109"/>
      <c r="G74" s="292" t="str">
        <f t="shared" si="1"/>
        <v>02.02.01.02.</v>
      </c>
      <c r="H74" s="964" t="s">
        <v>2189</v>
      </c>
      <c r="I74" s="393"/>
      <c r="J74" s="411"/>
      <c r="K74" s="90"/>
      <c r="L74" s="90"/>
      <c r="M74" s="90"/>
      <c r="N74" s="90"/>
      <c r="O74" s="90"/>
      <c r="P74" s="90"/>
      <c r="Q74" s="90"/>
    </row>
    <row r="75" spans="1:17" s="47" customFormat="1" ht="27.75" customHeight="1">
      <c r="A75" s="232"/>
      <c r="B75" s="126"/>
      <c r="C75" s="280" t="s">
        <v>2884</v>
      </c>
      <c r="D75" s="296"/>
      <c r="E75" s="123"/>
      <c r="F75" s="109"/>
      <c r="G75" s="292" t="str">
        <f t="shared" si="1"/>
        <v>02.02.01.03.</v>
      </c>
      <c r="H75" s="964" t="s">
        <v>2189</v>
      </c>
      <c r="I75" s="393"/>
      <c r="J75" s="411"/>
      <c r="K75" s="90"/>
      <c r="L75" s="90"/>
      <c r="M75" s="90"/>
      <c r="N75" s="90"/>
      <c r="O75" s="90"/>
      <c r="P75" s="90"/>
      <c r="Q75" s="90"/>
    </row>
    <row r="76" spans="1:17" s="47" customFormat="1" ht="27.75" customHeight="1">
      <c r="A76" s="232"/>
      <c r="B76" s="126"/>
      <c r="C76" s="280" t="s">
        <v>2885</v>
      </c>
      <c r="D76" s="296"/>
      <c r="E76" s="123"/>
      <c r="F76" s="109"/>
      <c r="G76" s="292" t="str">
        <f t="shared" si="1"/>
        <v>02.02.01.04.</v>
      </c>
      <c r="H76" s="964" t="s">
        <v>2189</v>
      </c>
      <c r="I76" s="393"/>
      <c r="J76" s="411"/>
      <c r="K76" s="90"/>
      <c r="L76" s="90"/>
      <c r="M76" s="90"/>
      <c r="N76" s="90"/>
      <c r="O76" s="90"/>
      <c r="P76" s="90"/>
      <c r="Q76" s="90"/>
    </row>
    <row r="77" spans="1:17" s="47" customFormat="1" ht="27.75" customHeight="1">
      <c r="A77" s="232"/>
      <c r="B77" s="126"/>
      <c r="C77" s="280" t="s">
        <v>2886</v>
      </c>
      <c r="D77" s="296"/>
      <c r="E77" s="123"/>
      <c r="F77" s="109"/>
      <c r="G77" s="292" t="str">
        <f t="shared" si="1"/>
        <v>02.02.01.05.</v>
      </c>
      <c r="H77" s="964" t="s">
        <v>2189</v>
      </c>
      <c r="I77" s="393"/>
      <c r="J77" s="411"/>
      <c r="K77" s="90"/>
      <c r="L77" s="90"/>
      <c r="M77" s="90"/>
      <c r="N77" s="90"/>
      <c r="O77" s="90"/>
      <c r="P77" s="90"/>
      <c r="Q77" s="90"/>
    </row>
    <row r="78" spans="1:17" s="47" customFormat="1" ht="27.75" customHeight="1">
      <c r="A78" s="232"/>
      <c r="B78" s="126"/>
      <c r="C78" s="280" t="s">
        <v>2887</v>
      </c>
      <c r="D78" s="296"/>
      <c r="E78" s="123"/>
      <c r="F78" s="109"/>
      <c r="G78" s="292" t="str">
        <f t="shared" si="1"/>
        <v>02.02.01.06.</v>
      </c>
      <c r="H78" s="964" t="s">
        <v>2189</v>
      </c>
      <c r="I78" s="393"/>
      <c r="J78" s="411"/>
      <c r="K78" s="90"/>
      <c r="L78" s="90"/>
      <c r="M78" s="90"/>
      <c r="N78" s="90"/>
      <c r="O78" s="90"/>
      <c r="P78" s="90"/>
      <c r="Q78" s="90"/>
    </row>
    <row r="79" spans="1:17" s="47" customFormat="1" ht="27.75" customHeight="1">
      <c r="A79" s="232"/>
      <c r="B79" s="126"/>
      <c r="C79" s="280" t="s">
        <v>2888</v>
      </c>
      <c r="D79" s="296"/>
      <c r="E79" s="123"/>
      <c r="F79" s="109"/>
      <c r="G79" s="292" t="str">
        <f t="shared" si="1"/>
        <v>02.02.01.07.</v>
      </c>
      <c r="H79" s="964" t="s">
        <v>2189</v>
      </c>
      <c r="I79" s="393"/>
      <c r="J79" s="411"/>
      <c r="K79" s="90"/>
      <c r="L79" s="90"/>
      <c r="M79" s="90"/>
      <c r="N79" s="90"/>
      <c r="O79" s="90"/>
      <c r="P79" s="90"/>
      <c r="Q79" s="90"/>
    </row>
    <row r="80" spans="1:17" s="47" customFormat="1" ht="27.75" customHeight="1">
      <c r="A80" s="232"/>
      <c r="B80" s="126"/>
      <c r="C80" s="280" t="s">
        <v>2889</v>
      </c>
      <c r="D80" s="296"/>
      <c r="E80" s="123"/>
      <c r="F80" s="109"/>
      <c r="G80" s="292" t="str">
        <f t="shared" si="1"/>
        <v>02.02.01.08.</v>
      </c>
      <c r="H80" s="964" t="s">
        <v>2189</v>
      </c>
      <c r="I80" s="393"/>
      <c r="J80" s="411"/>
      <c r="K80" s="90"/>
      <c r="L80" s="90"/>
      <c r="M80" s="90"/>
      <c r="N80" s="90"/>
      <c r="O80" s="90"/>
      <c r="P80" s="90"/>
      <c r="Q80" s="90"/>
    </row>
    <row r="81" spans="1:17" s="47" customFormat="1" ht="27.75" customHeight="1">
      <c r="A81" s="232"/>
      <c r="B81" s="126"/>
      <c r="C81" s="280" t="s">
        <v>2890</v>
      </c>
      <c r="D81" s="296"/>
      <c r="E81" s="123"/>
      <c r="F81" s="109"/>
      <c r="G81" s="292" t="str">
        <f t="shared" si="1"/>
        <v>02.02.01.09.</v>
      </c>
      <c r="H81" s="964" t="s">
        <v>2189</v>
      </c>
      <c r="I81" s="393"/>
      <c r="J81" s="411"/>
      <c r="K81" s="90"/>
      <c r="L81" s="90"/>
      <c r="M81" s="90"/>
      <c r="N81" s="90"/>
      <c r="O81" s="90"/>
      <c r="P81" s="90"/>
      <c r="Q81" s="90"/>
    </row>
    <row r="82" spans="1:17" s="47" customFormat="1" ht="27.75" customHeight="1">
      <c r="A82" s="232"/>
      <c r="B82" s="126"/>
      <c r="C82" s="280" t="s">
        <v>2891</v>
      </c>
      <c r="D82" s="296"/>
      <c r="E82" s="123"/>
      <c r="F82" s="109"/>
      <c r="G82" s="293" t="str">
        <f t="shared" si="1"/>
        <v>02.02.01.10.</v>
      </c>
      <c r="H82" s="964" t="s">
        <v>2189</v>
      </c>
      <c r="I82" s="393"/>
      <c r="J82" s="411"/>
      <c r="K82" s="90"/>
      <c r="L82" s="90"/>
      <c r="M82" s="90"/>
      <c r="N82" s="90"/>
      <c r="O82" s="90"/>
      <c r="P82" s="90"/>
      <c r="Q82" s="90"/>
    </row>
    <row r="83" spans="1:17" s="47" customFormat="1" ht="27.75" customHeight="1" thickBot="1">
      <c r="A83" s="232"/>
      <c r="B83" s="127"/>
      <c r="C83" s="280" t="s">
        <v>2892</v>
      </c>
      <c r="D83" s="297"/>
      <c r="E83" s="121"/>
      <c r="F83" s="109"/>
      <c r="G83" s="1774" t="str">
        <f t="shared" si="1"/>
        <v>02.02.01.11.</v>
      </c>
      <c r="H83" s="395" t="s">
        <v>2748</v>
      </c>
      <c r="I83" s="397">
        <f>+I72-SUM(I73:I82)</f>
        <v>0</v>
      </c>
      <c r="J83" s="411"/>
      <c r="K83" s="90"/>
      <c r="L83" s="90"/>
      <c r="M83" s="90"/>
      <c r="N83" s="90"/>
      <c r="O83" s="90"/>
      <c r="P83" s="90"/>
      <c r="Q83" s="90"/>
    </row>
    <row r="84" spans="1:17" s="47" customFormat="1" ht="27.75" customHeight="1" thickTop="1" thickBot="1">
      <c r="A84" s="232"/>
      <c r="B84" s="283" t="s">
        <v>2798</v>
      </c>
      <c r="C84" s="287" t="s">
        <v>2216</v>
      </c>
      <c r="D84" s="300" t="str">
        <f>'Tabla III.1.'!D16</f>
        <v>03.02.</v>
      </c>
      <c r="E84" s="284" t="s">
        <v>2799</v>
      </c>
      <c r="F84" s="90"/>
      <c r="G84" s="260" t="str">
        <f t="shared" si="1"/>
        <v>02.02.02.</v>
      </c>
      <c r="H84" s="221" t="str">
        <f>"2.  FRENTE A EMPRESAS DE INVERSIÓN DIRECTA (inversión en sentido contrario) "&amp;$E$121&amp;"/"</f>
        <v>2.  FRENTE A EMPRESAS DE INVERSIÓN DIRECTA (inversión en sentido contrario) 1/</v>
      </c>
      <c r="I84" s="396">
        <f>+'Tabla III.1.'!L16</f>
        <v>0</v>
      </c>
      <c r="J84" s="411"/>
      <c r="K84" s="46"/>
      <c r="L84" s="46"/>
      <c r="M84" s="46"/>
      <c r="N84" s="46"/>
      <c r="O84" s="46"/>
      <c r="P84" s="46"/>
      <c r="Q84" s="46"/>
    </row>
    <row r="85" spans="1:17" s="47" customFormat="1" ht="27.75" customHeight="1" thickTop="1">
      <c r="A85" s="232"/>
      <c r="B85" s="126"/>
      <c r="C85" s="280" t="s">
        <v>2893</v>
      </c>
      <c r="D85" s="296"/>
      <c r="E85" s="123"/>
      <c r="F85" s="109"/>
      <c r="G85" s="292" t="str">
        <f t="shared" si="1"/>
        <v>02.02.02.01.</v>
      </c>
      <c r="H85" s="964" t="s">
        <v>2189</v>
      </c>
      <c r="I85" s="393"/>
      <c r="J85" s="411"/>
      <c r="K85" s="90"/>
      <c r="L85" s="90"/>
      <c r="M85" s="90"/>
      <c r="N85" s="90"/>
      <c r="O85" s="90"/>
      <c r="P85" s="90"/>
      <c r="Q85" s="90"/>
    </row>
    <row r="86" spans="1:17" s="47" customFormat="1" ht="27.75" customHeight="1">
      <c r="A86" s="232"/>
      <c r="B86" s="126"/>
      <c r="C86" s="280" t="s">
        <v>2894</v>
      </c>
      <c r="D86" s="296"/>
      <c r="E86" s="123"/>
      <c r="F86" s="109"/>
      <c r="G86" s="292" t="str">
        <f t="shared" si="1"/>
        <v>02.02.02.02.</v>
      </c>
      <c r="H86" s="964" t="s">
        <v>2189</v>
      </c>
      <c r="I86" s="393"/>
      <c r="J86" s="411"/>
      <c r="K86" s="90"/>
      <c r="L86" s="90"/>
      <c r="M86" s="90"/>
      <c r="N86" s="90"/>
      <c r="O86" s="90"/>
      <c r="P86" s="90"/>
      <c r="Q86" s="90"/>
    </row>
    <row r="87" spans="1:17" s="47" customFormat="1" ht="27.75" customHeight="1">
      <c r="A87" s="232"/>
      <c r="B87" s="126"/>
      <c r="C87" s="280" t="s">
        <v>2895</v>
      </c>
      <c r="D87" s="296"/>
      <c r="E87" s="123"/>
      <c r="F87" s="109"/>
      <c r="G87" s="292" t="str">
        <f t="shared" si="1"/>
        <v>02.02.02.03.</v>
      </c>
      <c r="H87" s="964" t="s">
        <v>2189</v>
      </c>
      <c r="I87" s="393"/>
      <c r="J87" s="411"/>
      <c r="K87" s="90"/>
      <c r="L87" s="90"/>
      <c r="M87" s="90"/>
      <c r="N87" s="90"/>
      <c r="O87" s="90"/>
      <c r="P87" s="90"/>
      <c r="Q87" s="90"/>
    </row>
    <row r="88" spans="1:17" s="47" customFormat="1" ht="27.75" customHeight="1">
      <c r="A88" s="232"/>
      <c r="B88" s="126"/>
      <c r="C88" s="280" t="s">
        <v>2896</v>
      </c>
      <c r="D88" s="296"/>
      <c r="E88" s="123"/>
      <c r="F88" s="109"/>
      <c r="G88" s="292" t="str">
        <f t="shared" si="1"/>
        <v>02.02.02.04.</v>
      </c>
      <c r="H88" s="964" t="s">
        <v>2189</v>
      </c>
      <c r="I88" s="393"/>
      <c r="J88" s="411"/>
      <c r="K88" s="90"/>
      <c r="L88" s="90"/>
      <c r="M88" s="90"/>
      <c r="N88" s="90"/>
      <c r="O88" s="90"/>
      <c r="P88" s="90"/>
      <c r="Q88" s="90"/>
    </row>
    <row r="89" spans="1:17" s="47" customFormat="1" ht="27.75" customHeight="1">
      <c r="A89" s="232"/>
      <c r="B89" s="126"/>
      <c r="C89" s="280" t="s">
        <v>2897</v>
      </c>
      <c r="D89" s="296"/>
      <c r="E89" s="123"/>
      <c r="F89" s="109"/>
      <c r="G89" s="292" t="str">
        <f t="shared" si="1"/>
        <v>02.02.02.05.</v>
      </c>
      <c r="H89" s="964" t="s">
        <v>2189</v>
      </c>
      <c r="I89" s="393"/>
      <c r="J89" s="411"/>
      <c r="K89" s="90"/>
      <c r="L89" s="90"/>
      <c r="M89" s="90"/>
      <c r="N89" s="90"/>
      <c r="O89" s="90"/>
      <c r="P89" s="90"/>
      <c r="Q89" s="90"/>
    </row>
    <row r="90" spans="1:17" s="47" customFormat="1" ht="27.75" customHeight="1">
      <c r="A90" s="232"/>
      <c r="B90" s="126"/>
      <c r="C90" s="280" t="s">
        <v>2898</v>
      </c>
      <c r="D90" s="296"/>
      <c r="E90" s="123"/>
      <c r="F90" s="109"/>
      <c r="G90" s="292" t="str">
        <f t="shared" si="1"/>
        <v>02.02.02.06.</v>
      </c>
      <c r="H90" s="964" t="s">
        <v>2189</v>
      </c>
      <c r="I90" s="393"/>
      <c r="J90" s="411"/>
      <c r="K90" s="90"/>
      <c r="L90" s="90"/>
      <c r="M90" s="90"/>
      <c r="N90" s="90"/>
      <c r="O90" s="90"/>
      <c r="P90" s="90"/>
      <c r="Q90" s="90"/>
    </row>
    <row r="91" spans="1:17" s="47" customFormat="1" ht="27.75" customHeight="1">
      <c r="A91" s="232"/>
      <c r="B91" s="126"/>
      <c r="C91" s="280" t="s">
        <v>2899</v>
      </c>
      <c r="D91" s="296"/>
      <c r="E91" s="123"/>
      <c r="F91" s="109"/>
      <c r="G91" s="292" t="str">
        <f t="shared" si="1"/>
        <v>02.02.02.07.</v>
      </c>
      <c r="H91" s="964" t="s">
        <v>2189</v>
      </c>
      <c r="I91" s="393"/>
      <c r="J91" s="411"/>
      <c r="K91" s="90"/>
      <c r="L91" s="90"/>
      <c r="M91" s="90"/>
      <c r="N91" s="90"/>
      <c r="O91" s="90"/>
      <c r="P91" s="90"/>
      <c r="Q91" s="90"/>
    </row>
    <row r="92" spans="1:17" s="47" customFormat="1" ht="27.75" customHeight="1">
      <c r="A92" s="232"/>
      <c r="B92" s="126"/>
      <c r="C92" s="280" t="s">
        <v>2900</v>
      </c>
      <c r="D92" s="296"/>
      <c r="E92" s="123"/>
      <c r="F92" s="109"/>
      <c r="G92" s="292" t="str">
        <f t="shared" si="1"/>
        <v>02.02.02.08.</v>
      </c>
      <c r="H92" s="964" t="s">
        <v>2189</v>
      </c>
      <c r="I92" s="393"/>
      <c r="J92" s="411"/>
      <c r="K92" s="90"/>
      <c r="L92" s="90"/>
      <c r="M92" s="90"/>
      <c r="N92" s="90"/>
      <c r="O92" s="90"/>
      <c r="P92" s="90"/>
      <c r="Q92" s="90"/>
    </row>
    <row r="93" spans="1:17" s="47" customFormat="1" ht="27.75" customHeight="1">
      <c r="A93" s="232"/>
      <c r="B93" s="126"/>
      <c r="C93" s="280" t="s">
        <v>2901</v>
      </c>
      <c r="D93" s="296"/>
      <c r="E93" s="123"/>
      <c r="F93" s="109"/>
      <c r="G93" s="292" t="str">
        <f t="shared" si="1"/>
        <v>02.02.02.09.</v>
      </c>
      <c r="H93" s="964" t="s">
        <v>2189</v>
      </c>
      <c r="I93" s="393"/>
      <c r="J93" s="411"/>
      <c r="K93" s="90"/>
      <c r="L93" s="90"/>
      <c r="M93" s="90"/>
      <c r="N93" s="90"/>
      <c r="O93" s="90"/>
      <c r="P93" s="90"/>
      <c r="Q93" s="90"/>
    </row>
    <row r="94" spans="1:17" s="47" customFormat="1" ht="27.75" customHeight="1">
      <c r="A94" s="232"/>
      <c r="B94" s="126"/>
      <c r="C94" s="280" t="s">
        <v>2902</v>
      </c>
      <c r="D94" s="296"/>
      <c r="E94" s="123"/>
      <c r="F94" s="109"/>
      <c r="G94" s="292" t="str">
        <f t="shared" si="1"/>
        <v>02.02.02.10.</v>
      </c>
      <c r="H94" s="964" t="s">
        <v>2189</v>
      </c>
      <c r="I94" s="1765"/>
      <c r="J94" s="411"/>
      <c r="K94" s="90"/>
      <c r="L94" s="90"/>
      <c r="M94" s="90"/>
      <c r="N94" s="90"/>
      <c r="O94" s="90"/>
      <c r="P94" s="90"/>
      <c r="Q94" s="90"/>
    </row>
    <row r="95" spans="1:17" s="47" customFormat="1" ht="27.75" customHeight="1" thickBot="1">
      <c r="A95" s="232"/>
      <c r="B95" s="127"/>
      <c r="C95" s="280" t="s">
        <v>2903</v>
      </c>
      <c r="D95" s="297"/>
      <c r="E95" s="121"/>
      <c r="F95" s="109"/>
      <c r="G95" s="1774" t="str">
        <f t="shared" si="1"/>
        <v>02.02.02.11.</v>
      </c>
      <c r="H95" s="395" t="s">
        <v>2748</v>
      </c>
      <c r="I95" s="397">
        <f>+I84-SUM(I85:I94)</f>
        <v>0</v>
      </c>
      <c r="J95" s="411"/>
      <c r="K95" s="90"/>
      <c r="L95" s="90"/>
      <c r="M95" s="90"/>
      <c r="N95" s="90"/>
      <c r="O95" s="90"/>
      <c r="P95" s="90"/>
      <c r="Q95" s="90"/>
    </row>
    <row r="96" spans="1:17" s="47" customFormat="1" ht="30.75" customHeight="1" thickTop="1" thickBot="1">
      <c r="A96" s="232"/>
      <c r="B96" s="283" t="s">
        <v>2811</v>
      </c>
      <c r="C96" s="287" t="s">
        <v>2217</v>
      </c>
      <c r="D96" s="300" t="str">
        <f>+'Tabla III.1.'!D19</f>
        <v>03.03.</v>
      </c>
      <c r="E96" s="284" t="s">
        <v>2786</v>
      </c>
      <c r="F96" s="90"/>
      <c r="G96" s="260" t="str">
        <f t="shared" si="1"/>
        <v>02.02.03.</v>
      </c>
      <c r="H96" s="222" t="str">
        <f>"  3. FRENTE A EMPRESAS EMPARENTADAS: SI EL INVERSIONISTA DIRECTO QUE EJERCE EL CONTROL FINAL DE LA ED ES NO RESIDENTE "&amp;$E$121&amp;"/"</f>
        <v xml:space="preserve">  3. FRENTE A EMPRESAS EMPARENTADAS: SI EL INVERSIONISTA DIRECTO QUE EJERCE EL CONTROL FINAL DE LA ED ES NO RESIDENTE 1/</v>
      </c>
      <c r="I96" s="396">
        <f>+'Tabla III.1.'!L19</f>
        <v>0</v>
      </c>
      <c r="J96" s="411"/>
      <c r="K96" s="46"/>
      <c r="L96" s="46"/>
      <c r="M96" s="46"/>
      <c r="N96" s="46"/>
      <c r="O96" s="46"/>
      <c r="P96" s="46"/>
      <c r="Q96" s="46"/>
    </row>
    <row r="97" spans="1:17" s="47" customFormat="1" ht="27.75" customHeight="1" thickTop="1">
      <c r="A97" s="232"/>
      <c r="B97" s="126"/>
      <c r="C97" s="280" t="s">
        <v>2904</v>
      </c>
      <c r="D97" s="296"/>
      <c r="E97" s="123"/>
      <c r="F97" s="109"/>
      <c r="G97" s="292" t="str">
        <f t="shared" si="1"/>
        <v>02.02.03.01.</v>
      </c>
      <c r="H97" s="966" t="s">
        <v>2189</v>
      </c>
      <c r="I97" s="393"/>
      <c r="J97" s="411"/>
      <c r="K97" s="90"/>
      <c r="L97" s="90"/>
      <c r="M97" s="90"/>
      <c r="N97" s="90"/>
      <c r="O97" s="90"/>
      <c r="P97" s="90"/>
      <c r="Q97" s="90"/>
    </row>
    <row r="98" spans="1:17" s="47" customFormat="1" ht="27.75" customHeight="1">
      <c r="A98" s="232"/>
      <c r="B98" s="126"/>
      <c r="C98" s="280" t="s">
        <v>2905</v>
      </c>
      <c r="D98" s="296"/>
      <c r="E98" s="123"/>
      <c r="F98" s="109"/>
      <c r="G98" s="292" t="str">
        <f t="shared" si="1"/>
        <v>02.02.03.02.</v>
      </c>
      <c r="H98" s="966" t="s">
        <v>2189</v>
      </c>
      <c r="I98" s="393"/>
      <c r="J98" s="411"/>
      <c r="K98" s="90"/>
      <c r="L98" s="90"/>
      <c r="M98" s="90"/>
      <c r="N98" s="90"/>
      <c r="O98" s="90"/>
      <c r="P98" s="90"/>
      <c r="Q98" s="90"/>
    </row>
    <row r="99" spans="1:17" s="47" customFormat="1" ht="27.75" customHeight="1">
      <c r="A99" s="232"/>
      <c r="B99" s="126"/>
      <c r="C99" s="280" t="s">
        <v>2906</v>
      </c>
      <c r="D99" s="296"/>
      <c r="E99" s="123"/>
      <c r="F99" s="109"/>
      <c r="G99" s="292" t="str">
        <f t="shared" si="1"/>
        <v>02.02.03.03.</v>
      </c>
      <c r="H99" s="966" t="s">
        <v>2189</v>
      </c>
      <c r="I99" s="393"/>
      <c r="J99" s="411"/>
      <c r="K99" s="90"/>
      <c r="L99" s="90"/>
      <c r="M99" s="90"/>
      <c r="N99" s="90"/>
      <c r="O99" s="90"/>
      <c r="P99" s="90"/>
      <c r="Q99" s="90"/>
    </row>
    <row r="100" spans="1:17" s="47" customFormat="1" ht="27.75" customHeight="1">
      <c r="A100" s="232"/>
      <c r="B100" s="126"/>
      <c r="C100" s="280" t="s">
        <v>2907</v>
      </c>
      <c r="D100" s="296"/>
      <c r="E100" s="123"/>
      <c r="F100" s="109"/>
      <c r="G100" s="292" t="str">
        <f t="shared" si="1"/>
        <v>02.02.03.04.</v>
      </c>
      <c r="H100" s="966" t="s">
        <v>2189</v>
      </c>
      <c r="I100" s="393"/>
      <c r="J100" s="411"/>
      <c r="K100" s="90"/>
      <c r="L100" s="90"/>
      <c r="M100" s="90"/>
      <c r="N100" s="90"/>
      <c r="O100" s="90"/>
      <c r="P100" s="90"/>
      <c r="Q100" s="90"/>
    </row>
    <row r="101" spans="1:17" s="47" customFormat="1" ht="27.75" customHeight="1">
      <c r="A101" s="232"/>
      <c r="B101" s="126"/>
      <c r="C101" s="280" t="s">
        <v>2908</v>
      </c>
      <c r="D101" s="296"/>
      <c r="E101" s="123"/>
      <c r="F101" s="109"/>
      <c r="G101" s="292" t="str">
        <f t="shared" si="1"/>
        <v>02.02.03.05.</v>
      </c>
      <c r="H101" s="966" t="s">
        <v>2189</v>
      </c>
      <c r="I101" s="393"/>
      <c r="J101" s="411"/>
      <c r="K101" s="90"/>
      <c r="L101" s="90"/>
      <c r="M101" s="90"/>
      <c r="N101" s="90"/>
      <c r="O101" s="90"/>
      <c r="P101" s="90"/>
      <c r="Q101" s="90"/>
    </row>
    <row r="102" spans="1:17" s="47" customFormat="1" ht="27.75" customHeight="1">
      <c r="A102" s="232"/>
      <c r="B102" s="126"/>
      <c r="C102" s="280" t="s">
        <v>2909</v>
      </c>
      <c r="D102" s="296"/>
      <c r="E102" s="123"/>
      <c r="F102" s="109"/>
      <c r="G102" s="292" t="str">
        <f t="shared" si="1"/>
        <v>02.02.03.06.</v>
      </c>
      <c r="H102" s="966" t="s">
        <v>2189</v>
      </c>
      <c r="I102" s="393"/>
      <c r="J102" s="411"/>
      <c r="K102" s="90"/>
      <c r="L102" s="90"/>
      <c r="M102" s="90"/>
      <c r="N102" s="90"/>
      <c r="O102" s="90"/>
      <c r="P102" s="90"/>
      <c r="Q102" s="90"/>
    </row>
    <row r="103" spans="1:17" s="47" customFormat="1" ht="27.75" customHeight="1">
      <c r="A103" s="232"/>
      <c r="B103" s="126"/>
      <c r="C103" s="280" t="s">
        <v>2910</v>
      </c>
      <c r="D103" s="296"/>
      <c r="E103" s="123"/>
      <c r="F103" s="109"/>
      <c r="G103" s="292" t="str">
        <f t="shared" si="1"/>
        <v>02.02.03.07.</v>
      </c>
      <c r="H103" s="966" t="s">
        <v>2189</v>
      </c>
      <c r="I103" s="393"/>
      <c r="J103" s="411"/>
      <c r="K103" s="90"/>
      <c r="L103" s="90"/>
      <c r="M103" s="90"/>
      <c r="N103" s="90"/>
      <c r="O103" s="90"/>
      <c r="P103" s="90"/>
      <c r="Q103" s="90"/>
    </row>
    <row r="104" spans="1:17" s="47" customFormat="1" ht="27.75" customHeight="1">
      <c r="A104" s="232"/>
      <c r="B104" s="126"/>
      <c r="C104" s="280" t="s">
        <v>2911</v>
      </c>
      <c r="D104" s="296"/>
      <c r="E104" s="123"/>
      <c r="F104" s="109"/>
      <c r="G104" s="292" t="str">
        <f t="shared" si="1"/>
        <v>02.02.03.08.</v>
      </c>
      <c r="H104" s="966" t="s">
        <v>2189</v>
      </c>
      <c r="I104" s="393"/>
      <c r="J104" s="411"/>
      <c r="K104" s="90"/>
      <c r="L104" s="90"/>
      <c r="M104" s="90"/>
      <c r="N104" s="90"/>
      <c r="O104" s="90"/>
      <c r="P104" s="90"/>
      <c r="Q104" s="90"/>
    </row>
    <row r="105" spans="1:17" s="47" customFormat="1" ht="27.75" customHeight="1">
      <c r="A105" s="232"/>
      <c r="B105" s="126"/>
      <c r="C105" s="280" t="s">
        <v>2912</v>
      </c>
      <c r="D105" s="296"/>
      <c r="E105" s="123"/>
      <c r="F105" s="109"/>
      <c r="G105" s="292" t="str">
        <f t="shared" si="1"/>
        <v>02.02.03.09.</v>
      </c>
      <c r="H105" s="966" t="s">
        <v>2189</v>
      </c>
      <c r="I105" s="393"/>
      <c r="J105" s="411"/>
      <c r="K105" s="90"/>
      <c r="L105" s="90"/>
      <c r="M105" s="90"/>
      <c r="N105" s="90"/>
      <c r="O105" s="90"/>
      <c r="P105" s="90"/>
      <c r="Q105" s="90"/>
    </row>
    <row r="106" spans="1:17" s="47" customFormat="1" ht="27.75" customHeight="1">
      <c r="A106" s="232"/>
      <c r="B106" s="126"/>
      <c r="C106" s="280" t="s">
        <v>2913</v>
      </c>
      <c r="D106" s="296"/>
      <c r="E106" s="123"/>
      <c r="F106" s="109"/>
      <c r="G106" s="293" t="str">
        <f t="shared" si="1"/>
        <v>02.02.03.10.</v>
      </c>
      <c r="H106" s="966" t="s">
        <v>2189</v>
      </c>
      <c r="I106" s="1765"/>
      <c r="J106" s="411"/>
      <c r="K106" s="90"/>
      <c r="L106" s="90"/>
      <c r="M106" s="90"/>
      <c r="N106" s="90"/>
      <c r="O106" s="90"/>
      <c r="P106" s="90"/>
      <c r="Q106" s="90"/>
    </row>
    <row r="107" spans="1:17" s="47" customFormat="1" ht="27.75" customHeight="1" thickBot="1">
      <c r="A107" s="232"/>
      <c r="B107" s="127"/>
      <c r="C107" s="280" t="s">
        <v>2914</v>
      </c>
      <c r="D107" s="297"/>
      <c r="E107" s="121"/>
      <c r="F107" s="109"/>
      <c r="G107" s="1774" t="str">
        <f t="shared" si="1"/>
        <v>02.02.03.11.</v>
      </c>
      <c r="H107" s="395" t="s">
        <v>2748</v>
      </c>
      <c r="I107" s="397">
        <f>+I96-SUM(I97:I106)</f>
        <v>0</v>
      </c>
      <c r="J107" s="411"/>
      <c r="K107" s="90"/>
      <c r="L107" s="90"/>
      <c r="M107" s="90"/>
      <c r="N107" s="90"/>
      <c r="O107" s="90"/>
      <c r="P107" s="90"/>
      <c r="Q107" s="90"/>
    </row>
    <row r="108" spans="1:17" s="47" customFormat="1" ht="30.75" customHeight="1" thickTop="1" thickBot="1">
      <c r="A108" s="232"/>
      <c r="B108" s="283" t="s">
        <v>2468</v>
      </c>
      <c r="C108" s="287" t="s">
        <v>2218</v>
      </c>
      <c r="D108" s="299" t="str">
        <f>+'Tabla III.1.'!F22</f>
        <v>03.04.</v>
      </c>
      <c r="E108" s="284" t="s">
        <v>2799</v>
      </c>
      <c r="F108" s="90"/>
      <c r="G108" s="260" t="str">
        <f t="shared" si="1"/>
        <v>02.02.04.</v>
      </c>
      <c r="H108" s="221" t="str">
        <f>"4.  FRENTE A EMPRESAS EMPARENTADAS: SI EL INVERSIONISTA DIRECTO QUE EJERCE EL CONTROL FINAL DE LA ED ES RESIDENTE "&amp;$E$121&amp;"/"</f>
        <v>4.  FRENTE A EMPRESAS EMPARENTADAS: SI EL INVERSIONISTA DIRECTO QUE EJERCE EL CONTROL FINAL DE LA ED ES RESIDENTE 1/</v>
      </c>
      <c r="I108" s="396">
        <f>+'Tabla III.1.'!L22</f>
        <v>0</v>
      </c>
      <c r="J108" s="411"/>
      <c r="K108" s="46"/>
      <c r="L108" s="46"/>
      <c r="M108" s="46"/>
      <c r="N108" s="46"/>
      <c r="O108" s="46"/>
      <c r="P108" s="46"/>
      <c r="Q108" s="46"/>
    </row>
    <row r="109" spans="1:17" s="47" customFormat="1" ht="27.75" customHeight="1" thickTop="1">
      <c r="A109" s="232"/>
      <c r="B109" s="126"/>
      <c r="C109" s="280" t="s">
        <v>2915</v>
      </c>
      <c r="D109" s="296"/>
      <c r="E109" s="123"/>
      <c r="F109" s="109"/>
      <c r="G109" s="292" t="str">
        <f t="shared" si="1"/>
        <v>02.02.04.01.</v>
      </c>
      <c r="H109" s="966" t="s">
        <v>2189</v>
      </c>
      <c r="I109" s="393"/>
      <c r="J109" s="411"/>
      <c r="K109" s="90"/>
      <c r="L109" s="90"/>
      <c r="M109" s="90"/>
      <c r="N109" s="90"/>
      <c r="O109" s="90"/>
      <c r="P109" s="90"/>
      <c r="Q109" s="90"/>
    </row>
    <row r="110" spans="1:17" s="47" customFormat="1" ht="27.75" customHeight="1">
      <c r="A110" s="232"/>
      <c r="B110" s="126"/>
      <c r="C110" s="280" t="s">
        <v>2916</v>
      </c>
      <c r="D110" s="296"/>
      <c r="E110" s="123"/>
      <c r="F110" s="109"/>
      <c r="G110" s="292" t="str">
        <f t="shared" si="1"/>
        <v>02.02.04.02.</v>
      </c>
      <c r="H110" s="966" t="s">
        <v>2189</v>
      </c>
      <c r="I110" s="393"/>
      <c r="J110" s="411"/>
      <c r="K110" s="90"/>
      <c r="L110" s="90"/>
      <c r="M110" s="90"/>
      <c r="N110" s="90"/>
      <c r="O110" s="90"/>
      <c r="P110" s="90"/>
      <c r="Q110" s="90"/>
    </row>
    <row r="111" spans="1:17" s="47" customFormat="1" ht="27.75" customHeight="1">
      <c r="A111" s="232"/>
      <c r="B111" s="126"/>
      <c r="C111" s="280" t="s">
        <v>2917</v>
      </c>
      <c r="D111" s="296"/>
      <c r="E111" s="123"/>
      <c r="F111" s="109"/>
      <c r="G111" s="292" t="str">
        <f t="shared" si="1"/>
        <v>02.02.04.03.</v>
      </c>
      <c r="H111" s="966" t="s">
        <v>2189</v>
      </c>
      <c r="I111" s="393"/>
      <c r="J111" s="411"/>
      <c r="K111" s="90"/>
      <c r="L111" s="90"/>
      <c r="M111" s="90"/>
      <c r="N111" s="90"/>
      <c r="O111" s="90"/>
      <c r="P111" s="90"/>
      <c r="Q111" s="90"/>
    </row>
    <row r="112" spans="1:17" s="47" customFormat="1" ht="27.75" customHeight="1">
      <c r="A112" s="232"/>
      <c r="B112" s="126"/>
      <c r="C112" s="280" t="s">
        <v>2918</v>
      </c>
      <c r="D112" s="296"/>
      <c r="E112" s="123"/>
      <c r="F112" s="109"/>
      <c r="G112" s="292" t="str">
        <f t="shared" si="1"/>
        <v>02.02.04.04.</v>
      </c>
      <c r="H112" s="966" t="s">
        <v>2189</v>
      </c>
      <c r="I112" s="393"/>
      <c r="J112" s="411"/>
      <c r="K112" s="90"/>
      <c r="L112" s="90"/>
      <c r="M112" s="90"/>
      <c r="N112" s="90"/>
      <c r="O112" s="90"/>
      <c r="P112" s="90"/>
      <c r="Q112" s="90"/>
    </row>
    <row r="113" spans="1:17" s="47" customFormat="1" ht="27.75" customHeight="1">
      <c r="A113" s="232"/>
      <c r="B113" s="126"/>
      <c r="C113" s="280" t="s">
        <v>2919</v>
      </c>
      <c r="D113" s="296"/>
      <c r="E113" s="123"/>
      <c r="F113" s="109"/>
      <c r="G113" s="292" t="str">
        <f t="shared" si="1"/>
        <v>02.02.04.05.</v>
      </c>
      <c r="H113" s="966" t="s">
        <v>2189</v>
      </c>
      <c r="I113" s="393"/>
      <c r="J113" s="411"/>
      <c r="K113" s="90"/>
      <c r="L113" s="90"/>
      <c r="M113" s="90"/>
      <c r="N113" s="90"/>
      <c r="O113" s="90"/>
      <c r="P113" s="90"/>
      <c r="Q113" s="90"/>
    </row>
    <row r="114" spans="1:17" s="47" customFormat="1" ht="27.75" customHeight="1">
      <c r="A114" s="232"/>
      <c r="B114" s="126"/>
      <c r="C114" s="280" t="s">
        <v>2920</v>
      </c>
      <c r="D114" s="296"/>
      <c r="E114" s="123"/>
      <c r="F114" s="109"/>
      <c r="G114" s="292" t="str">
        <f t="shared" si="1"/>
        <v>02.02.04.06.</v>
      </c>
      <c r="H114" s="966" t="s">
        <v>2189</v>
      </c>
      <c r="I114" s="393"/>
      <c r="J114" s="411"/>
      <c r="K114" s="90"/>
      <c r="L114" s="90"/>
      <c r="M114" s="90"/>
      <c r="N114" s="90"/>
      <c r="O114" s="90"/>
      <c r="P114" s="90"/>
      <c r="Q114" s="90"/>
    </row>
    <row r="115" spans="1:17" s="47" customFormat="1" ht="27.75" customHeight="1">
      <c r="A115" s="232"/>
      <c r="B115" s="126"/>
      <c r="C115" s="280" t="s">
        <v>2921</v>
      </c>
      <c r="D115" s="296"/>
      <c r="E115" s="123"/>
      <c r="F115" s="109"/>
      <c r="G115" s="292" t="str">
        <f t="shared" si="1"/>
        <v>02.02.04.07.</v>
      </c>
      <c r="H115" s="966" t="s">
        <v>2189</v>
      </c>
      <c r="I115" s="393"/>
      <c r="J115" s="411"/>
      <c r="K115" s="90"/>
      <c r="L115" s="90"/>
      <c r="M115" s="90"/>
      <c r="N115" s="90"/>
      <c r="O115" s="90"/>
      <c r="P115" s="90"/>
      <c r="Q115" s="90"/>
    </row>
    <row r="116" spans="1:17" s="47" customFormat="1" ht="27.75" customHeight="1">
      <c r="A116" s="232"/>
      <c r="B116" s="126"/>
      <c r="C116" s="280" t="s">
        <v>2922</v>
      </c>
      <c r="D116" s="296"/>
      <c r="E116" s="123"/>
      <c r="F116" s="109"/>
      <c r="G116" s="292" t="str">
        <f t="shared" si="1"/>
        <v>02.02.04.08.</v>
      </c>
      <c r="H116" s="966" t="s">
        <v>2189</v>
      </c>
      <c r="I116" s="393"/>
      <c r="J116" s="411"/>
      <c r="K116" s="90"/>
      <c r="L116" s="90"/>
      <c r="M116" s="90"/>
      <c r="N116" s="90"/>
      <c r="O116" s="90"/>
      <c r="P116" s="90"/>
      <c r="Q116" s="90"/>
    </row>
    <row r="117" spans="1:17" s="47" customFormat="1" ht="27.75" customHeight="1">
      <c r="A117" s="232"/>
      <c r="B117" s="126"/>
      <c r="C117" s="280" t="s">
        <v>2923</v>
      </c>
      <c r="D117" s="296"/>
      <c r="E117" s="123"/>
      <c r="F117" s="109"/>
      <c r="G117" s="292" t="str">
        <f t="shared" si="1"/>
        <v>02.02.04.09.</v>
      </c>
      <c r="H117" s="966" t="s">
        <v>2189</v>
      </c>
      <c r="I117" s="393"/>
      <c r="J117" s="411"/>
      <c r="K117" s="90"/>
      <c r="L117" s="90"/>
      <c r="M117" s="90"/>
      <c r="N117" s="90"/>
      <c r="O117" s="90"/>
      <c r="P117" s="90"/>
      <c r="Q117" s="90"/>
    </row>
    <row r="118" spans="1:17" s="47" customFormat="1" ht="27.75" customHeight="1">
      <c r="A118" s="232"/>
      <c r="B118" s="126"/>
      <c r="C118" s="280" t="s">
        <v>2924</v>
      </c>
      <c r="D118" s="296"/>
      <c r="E118" s="123"/>
      <c r="F118" s="109"/>
      <c r="G118" s="1764" t="str">
        <f t="shared" si="1"/>
        <v>02.02.04.10.</v>
      </c>
      <c r="H118" s="1773" t="s">
        <v>2189</v>
      </c>
      <c r="I118" s="1765"/>
      <c r="J118" s="411"/>
      <c r="K118" s="90"/>
      <c r="L118" s="90"/>
      <c r="M118" s="90"/>
      <c r="N118" s="90"/>
      <c r="O118" s="90"/>
      <c r="P118" s="90"/>
      <c r="Q118" s="90"/>
    </row>
    <row r="119" spans="1:17" s="47" customFormat="1" ht="27.75" customHeight="1" thickBot="1">
      <c r="A119" s="232"/>
      <c r="B119" s="1766"/>
      <c r="C119" s="1767" t="s">
        <v>2925</v>
      </c>
      <c r="D119" s="1776"/>
      <c r="E119" s="1769"/>
      <c r="F119" s="109"/>
      <c r="G119" s="394" t="str">
        <f t="shared" si="1"/>
        <v>02.02.04.11.</v>
      </c>
      <c r="H119" s="395" t="s">
        <v>2748</v>
      </c>
      <c r="I119" s="397">
        <f>+I108-SUM(I109:I118)</f>
        <v>0</v>
      </c>
      <c r="J119" s="411"/>
      <c r="K119" s="90"/>
      <c r="L119" s="90"/>
      <c r="M119" s="90"/>
      <c r="N119" s="90"/>
      <c r="O119" s="90"/>
      <c r="P119" s="90"/>
      <c r="Q119" s="90"/>
    </row>
    <row r="120" spans="1:17" ht="18.75" thickTop="1">
      <c r="F120" s="109"/>
      <c r="G120" s="201" t="s">
        <v>2446</v>
      </c>
      <c r="H120" s="223"/>
      <c r="I120" s="224"/>
    </row>
    <row r="121" spans="1:17" ht="26.25" customHeight="1" thickBot="1">
      <c r="E121" s="232">
        <v>1</v>
      </c>
      <c r="F121" s="109"/>
      <c r="G121" s="227" t="str">
        <f>E121&amp;"/ "&amp;"Este valor corresponde a lo declarado en el Formulario III. Deuda Pasivos, Parte A y debe ser equivalente a la suma de los montos de los países a registrar más abajo"</f>
        <v>1/ Este valor corresponde a lo declarado en el Formulario III. Deuda Pasivos, Parte A y debe ser equivalente a la suma de los montos de los países a registrar más abajo</v>
      </c>
      <c r="H121" s="225"/>
      <c r="I121" s="226"/>
    </row>
    <row r="122" spans="1:17" ht="16.5" thickTop="1">
      <c r="E122" s="3"/>
    </row>
  </sheetData>
  <sheetProtection algorithmName="SHA-512" hashValue="i5r1RkDWC0gnVRPrsXVIdZ+NFLfLoD5OWZXlpTt3EQqQ6ywLJbx1V7y9p3xHmx4lyQg5YrnILKIFIDqICqDuUA==" saltValue="N/kPYwyjmvalFxu1dyl/0g==" spinCount="100000" sheet="1" objects="1" scenarios="1"/>
  <mergeCells count="4">
    <mergeCell ref="B11:E12"/>
    <mergeCell ref="B69:E70"/>
    <mergeCell ref="G4:I4"/>
    <mergeCell ref="G7:I7"/>
  </mergeCells>
  <printOptions horizontalCentered="1" verticalCentered="1" headings="1"/>
  <pageMargins left="0.43307086614173229" right="0.47244094488188981" top="0.35433070866141736" bottom="0.39370078740157483" header="0" footer="0"/>
  <pageSetup paperSize="9" scale="41" orientation="portrait" r:id="rId1"/>
  <headerFooter alignWithMargins="0">
    <oddFooter>&amp;L&amp;"Arial,Negrita"&amp;14&amp;D   &amp;T&amp;C&amp;"Arial,Negrita"&amp;14&amp;F&amp;R&amp;"Arial,Negrita"&amp;14&amp;A</oddFooter>
  </headerFooter>
  <drawing r:id="rId2"/>
  <legacyDrawing r:id="rId3"/>
  <controls>
    <mc:AlternateContent xmlns:mc="http://schemas.openxmlformats.org/markup-compatibility/2006">
      <mc:Choice Requires="x14">
        <control shapeId="188418" r:id="rId4" name="ComboBox2">
          <controlPr defaultSize="0" autoLine="0" linkedCell="H16" listFillRange="pais" r:id="rId5">
            <anchor moveWithCells="1">
              <from>
                <xdr:col>7</xdr:col>
                <xdr:colOff>19050</xdr:colOff>
                <xdr:row>15</xdr:row>
                <xdr:rowOff>9525</xdr:rowOff>
              </from>
              <to>
                <xdr:col>7</xdr:col>
                <xdr:colOff>10896600</xdr:colOff>
                <xdr:row>15</xdr:row>
                <xdr:rowOff>323850</xdr:rowOff>
              </to>
            </anchor>
          </controlPr>
        </control>
      </mc:Choice>
      <mc:Fallback>
        <control shapeId="188418" r:id="rId4" name="ComboBox2"/>
      </mc:Fallback>
    </mc:AlternateContent>
    <mc:AlternateContent xmlns:mc="http://schemas.openxmlformats.org/markup-compatibility/2006">
      <mc:Choice Requires="x14">
        <control shapeId="188419" r:id="rId6" name="ComboBox3">
          <controlPr defaultSize="0" autoLine="0" linkedCell="H17" listFillRange="pais" r:id="rId7">
            <anchor moveWithCells="1">
              <from>
                <xdr:col>7</xdr:col>
                <xdr:colOff>19050</xdr:colOff>
                <xdr:row>16</xdr:row>
                <xdr:rowOff>9525</xdr:rowOff>
              </from>
              <to>
                <xdr:col>7</xdr:col>
                <xdr:colOff>10896600</xdr:colOff>
                <xdr:row>16</xdr:row>
                <xdr:rowOff>323850</xdr:rowOff>
              </to>
            </anchor>
          </controlPr>
        </control>
      </mc:Choice>
      <mc:Fallback>
        <control shapeId="188419" r:id="rId6" name="ComboBox3"/>
      </mc:Fallback>
    </mc:AlternateContent>
    <mc:AlternateContent xmlns:mc="http://schemas.openxmlformats.org/markup-compatibility/2006">
      <mc:Choice Requires="x14">
        <control shapeId="188420" r:id="rId8" name="ComboBox1">
          <controlPr defaultSize="0" autoLine="0" linkedCell="H15" listFillRange="pais" r:id="rId9">
            <anchor moveWithCells="1">
              <from>
                <xdr:col>7</xdr:col>
                <xdr:colOff>19050</xdr:colOff>
                <xdr:row>14</xdr:row>
                <xdr:rowOff>9525</xdr:rowOff>
              </from>
              <to>
                <xdr:col>7</xdr:col>
                <xdr:colOff>10896600</xdr:colOff>
                <xdr:row>14</xdr:row>
                <xdr:rowOff>323850</xdr:rowOff>
              </to>
            </anchor>
          </controlPr>
        </control>
      </mc:Choice>
      <mc:Fallback>
        <control shapeId="188420" r:id="rId8" name="ComboBox1"/>
      </mc:Fallback>
    </mc:AlternateContent>
    <mc:AlternateContent xmlns:mc="http://schemas.openxmlformats.org/markup-compatibility/2006">
      <mc:Choice Requires="x14">
        <control shapeId="188421" r:id="rId10" name="ComboBox4">
          <controlPr defaultSize="0" autoLine="0" linkedCell="H18" listFillRange="pais" r:id="rId11">
            <anchor moveWithCells="1">
              <from>
                <xdr:col>7</xdr:col>
                <xdr:colOff>19050</xdr:colOff>
                <xdr:row>17</xdr:row>
                <xdr:rowOff>9525</xdr:rowOff>
              </from>
              <to>
                <xdr:col>7</xdr:col>
                <xdr:colOff>10896600</xdr:colOff>
                <xdr:row>17</xdr:row>
                <xdr:rowOff>323850</xdr:rowOff>
              </to>
            </anchor>
          </controlPr>
        </control>
      </mc:Choice>
      <mc:Fallback>
        <control shapeId="188421" r:id="rId10" name="ComboBox4"/>
      </mc:Fallback>
    </mc:AlternateContent>
    <mc:AlternateContent xmlns:mc="http://schemas.openxmlformats.org/markup-compatibility/2006">
      <mc:Choice Requires="x14">
        <control shapeId="188422" r:id="rId12" name="ComboBox5">
          <controlPr defaultSize="0" autoLine="0" linkedCell="H19" listFillRange="pais" r:id="rId13">
            <anchor moveWithCells="1">
              <from>
                <xdr:col>7</xdr:col>
                <xdr:colOff>19050</xdr:colOff>
                <xdr:row>18</xdr:row>
                <xdr:rowOff>9525</xdr:rowOff>
              </from>
              <to>
                <xdr:col>7</xdr:col>
                <xdr:colOff>10896600</xdr:colOff>
                <xdr:row>18</xdr:row>
                <xdr:rowOff>323850</xdr:rowOff>
              </to>
            </anchor>
          </controlPr>
        </control>
      </mc:Choice>
      <mc:Fallback>
        <control shapeId="188422" r:id="rId12" name="ComboBox5"/>
      </mc:Fallback>
    </mc:AlternateContent>
    <mc:AlternateContent xmlns:mc="http://schemas.openxmlformats.org/markup-compatibility/2006">
      <mc:Choice Requires="x14">
        <control shapeId="188423" r:id="rId14" name="ComboBox6">
          <controlPr defaultSize="0" autoLine="0" linkedCell="H20" listFillRange="pais" r:id="rId15">
            <anchor moveWithCells="1">
              <from>
                <xdr:col>7</xdr:col>
                <xdr:colOff>19050</xdr:colOff>
                <xdr:row>19</xdr:row>
                <xdr:rowOff>9525</xdr:rowOff>
              </from>
              <to>
                <xdr:col>7</xdr:col>
                <xdr:colOff>10896600</xdr:colOff>
                <xdr:row>19</xdr:row>
                <xdr:rowOff>323850</xdr:rowOff>
              </to>
            </anchor>
          </controlPr>
        </control>
      </mc:Choice>
      <mc:Fallback>
        <control shapeId="188423" r:id="rId14" name="ComboBox6"/>
      </mc:Fallback>
    </mc:AlternateContent>
    <mc:AlternateContent xmlns:mc="http://schemas.openxmlformats.org/markup-compatibility/2006">
      <mc:Choice Requires="x14">
        <control shapeId="188424" r:id="rId16" name="ComboBox7">
          <controlPr defaultSize="0" autoLine="0" linkedCell="H21" listFillRange="pais" r:id="rId17">
            <anchor moveWithCells="1">
              <from>
                <xdr:col>7</xdr:col>
                <xdr:colOff>19050</xdr:colOff>
                <xdr:row>20</xdr:row>
                <xdr:rowOff>9525</xdr:rowOff>
              </from>
              <to>
                <xdr:col>7</xdr:col>
                <xdr:colOff>10896600</xdr:colOff>
                <xdr:row>20</xdr:row>
                <xdr:rowOff>323850</xdr:rowOff>
              </to>
            </anchor>
          </controlPr>
        </control>
      </mc:Choice>
      <mc:Fallback>
        <control shapeId="188424" r:id="rId16" name="ComboBox7"/>
      </mc:Fallback>
    </mc:AlternateContent>
    <mc:AlternateContent xmlns:mc="http://schemas.openxmlformats.org/markup-compatibility/2006">
      <mc:Choice Requires="x14">
        <control shapeId="188425" r:id="rId18" name="ComboBox8">
          <controlPr defaultSize="0" autoLine="0" linkedCell="H22" listFillRange="pais" r:id="rId19">
            <anchor moveWithCells="1">
              <from>
                <xdr:col>7</xdr:col>
                <xdr:colOff>19050</xdr:colOff>
                <xdr:row>21</xdr:row>
                <xdr:rowOff>9525</xdr:rowOff>
              </from>
              <to>
                <xdr:col>7</xdr:col>
                <xdr:colOff>10896600</xdr:colOff>
                <xdr:row>21</xdr:row>
                <xdr:rowOff>323850</xdr:rowOff>
              </to>
            </anchor>
          </controlPr>
        </control>
      </mc:Choice>
      <mc:Fallback>
        <control shapeId="188425" r:id="rId18" name="ComboBox8"/>
      </mc:Fallback>
    </mc:AlternateContent>
    <mc:AlternateContent xmlns:mc="http://schemas.openxmlformats.org/markup-compatibility/2006">
      <mc:Choice Requires="x14">
        <control shapeId="188426" r:id="rId20" name="ComboBox9">
          <controlPr defaultSize="0" autoLine="0" linkedCell="H23" listFillRange="pais" r:id="rId21">
            <anchor moveWithCells="1">
              <from>
                <xdr:col>7</xdr:col>
                <xdr:colOff>19050</xdr:colOff>
                <xdr:row>22</xdr:row>
                <xdr:rowOff>9525</xdr:rowOff>
              </from>
              <to>
                <xdr:col>7</xdr:col>
                <xdr:colOff>10896600</xdr:colOff>
                <xdr:row>22</xdr:row>
                <xdr:rowOff>323850</xdr:rowOff>
              </to>
            </anchor>
          </controlPr>
        </control>
      </mc:Choice>
      <mc:Fallback>
        <control shapeId="188426" r:id="rId20" name="ComboBox9"/>
      </mc:Fallback>
    </mc:AlternateContent>
    <mc:AlternateContent xmlns:mc="http://schemas.openxmlformats.org/markup-compatibility/2006">
      <mc:Choice Requires="x14">
        <control shapeId="188427" r:id="rId22" name="ComboBox10">
          <controlPr defaultSize="0" autoLine="0" linkedCell="H24" listFillRange="pais" r:id="rId23">
            <anchor moveWithCells="1">
              <from>
                <xdr:col>7</xdr:col>
                <xdr:colOff>19050</xdr:colOff>
                <xdr:row>23</xdr:row>
                <xdr:rowOff>9525</xdr:rowOff>
              </from>
              <to>
                <xdr:col>7</xdr:col>
                <xdr:colOff>10896600</xdr:colOff>
                <xdr:row>23</xdr:row>
                <xdr:rowOff>323850</xdr:rowOff>
              </to>
            </anchor>
          </controlPr>
        </control>
      </mc:Choice>
      <mc:Fallback>
        <control shapeId="188427" r:id="rId22" name="ComboBox10"/>
      </mc:Fallback>
    </mc:AlternateContent>
    <mc:AlternateContent xmlns:mc="http://schemas.openxmlformats.org/markup-compatibility/2006">
      <mc:Choice Requires="x14">
        <control shapeId="188428" r:id="rId24" name="ComboBox11">
          <controlPr defaultSize="0" autoLine="0" linkedCell="H27" listFillRange="pais" r:id="rId25">
            <anchor moveWithCells="1">
              <from>
                <xdr:col>7</xdr:col>
                <xdr:colOff>19050</xdr:colOff>
                <xdr:row>26</xdr:row>
                <xdr:rowOff>9525</xdr:rowOff>
              </from>
              <to>
                <xdr:col>7</xdr:col>
                <xdr:colOff>10896600</xdr:colOff>
                <xdr:row>26</xdr:row>
                <xdr:rowOff>323850</xdr:rowOff>
              </to>
            </anchor>
          </controlPr>
        </control>
      </mc:Choice>
      <mc:Fallback>
        <control shapeId="188428" r:id="rId24" name="ComboBox11"/>
      </mc:Fallback>
    </mc:AlternateContent>
    <mc:AlternateContent xmlns:mc="http://schemas.openxmlformats.org/markup-compatibility/2006">
      <mc:Choice Requires="x14">
        <control shapeId="188429" r:id="rId26" name="ComboBox12">
          <controlPr defaultSize="0" autoLine="0" linkedCell="H28" listFillRange="pais" r:id="rId27">
            <anchor moveWithCells="1">
              <from>
                <xdr:col>7</xdr:col>
                <xdr:colOff>19050</xdr:colOff>
                <xdr:row>27</xdr:row>
                <xdr:rowOff>9525</xdr:rowOff>
              </from>
              <to>
                <xdr:col>7</xdr:col>
                <xdr:colOff>10896600</xdr:colOff>
                <xdr:row>27</xdr:row>
                <xdr:rowOff>323850</xdr:rowOff>
              </to>
            </anchor>
          </controlPr>
        </control>
      </mc:Choice>
      <mc:Fallback>
        <control shapeId="188429" r:id="rId26" name="ComboBox12"/>
      </mc:Fallback>
    </mc:AlternateContent>
    <mc:AlternateContent xmlns:mc="http://schemas.openxmlformats.org/markup-compatibility/2006">
      <mc:Choice Requires="x14">
        <control shapeId="188430" r:id="rId28" name="ComboBox13">
          <controlPr defaultSize="0" autoLine="0" linkedCell="H29" listFillRange="pais" r:id="rId29">
            <anchor moveWithCells="1">
              <from>
                <xdr:col>7</xdr:col>
                <xdr:colOff>19050</xdr:colOff>
                <xdr:row>28</xdr:row>
                <xdr:rowOff>9525</xdr:rowOff>
              </from>
              <to>
                <xdr:col>7</xdr:col>
                <xdr:colOff>10896600</xdr:colOff>
                <xdr:row>28</xdr:row>
                <xdr:rowOff>323850</xdr:rowOff>
              </to>
            </anchor>
          </controlPr>
        </control>
      </mc:Choice>
      <mc:Fallback>
        <control shapeId="188430" r:id="rId28" name="ComboBox13"/>
      </mc:Fallback>
    </mc:AlternateContent>
    <mc:AlternateContent xmlns:mc="http://schemas.openxmlformats.org/markup-compatibility/2006">
      <mc:Choice Requires="x14">
        <control shapeId="188431" r:id="rId30" name="ComboBox14">
          <controlPr defaultSize="0" autoLine="0" linkedCell="H30" listFillRange="pais" r:id="rId31">
            <anchor moveWithCells="1">
              <from>
                <xdr:col>7</xdr:col>
                <xdr:colOff>19050</xdr:colOff>
                <xdr:row>29</xdr:row>
                <xdr:rowOff>9525</xdr:rowOff>
              </from>
              <to>
                <xdr:col>7</xdr:col>
                <xdr:colOff>10896600</xdr:colOff>
                <xdr:row>29</xdr:row>
                <xdr:rowOff>323850</xdr:rowOff>
              </to>
            </anchor>
          </controlPr>
        </control>
      </mc:Choice>
      <mc:Fallback>
        <control shapeId="188431" r:id="rId30" name="ComboBox14"/>
      </mc:Fallback>
    </mc:AlternateContent>
    <mc:AlternateContent xmlns:mc="http://schemas.openxmlformats.org/markup-compatibility/2006">
      <mc:Choice Requires="x14">
        <control shapeId="188432" r:id="rId32" name="ComboBox15">
          <controlPr defaultSize="0" autoLine="0" linkedCell="H31" listFillRange="pais" r:id="rId33">
            <anchor moveWithCells="1">
              <from>
                <xdr:col>7</xdr:col>
                <xdr:colOff>19050</xdr:colOff>
                <xdr:row>30</xdr:row>
                <xdr:rowOff>9525</xdr:rowOff>
              </from>
              <to>
                <xdr:col>7</xdr:col>
                <xdr:colOff>10896600</xdr:colOff>
                <xdr:row>30</xdr:row>
                <xdr:rowOff>323850</xdr:rowOff>
              </to>
            </anchor>
          </controlPr>
        </control>
      </mc:Choice>
      <mc:Fallback>
        <control shapeId="188432" r:id="rId32" name="ComboBox15"/>
      </mc:Fallback>
    </mc:AlternateContent>
    <mc:AlternateContent xmlns:mc="http://schemas.openxmlformats.org/markup-compatibility/2006">
      <mc:Choice Requires="x14">
        <control shapeId="188433" r:id="rId34" name="ComboBox16">
          <controlPr defaultSize="0" autoLine="0" linkedCell="H32" listFillRange="pais" r:id="rId35">
            <anchor moveWithCells="1">
              <from>
                <xdr:col>7</xdr:col>
                <xdr:colOff>19050</xdr:colOff>
                <xdr:row>31</xdr:row>
                <xdr:rowOff>9525</xdr:rowOff>
              </from>
              <to>
                <xdr:col>7</xdr:col>
                <xdr:colOff>10896600</xdr:colOff>
                <xdr:row>31</xdr:row>
                <xdr:rowOff>323850</xdr:rowOff>
              </to>
            </anchor>
          </controlPr>
        </control>
      </mc:Choice>
      <mc:Fallback>
        <control shapeId="188433" r:id="rId34" name="ComboBox16"/>
      </mc:Fallback>
    </mc:AlternateContent>
    <mc:AlternateContent xmlns:mc="http://schemas.openxmlformats.org/markup-compatibility/2006">
      <mc:Choice Requires="x14">
        <control shapeId="188434" r:id="rId36" name="ComboBox17">
          <controlPr defaultSize="0" autoLine="0" linkedCell="H33" listFillRange="pais" r:id="rId37">
            <anchor moveWithCells="1">
              <from>
                <xdr:col>7</xdr:col>
                <xdr:colOff>19050</xdr:colOff>
                <xdr:row>32</xdr:row>
                <xdr:rowOff>9525</xdr:rowOff>
              </from>
              <to>
                <xdr:col>7</xdr:col>
                <xdr:colOff>10896600</xdr:colOff>
                <xdr:row>32</xdr:row>
                <xdr:rowOff>323850</xdr:rowOff>
              </to>
            </anchor>
          </controlPr>
        </control>
      </mc:Choice>
      <mc:Fallback>
        <control shapeId="188434" r:id="rId36" name="ComboBox17"/>
      </mc:Fallback>
    </mc:AlternateContent>
    <mc:AlternateContent xmlns:mc="http://schemas.openxmlformats.org/markup-compatibility/2006">
      <mc:Choice Requires="x14">
        <control shapeId="188435" r:id="rId38" name="ComboBox18">
          <controlPr defaultSize="0" autoLine="0" linkedCell="H34" listFillRange="pais" r:id="rId39">
            <anchor moveWithCells="1">
              <from>
                <xdr:col>7</xdr:col>
                <xdr:colOff>19050</xdr:colOff>
                <xdr:row>33</xdr:row>
                <xdr:rowOff>9525</xdr:rowOff>
              </from>
              <to>
                <xdr:col>7</xdr:col>
                <xdr:colOff>10896600</xdr:colOff>
                <xdr:row>33</xdr:row>
                <xdr:rowOff>323850</xdr:rowOff>
              </to>
            </anchor>
          </controlPr>
        </control>
      </mc:Choice>
      <mc:Fallback>
        <control shapeId="188435" r:id="rId38" name="ComboBox18"/>
      </mc:Fallback>
    </mc:AlternateContent>
    <mc:AlternateContent xmlns:mc="http://schemas.openxmlformats.org/markup-compatibility/2006">
      <mc:Choice Requires="x14">
        <control shapeId="188436" r:id="rId40" name="ComboBox19">
          <controlPr defaultSize="0" autoLine="0" linkedCell="H35" listFillRange="pais" r:id="rId41">
            <anchor moveWithCells="1">
              <from>
                <xdr:col>7</xdr:col>
                <xdr:colOff>19050</xdr:colOff>
                <xdr:row>34</xdr:row>
                <xdr:rowOff>9525</xdr:rowOff>
              </from>
              <to>
                <xdr:col>7</xdr:col>
                <xdr:colOff>10896600</xdr:colOff>
                <xdr:row>34</xdr:row>
                <xdr:rowOff>323850</xdr:rowOff>
              </to>
            </anchor>
          </controlPr>
        </control>
      </mc:Choice>
      <mc:Fallback>
        <control shapeId="188436" r:id="rId40" name="ComboBox19"/>
      </mc:Fallback>
    </mc:AlternateContent>
    <mc:AlternateContent xmlns:mc="http://schemas.openxmlformats.org/markup-compatibility/2006">
      <mc:Choice Requires="x14">
        <control shapeId="188437" r:id="rId42" name="ComboBox20">
          <controlPr defaultSize="0" autoLine="0" linkedCell="H36" listFillRange="pais" r:id="rId43">
            <anchor moveWithCells="1">
              <from>
                <xdr:col>7</xdr:col>
                <xdr:colOff>19050</xdr:colOff>
                <xdr:row>35</xdr:row>
                <xdr:rowOff>9525</xdr:rowOff>
              </from>
              <to>
                <xdr:col>7</xdr:col>
                <xdr:colOff>10896600</xdr:colOff>
                <xdr:row>35</xdr:row>
                <xdr:rowOff>323850</xdr:rowOff>
              </to>
            </anchor>
          </controlPr>
        </control>
      </mc:Choice>
      <mc:Fallback>
        <control shapeId="188437" r:id="rId42" name="ComboBox20"/>
      </mc:Fallback>
    </mc:AlternateContent>
    <mc:AlternateContent xmlns:mc="http://schemas.openxmlformats.org/markup-compatibility/2006">
      <mc:Choice Requires="x14">
        <control shapeId="188438" r:id="rId44" name="ComboBox21">
          <controlPr defaultSize="0" autoLine="0" linkedCell="H39" listFillRange="pais" r:id="rId45">
            <anchor moveWithCells="1">
              <from>
                <xdr:col>7</xdr:col>
                <xdr:colOff>19050</xdr:colOff>
                <xdr:row>38</xdr:row>
                <xdr:rowOff>9525</xdr:rowOff>
              </from>
              <to>
                <xdr:col>7</xdr:col>
                <xdr:colOff>10896600</xdr:colOff>
                <xdr:row>38</xdr:row>
                <xdr:rowOff>323850</xdr:rowOff>
              </to>
            </anchor>
          </controlPr>
        </control>
      </mc:Choice>
      <mc:Fallback>
        <control shapeId="188438" r:id="rId44" name="ComboBox21"/>
      </mc:Fallback>
    </mc:AlternateContent>
    <mc:AlternateContent xmlns:mc="http://schemas.openxmlformats.org/markup-compatibility/2006">
      <mc:Choice Requires="x14">
        <control shapeId="188439" r:id="rId46" name="ComboBox22">
          <controlPr defaultSize="0" autoLine="0" linkedCell="H40" listFillRange="pais" r:id="rId47">
            <anchor moveWithCells="1">
              <from>
                <xdr:col>7</xdr:col>
                <xdr:colOff>19050</xdr:colOff>
                <xdr:row>39</xdr:row>
                <xdr:rowOff>9525</xdr:rowOff>
              </from>
              <to>
                <xdr:col>7</xdr:col>
                <xdr:colOff>10896600</xdr:colOff>
                <xdr:row>39</xdr:row>
                <xdr:rowOff>323850</xdr:rowOff>
              </to>
            </anchor>
          </controlPr>
        </control>
      </mc:Choice>
      <mc:Fallback>
        <control shapeId="188439" r:id="rId46" name="ComboBox22"/>
      </mc:Fallback>
    </mc:AlternateContent>
    <mc:AlternateContent xmlns:mc="http://schemas.openxmlformats.org/markup-compatibility/2006">
      <mc:Choice Requires="x14">
        <control shapeId="188440" r:id="rId48" name="ComboBox23">
          <controlPr defaultSize="0" autoLine="0" linkedCell="H41" listFillRange="pais" r:id="rId49">
            <anchor moveWithCells="1">
              <from>
                <xdr:col>7</xdr:col>
                <xdr:colOff>19050</xdr:colOff>
                <xdr:row>40</xdr:row>
                <xdr:rowOff>9525</xdr:rowOff>
              </from>
              <to>
                <xdr:col>7</xdr:col>
                <xdr:colOff>10896600</xdr:colOff>
                <xdr:row>40</xdr:row>
                <xdr:rowOff>323850</xdr:rowOff>
              </to>
            </anchor>
          </controlPr>
        </control>
      </mc:Choice>
      <mc:Fallback>
        <control shapeId="188440" r:id="rId48" name="ComboBox23"/>
      </mc:Fallback>
    </mc:AlternateContent>
    <mc:AlternateContent xmlns:mc="http://schemas.openxmlformats.org/markup-compatibility/2006">
      <mc:Choice Requires="x14">
        <control shapeId="188441" r:id="rId50" name="ComboBox24">
          <controlPr defaultSize="0" autoLine="0" linkedCell="H42" listFillRange="pais" r:id="rId51">
            <anchor moveWithCells="1">
              <from>
                <xdr:col>7</xdr:col>
                <xdr:colOff>19050</xdr:colOff>
                <xdr:row>41</xdr:row>
                <xdr:rowOff>9525</xdr:rowOff>
              </from>
              <to>
                <xdr:col>7</xdr:col>
                <xdr:colOff>10896600</xdr:colOff>
                <xdr:row>41</xdr:row>
                <xdr:rowOff>323850</xdr:rowOff>
              </to>
            </anchor>
          </controlPr>
        </control>
      </mc:Choice>
      <mc:Fallback>
        <control shapeId="188441" r:id="rId50" name="ComboBox24"/>
      </mc:Fallback>
    </mc:AlternateContent>
    <mc:AlternateContent xmlns:mc="http://schemas.openxmlformats.org/markup-compatibility/2006">
      <mc:Choice Requires="x14">
        <control shapeId="188442" r:id="rId52" name="ComboBox25">
          <controlPr defaultSize="0" autoLine="0" linkedCell="H43" listFillRange="pais" r:id="rId53">
            <anchor moveWithCells="1">
              <from>
                <xdr:col>7</xdr:col>
                <xdr:colOff>19050</xdr:colOff>
                <xdr:row>42</xdr:row>
                <xdr:rowOff>9525</xdr:rowOff>
              </from>
              <to>
                <xdr:col>7</xdr:col>
                <xdr:colOff>10896600</xdr:colOff>
                <xdr:row>42</xdr:row>
                <xdr:rowOff>323850</xdr:rowOff>
              </to>
            </anchor>
          </controlPr>
        </control>
      </mc:Choice>
      <mc:Fallback>
        <control shapeId="188442" r:id="rId52" name="ComboBox25"/>
      </mc:Fallback>
    </mc:AlternateContent>
    <mc:AlternateContent xmlns:mc="http://schemas.openxmlformats.org/markup-compatibility/2006">
      <mc:Choice Requires="x14">
        <control shapeId="188443" r:id="rId54" name="ComboBox26">
          <controlPr defaultSize="0" autoLine="0" linkedCell="H44" listFillRange="pais" r:id="rId55">
            <anchor moveWithCells="1">
              <from>
                <xdr:col>7</xdr:col>
                <xdr:colOff>19050</xdr:colOff>
                <xdr:row>43</xdr:row>
                <xdr:rowOff>9525</xdr:rowOff>
              </from>
              <to>
                <xdr:col>7</xdr:col>
                <xdr:colOff>10896600</xdr:colOff>
                <xdr:row>43</xdr:row>
                <xdr:rowOff>323850</xdr:rowOff>
              </to>
            </anchor>
          </controlPr>
        </control>
      </mc:Choice>
      <mc:Fallback>
        <control shapeId="188443" r:id="rId54" name="ComboBox26"/>
      </mc:Fallback>
    </mc:AlternateContent>
    <mc:AlternateContent xmlns:mc="http://schemas.openxmlformats.org/markup-compatibility/2006">
      <mc:Choice Requires="x14">
        <control shapeId="188444" r:id="rId56" name="ComboBox27">
          <controlPr defaultSize="0" autoLine="0" linkedCell="H45" listFillRange="pais" r:id="rId57">
            <anchor moveWithCells="1">
              <from>
                <xdr:col>7</xdr:col>
                <xdr:colOff>19050</xdr:colOff>
                <xdr:row>44</xdr:row>
                <xdr:rowOff>9525</xdr:rowOff>
              </from>
              <to>
                <xdr:col>7</xdr:col>
                <xdr:colOff>10896600</xdr:colOff>
                <xdr:row>44</xdr:row>
                <xdr:rowOff>323850</xdr:rowOff>
              </to>
            </anchor>
          </controlPr>
        </control>
      </mc:Choice>
      <mc:Fallback>
        <control shapeId="188444" r:id="rId56" name="ComboBox27"/>
      </mc:Fallback>
    </mc:AlternateContent>
    <mc:AlternateContent xmlns:mc="http://schemas.openxmlformats.org/markup-compatibility/2006">
      <mc:Choice Requires="x14">
        <control shapeId="188445" r:id="rId58" name="ComboBox28">
          <controlPr defaultSize="0" autoLine="0" linkedCell="H46" listFillRange="pais" r:id="rId59">
            <anchor moveWithCells="1">
              <from>
                <xdr:col>7</xdr:col>
                <xdr:colOff>19050</xdr:colOff>
                <xdr:row>45</xdr:row>
                <xdr:rowOff>9525</xdr:rowOff>
              </from>
              <to>
                <xdr:col>7</xdr:col>
                <xdr:colOff>10896600</xdr:colOff>
                <xdr:row>45</xdr:row>
                <xdr:rowOff>323850</xdr:rowOff>
              </to>
            </anchor>
          </controlPr>
        </control>
      </mc:Choice>
      <mc:Fallback>
        <control shapeId="188445" r:id="rId58" name="ComboBox28"/>
      </mc:Fallback>
    </mc:AlternateContent>
    <mc:AlternateContent xmlns:mc="http://schemas.openxmlformats.org/markup-compatibility/2006">
      <mc:Choice Requires="x14">
        <control shapeId="188446" r:id="rId60" name="ComboBox29">
          <controlPr defaultSize="0" autoLine="0" linkedCell="H47" listFillRange="pais" r:id="rId61">
            <anchor moveWithCells="1">
              <from>
                <xdr:col>7</xdr:col>
                <xdr:colOff>19050</xdr:colOff>
                <xdr:row>46</xdr:row>
                <xdr:rowOff>9525</xdr:rowOff>
              </from>
              <to>
                <xdr:col>7</xdr:col>
                <xdr:colOff>10896600</xdr:colOff>
                <xdr:row>46</xdr:row>
                <xdr:rowOff>323850</xdr:rowOff>
              </to>
            </anchor>
          </controlPr>
        </control>
      </mc:Choice>
      <mc:Fallback>
        <control shapeId="188446" r:id="rId60" name="ComboBox29"/>
      </mc:Fallback>
    </mc:AlternateContent>
    <mc:AlternateContent xmlns:mc="http://schemas.openxmlformats.org/markup-compatibility/2006">
      <mc:Choice Requires="x14">
        <control shapeId="188447" r:id="rId62" name="ComboBox30">
          <controlPr defaultSize="0" autoLine="0" linkedCell="H48" listFillRange="pais" r:id="rId63">
            <anchor moveWithCells="1">
              <from>
                <xdr:col>7</xdr:col>
                <xdr:colOff>19050</xdr:colOff>
                <xdr:row>47</xdr:row>
                <xdr:rowOff>9525</xdr:rowOff>
              </from>
              <to>
                <xdr:col>7</xdr:col>
                <xdr:colOff>10896600</xdr:colOff>
                <xdr:row>47</xdr:row>
                <xdr:rowOff>323850</xdr:rowOff>
              </to>
            </anchor>
          </controlPr>
        </control>
      </mc:Choice>
      <mc:Fallback>
        <control shapeId="188447" r:id="rId62" name="ComboBox30"/>
      </mc:Fallback>
    </mc:AlternateContent>
    <mc:AlternateContent xmlns:mc="http://schemas.openxmlformats.org/markup-compatibility/2006">
      <mc:Choice Requires="x14">
        <control shapeId="188448" r:id="rId64" name="ComboBox31">
          <controlPr defaultSize="0" autoLine="0" linkedCell="H51" listFillRange="pais" r:id="rId65">
            <anchor moveWithCells="1">
              <from>
                <xdr:col>7</xdr:col>
                <xdr:colOff>19050</xdr:colOff>
                <xdr:row>50</xdr:row>
                <xdr:rowOff>9525</xdr:rowOff>
              </from>
              <to>
                <xdr:col>7</xdr:col>
                <xdr:colOff>10896600</xdr:colOff>
                <xdr:row>50</xdr:row>
                <xdr:rowOff>323850</xdr:rowOff>
              </to>
            </anchor>
          </controlPr>
        </control>
      </mc:Choice>
      <mc:Fallback>
        <control shapeId="188448" r:id="rId64" name="ComboBox31"/>
      </mc:Fallback>
    </mc:AlternateContent>
    <mc:AlternateContent xmlns:mc="http://schemas.openxmlformats.org/markup-compatibility/2006">
      <mc:Choice Requires="x14">
        <control shapeId="188449" r:id="rId66" name="ComboBox32">
          <controlPr defaultSize="0" autoLine="0" linkedCell="H52" listFillRange="pais" r:id="rId67">
            <anchor moveWithCells="1">
              <from>
                <xdr:col>7</xdr:col>
                <xdr:colOff>19050</xdr:colOff>
                <xdr:row>51</xdr:row>
                <xdr:rowOff>9525</xdr:rowOff>
              </from>
              <to>
                <xdr:col>7</xdr:col>
                <xdr:colOff>10896600</xdr:colOff>
                <xdr:row>51</xdr:row>
                <xdr:rowOff>323850</xdr:rowOff>
              </to>
            </anchor>
          </controlPr>
        </control>
      </mc:Choice>
      <mc:Fallback>
        <control shapeId="188449" r:id="rId66" name="ComboBox32"/>
      </mc:Fallback>
    </mc:AlternateContent>
    <mc:AlternateContent xmlns:mc="http://schemas.openxmlformats.org/markup-compatibility/2006">
      <mc:Choice Requires="x14">
        <control shapeId="188450" r:id="rId68" name="ComboBox33">
          <controlPr defaultSize="0" autoLine="0" linkedCell="H53" listFillRange="pais" r:id="rId69">
            <anchor moveWithCells="1">
              <from>
                <xdr:col>7</xdr:col>
                <xdr:colOff>19050</xdr:colOff>
                <xdr:row>52</xdr:row>
                <xdr:rowOff>9525</xdr:rowOff>
              </from>
              <to>
                <xdr:col>7</xdr:col>
                <xdr:colOff>10896600</xdr:colOff>
                <xdr:row>52</xdr:row>
                <xdr:rowOff>323850</xdr:rowOff>
              </to>
            </anchor>
          </controlPr>
        </control>
      </mc:Choice>
      <mc:Fallback>
        <control shapeId="188450" r:id="rId68" name="ComboBox33"/>
      </mc:Fallback>
    </mc:AlternateContent>
    <mc:AlternateContent xmlns:mc="http://schemas.openxmlformats.org/markup-compatibility/2006">
      <mc:Choice Requires="x14">
        <control shapeId="188451" r:id="rId70" name="ComboBox34">
          <controlPr defaultSize="0" autoLine="0" linkedCell="H54" listFillRange="pais" r:id="rId71">
            <anchor moveWithCells="1">
              <from>
                <xdr:col>7</xdr:col>
                <xdr:colOff>19050</xdr:colOff>
                <xdr:row>53</xdr:row>
                <xdr:rowOff>9525</xdr:rowOff>
              </from>
              <to>
                <xdr:col>7</xdr:col>
                <xdr:colOff>10896600</xdr:colOff>
                <xdr:row>53</xdr:row>
                <xdr:rowOff>323850</xdr:rowOff>
              </to>
            </anchor>
          </controlPr>
        </control>
      </mc:Choice>
      <mc:Fallback>
        <control shapeId="188451" r:id="rId70" name="ComboBox34"/>
      </mc:Fallback>
    </mc:AlternateContent>
    <mc:AlternateContent xmlns:mc="http://schemas.openxmlformats.org/markup-compatibility/2006">
      <mc:Choice Requires="x14">
        <control shapeId="188452" r:id="rId72" name="ComboBox35">
          <controlPr defaultSize="0" autoLine="0" linkedCell="H55" listFillRange="pais" r:id="rId73">
            <anchor moveWithCells="1">
              <from>
                <xdr:col>7</xdr:col>
                <xdr:colOff>19050</xdr:colOff>
                <xdr:row>54</xdr:row>
                <xdr:rowOff>9525</xdr:rowOff>
              </from>
              <to>
                <xdr:col>7</xdr:col>
                <xdr:colOff>10896600</xdr:colOff>
                <xdr:row>54</xdr:row>
                <xdr:rowOff>323850</xdr:rowOff>
              </to>
            </anchor>
          </controlPr>
        </control>
      </mc:Choice>
      <mc:Fallback>
        <control shapeId="188452" r:id="rId72" name="ComboBox35"/>
      </mc:Fallback>
    </mc:AlternateContent>
    <mc:AlternateContent xmlns:mc="http://schemas.openxmlformats.org/markup-compatibility/2006">
      <mc:Choice Requires="x14">
        <control shapeId="188453" r:id="rId74" name="ComboBox36">
          <controlPr defaultSize="0" autoLine="0" linkedCell="H56" listFillRange="pais" r:id="rId75">
            <anchor moveWithCells="1">
              <from>
                <xdr:col>7</xdr:col>
                <xdr:colOff>19050</xdr:colOff>
                <xdr:row>55</xdr:row>
                <xdr:rowOff>9525</xdr:rowOff>
              </from>
              <to>
                <xdr:col>7</xdr:col>
                <xdr:colOff>10896600</xdr:colOff>
                <xdr:row>55</xdr:row>
                <xdr:rowOff>323850</xdr:rowOff>
              </to>
            </anchor>
          </controlPr>
        </control>
      </mc:Choice>
      <mc:Fallback>
        <control shapeId="188453" r:id="rId74" name="ComboBox36"/>
      </mc:Fallback>
    </mc:AlternateContent>
    <mc:AlternateContent xmlns:mc="http://schemas.openxmlformats.org/markup-compatibility/2006">
      <mc:Choice Requires="x14">
        <control shapeId="188454" r:id="rId76" name="ComboBox37">
          <controlPr defaultSize="0" autoLine="0" linkedCell="H57" listFillRange="pais" r:id="rId77">
            <anchor moveWithCells="1">
              <from>
                <xdr:col>7</xdr:col>
                <xdr:colOff>19050</xdr:colOff>
                <xdr:row>56</xdr:row>
                <xdr:rowOff>9525</xdr:rowOff>
              </from>
              <to>
                <xdr:col>7</xdr:col>
                <xdr:colOff>10896600</xdr:colOff>
                <xdr:row>56</xdr:row>
                <xdr:rowOff>323850</xdr:rowOff>
              </to>
            </anchor>
          </controlPr>
        </control>
      </mc:Choice>
      <mc:Fallback>
        <control shapeId="188454" r:id="rId76" name="ComboBox37"/>
      </mc:Fallback>
    </mc:AlternateContent>
    <mc:AlternateContent xmlns:mc="http://schemas.openxmlformats.org/markup-compatibility/2006">
      <mc:Choice Requires="x14">
        <control shapeId="188455" r:id="rId78" name="ComboBox38">
          <controlPr defaultSize="0" autoLine="0" linkedCell="H58" listFillRange="pais" r:id="rId79">
            <anchor moveWithCells="1">
              <from>
                <xdr:col>7</xdr:col>
                <xdr:colOff>19050</xdr:colOff>
                <xdr:row>57</xdr:row>
                <xdr:rowOff>9525</xdr:rowOff>
              </from>
              <to>
                <xdr:col>7</xdr:col>
                <xdr:colOff>10896600</xdr:colOff>
                <xdr:row>57</xdr:row>
                <xdr:rowOff>323850</xdr:rowOff>
              </to>
            </anchor>
          </controlPr>
        </control>
      </mc:Choice>
      <mc:Fallback>
        <control shapeId="188455" r:id="rId78" name="ComboBox38"/>
      </mc:Fallback>
    </mc:AlternateContent>
    <mc:AlternateContent xmlns:mc="http://schemas.openxmlformats.org/markup-compatibility/2006">
      <mc:Choice Requires="x14">
        <control shapeId="188456" r:id="rId80" name="ComboBox39">
          <controlPr defaultSize="0" autoLine="0" linkedCell="H59" listFillRange="pais" r:id="rId81">
            <anchor moveWithCells="1">
              <from>
                <xdr:col>7</xdr:col>
                <xdr:colOff>19050</xdr:colOff>
                <xdr:row>58</xdr:row>
                <xdr:rowOff>9525</xdr:rowOff>
              </from>
              <to>
                <xdr:col>7</xdr:col>
                <xdr:colOff>10896600</xdr:colOff>
                <xdr:row>58</xdr:row>
                <xdr:rowOff>323850</xdr:rowOff>
              </to>
            </anchor>
          </controlPr>
        </control>
      </mc:Choice>
      <mc:Fallback>
        <control shapeId="188456" r:id="rId80" name="ComboBox39"/>
      </mc:Fallback>
    </mc:AlternateContent>
    <mc:AlternateContent xmlns:mc="http://schemas.openxmlformats.org/markup-compatibility/2006">
      <mc:Choice Requires="x14">
        <control shapeId="188457" r:id="rId82" name="ComboBox40">
          <controlPr defaultSize="0" autoLine="0" linkedCell="H60" listFillRange="pais" r:id="rId83">
            <anchor moveWithCells="1">
              <from>
                <xdr:col>7</xdr:col>
                <xdr:colOff>19050</xdr:colOff>
                <xdr:row>59</xdr:row>
                <xdr:rowOff>9525</xdr:rowOff>
              </from>
              <to>
                <xdr:col>7</xdr:col>
                <xdr:colOff>10896600</xdr:colOff>
                <xdr:row>59</xdr:row>
                <xdr:rowOff>323850</xdr:rowOff>
              </to>
            </anchor>
          </controlPr>
        </control>
      </mc:Choice>
      <mc:Fallback>
        <control shapeId="188457" r:id="rId82" name="ComboBox40"/>
      </mc:Fallback>
    </mc:AlternateContent>
    <mc:AlternateContent xmlns:mc="http://schemas.openxmlformats.org/markup-compatibility/2006">
      <mc:Choice Requires="x14">
        <control shapeId="188458" r:id="rId84" name="ComboBox41">
          <controlPr defaultSize="0" autoLine="0" linkedCell="H73" listFillRange="pais" r:id="rId85">
            <anchor moveWithCells="1">
              <from>
                <xdr:col>7</xdr:col>
                <xdr:colOff>19050</xdr:colOff>
                <xdr:row>72</xdr:row>
                <xdr:rowOff>9525</xdr:rowOff>
              </from>
              <to>
                <xdr:col>7</xdr:col>
                <xdr:colOff>10896600</xdr:colOff>
                <xdr:row>72</xdr:row>
                <xdr:rowOff>323850</xdr:rowOff>
              </to>
            </anchor>
          </controlPr>
        </control>
      </mc:Choice>
      <mc:Fallback>
        <control shapeId="188458" r:id="rId84" name="ComboBox41"/>
      </mc:Fallback>
    </mc:AlternateContent>
    <mc:AlternateContent xmlns:mc="http://schemas.openxmlformats.org/markup-compatibility/2006">
      <mc:Choice Requires="x14">
        <control shapeId="188459" r:id="rId86" name="ComboBox42">
          <controlPr defaultSize="0" autoLine="0" linkedCell="H74" listFillRange="pais" r:id="rId87">
            <anchor moveWithCells="1">
              <from>
                <xdr:col>7</xdr:col>
                <xdr:colOff>19050</xdr:colOff>
                <xdr:row>73</xdr:row>
                <xdr:rowOff>9525</xdr:rowOff>
              </from>
              <to>
                <xdr:col>7</xdr:col>
                <xdr:colOff>10896600</xdr:colOff>
                <xdr:row>73</xdr:row>
                <xdr:rowOff>323850</xdr:rowOff>
              </to>
            </anchor>
          </controlPr>
        </control>
      </mc:Choice>
      <mc:Fallback>
        <control shapeId="188459" r:id="rId86" name="ComboBox42"/>
      </mc:Fallback>
    </mc:AlternateContent>
    <mc:AlternateContent xmlns:mc="http://schemas.openxmlformats.org/markup-compatibility/2006">
      <mc:Choice Requires="x14">
        <control shapeId="188460" r:id="rId88" name="ComboBox43">
          <controlPr defaultSize="0" autoLine="0" linkedCell="H75" listFillRange="pais" r:id="rId89">
            <anchor moveWithCells="1">
              <from>
                <xdr:col>7</xdr:col>
                <xdr:colOff>19050</xdr:colOff>
                <xdr:row>74</xdr:row>
                <xdr:rowOff>9525</xdr:rowOff>
              </from>
              <to>
                <xdr:col>7</xdr:col>
                <xdr:colOff>10896600</xdr:colOff>
                <xdr:row>74</xdr:row>
                <xdr:rowOff>323850</xdr:rowOff>
              </to>
            </anchor>
          </controlPr>
        </control>
      </mc:Choice>
      <mc:Fallback>
        <control shapeId="188460" r:id="rId88" name="ComboBox43"/>
      </mc:Fallback>
    </mc:AlternateContent>
    <mc:AlternateContent xmlns:mc="http://schemas.openxmlformats.org/markup-compatibility/2006">
      <mc:Choice Requires="x14">
        <control shapeId="188461" r:id="rId90" name="ComboBox44">
          <controlPr defaultSize="0" autoLine="0" linkedCell="H76" listFillRange="pais" r:id="rId91">
            <anchor moveWithCells="1">
              <from>
                <xdr:col>7</xdr:col>
                <xdr:colOff>19050</xdr:colOff>
                <xdr:row>75</xdr:row>
                <xdr:rowOff>9525</xdr:rowOff>
              </from>
              <to>
                <xdr:col>7</xdr:col>
                <xdr:colOff>10896600</xdr:colOff>
                <xdr:row>75</xdr:row>
                <xdr:rowOff>323850</xdr:rowOff>
              </to>
            </anchor>
          </controlPr>
        </control>
      </mc:Choice>
      <mc:Fallback>
        <control shapeId="188461" r:id="rId90" name="ComboBox44"/>
      </mc:Fallback>
    </mc:AlternateContent>
    <mc:AlternateContent xmlns:mc="http://schemas.openxmlformats.org/markup-compatibility/2006">
      <mc:Choice Requires="x14">
        <control shapeId="188462" r:id="rId92" name="ComboBox45">
          <controlPr defaultSize="0" autoLine="0" linkedCell="H77" listFillRange="pais" r:id="rId93">
            <anchor moveWithCells="1">
              <from>
                <xdr:col>7</xdr:col>
                <xdr:colOff>19050</xdr:colOff>
                <xdr:row>76</xdr:row>
                <xdr:rowOff>9525</xdr:rowOff>
              </from>
              <to>
                <xdr:col>7</xdr:col>
                <xdr:colOff>10896600</xdr:colOff>
                <xdr:row>76</xdr:row>
                <xdr:rowOff>323850</xdr:rowOff>
              </to>
            </anchor>
          </controlPr>
        </control>
      </mc:Choice>
      <mc:Fallback>
        <control shapeId="188462" r:id="rId92" name="ComboBox45"/>
      </mc:Fallback>
    </mc:AlternateContent>
    <mc:AlternateContent xmlns:mc="http://schemas.openxmlformats.org/markup-compatibility/2006">
      <mc:Choice Requires="x14">
        <control shapeId="188463" r:id="rId94" name="ComboBox46">
          <controlPr defaultSize="0" autoLine="0" linkedCell="H78" listFillRange="pais" r:id="rId95">
            <anchor moveWithCells="1">
              <from>
                <xdr:col>7</xdr:col>
                <xdr:colOff>19050</xdr:colOff>
                <xdr:row>77</xdr:row>
                <xdr:rowOff>9525</xdr:rowOff>
              </from>
              <to>
                <xdr:col>7</xdr:col>
                <xdr:colOff>10896600</xdr:colOff>
                <xdr:row>77</xdr:row>
                <xdr:rowOff>323850</xdr:rowOff>
              </to>
            </anchor>
          </controlPr>
        </control>
      </mc:Choice>
      <mc:Fallback>
        <control shapeId="188463" r:id="rId94" name="ComboBox46"/>
      </mc:Fallback>
    </mc:AlternateContent>
    <mc:AlternateContent xmlns:mc="http://schemas.openxmlformats.org/markup-compatibility/2006">
      <mc:Choice Requires="x14">
        <control shapeId="188464" r:id="rId96" name="ComboBox47">
          <controlPr defaultSize="0" autoLine="0" linkedCell="H79" listFillRange="pais" r:id="rId97">
            <anchor moveWithCells="1">
              <from>
                <xdr:col>7</xdr:col>
                <xdr:colOff>19050</xdr:colOff>
                <xdr:row>78</xdr:row>
                <xdr:rowOff>9525</xdr:rowOff>
              </from>
              <to>
                <xdr:col>7</xdr:col>
                <xdr:colOff>10896600</xdr:colOff>
                <xdr:row>78</xdr:row>
                <xdr:rowOff>323850</xdr:rowOff>
              </to>
            </anchor>
          </controlPr>
        </control>
      </mc:Choice>
      <mc:Fallback>
        <control shapeId="188464" r:id="rId96" name="ComboBox47"/>
      </mc:Fallback>
    </mc:AlternateContent>
    <mc:AlternateContent xmlns:mc="http://schemas.openxmlformats.org/markup-compatibility/2006">
      <mc:Choice Requires="x14">
        <control shapeId="188465" r:id="rId98" name="ComboBox48">
          <controlPr defaultSize="0" autoLine="0" linkedCell="H80" listFillRange="pais" r:id="rId99">
            <anchor moveWithCells="1">
              <from>
                <xdr:col>7</xdr:col>
                <xdr:colOff>19050</xdr:colOff>
                <xdr:row>79</xdr:row>
                <xdr:rowOff>9525</xdr:rowOff>
              </from>
              <to>
                <xdr:col>7</xdr:col>
                <xdr:colOff>10896600</xdr:colOff>
                <xdr:row>79</xdr:row>
                <xdr:rowOff>323850</xdr:rowOff>
              </to>
            </anchor>
          </controlPr>
        </control>
      </mc:Choice>
      <mc:Fallback>
        <control shapeId="188465" r:id="rId98" name="ComboBox48"/>
      </mc:Fallback>
    </mc:AlternateContent>
    <mc:AlternateContent xmlns:mc="http://schemas.openxmlformats.org/markup-compatibility/2006">
      <mc:Choice Requires="x14">
        <control shapeId="188466" r:id="rId100" name="ComboBox49">
          <controlPr defaultSize="0" autoLine="0" linkedCell="H81" listFillRange="pais" r:id="rId101">
            <anchor moveWithCells="1">
              <from>
                <xdr:col>7</xdr:col>
                <xdr:colOff>19050</xdr:colOff>
                <xdr:row>80</xdr:row>
                <xdr:rowOff>9525</xdr:rowOff>
              </from>
              <to>
                <xdr:col>7</xdr:col>
                <xdr:colOff>10896600</xdr:colOff>
                <xdr:row>80</xdr:row>
                <xdr:rowOff>323850</xdr:rowOff>
              </to>
            </anchor>
          </controlPr>
        </control>
      </mc:Choice>
      <mc:Fallback>
        <control shapeId="188466" r:id="rId100" name="ComboBox49"/>
      </mc:Fallback>
    </mc:AlternateContent>
    <mc:AlternateContent xmlns:mc="http://schemas.openxmlformats.org/markup-compatibility/2006">
      <mc:Choice Requires="x14">
        <control shapeId="188467" r:id="rId102" name="ComboBox50">
          <controlPr defaultSize="0" autoLine="0" linkedCell="H82" listFillRange="pais" r:id="rId103">
            <anchor moveWithCells="1">
              <from>
                <xdr:col>7</xdr:col>
                <xdr:colOff>19050</xdr:colOff>
                <xdr:row>81</xdr:row>
                <xdr:rowOff>9525</xdr:rowOff>
              </from>
              <to>
                <xdr:col>7</xdr:col>
                <xdr:colOff>10896600</xdr:colOff>
                <xdr:row>81</xdr:row>
                <xdr:rowOff>323850</xdr:rowOff>
              </to>
            </anchor>
          </controlPr>
        </control>
      </mc:Choice>
      <mc:Fallback>
        <control shapeId="188467" r:id="rId102" name="ComboBox50"/>
      </mc:Fallback>
    </mc:AlternateContent>
    <mc:AlternateContent xmlns:mc="http://schemas.openxmlformats.org/markup-compatibility/2006">
      <mc:Choice Requires="x14">
        <control shapeId="188468" r:id="rId104" name="ComboBox51">
          <controlPr defaultSize="0" autoLine="0" linkedCell="H85" listFillRange="pais" r:id="rId105">
            <anchor moveWithCells="1">
              <from>
                <xdr:col>7</xdr:col>
                <xdr:colOff>19050</xdr:colOff>
                <xdr:row>84</xdr:row>
                <xdr:rowOff>9525</xdr:rowOff>
              </from>
              <to>
                <xdr:col>7</xdr:col>
                <xdr:colOff>10896600</xdr:colOff>
                <xdr:row>84</xdr:row>
                <xdr:rowOff>323850</xdr:rowOff>
              </to>
            </anchor>
          </controlPr>
        </control>
      </mc:Choice>
      <mc:Fallback>
        <control shapeId="188468" r:id="rId104" name="ComboBox51"/>
      </mc:Fallback>
    </mc:AlternateContent>
    <mc:AlternateContent xmlns:mc="http://schemas.openxmlformats.org/markup-compatibility/2006">
      <mc:Choice Requires="x14">
        <control shapeId="188469" r:id="rId106" name="ComboBox52">
          <controlPr defaultSize="0" autoLine="0" linkedCell="H86" listFillRange="pais" r:id="rId107">
            <anchor moveWithCells="1">
              <from>
                <xdr:col>7</xdr:col>
                <xdr:colOff>19050</xdr:colOff>
                <xdr:row>85</xdr:row>
                <xdr:rowOff>9525</xdr:rowOff>
              </from>
              <to>
                <xdr:col>7</xdr:col>
                <xdr:colOff>10896600</xdr:colOff>
                <xdr:row>85</xdr:row>
                <xdr:rowOff>323850</xdr:rowOff>
              </to>
            </anchor>
          </controlPr>
        </control>
      </mc:Choice>
      <mc:Fallback>
        <control shapeId="188469" r:id="rId106" name="ComboBox52"/>
      </mc:Fallback>
    </mc:AlternateContent>
    <mc:AlternateContent xmlns:mc="http://schemas.openxmlformats.org/markup-compatibility/2006">
      <mc:Choice Requires="x14">
        <control shapeId="188470" r:id="rId108" name="ComboBox53">
          <controlPr defaultSize="0" autoLine="0" linkedCell="H87" listFillRange="pais" r:id="rId109">
            <anchor moveWithCells="1">
              <from>
                <xdr:col>7</xdr:col>
                <xdr:colOff>19050</xdr:colOff>
                <xdr:row>86</xdr:row>
                <xdr:rowOff>9525</xdr:rowOff>
              </from>
              <to>
                <xdr:col>7</xdr:col>
                <xdr:colOff>10896600</xdr:colOff>
                <xdr:row>86</xdr:row>
                <xdr:rowOff>323850</xdr:rowOff>
              </to>
            </anchor>
          </controlPr>
        </control>
      </mc:Choice>
      <mc:Fallback>
        <control shapeId="188470" r:id="rId108" name="ComboBox53"/>
      </mc:Fallback>
    </mc:AlternateContent>
    <mc:AlternateContent xmlns:mc="http://schemas.openxmlformats.org/markup-compatibility/2006">
      <mc:Choice Requires="x14">
        <control shapeId="188471" r:id="rId110" name="ComboBox54">
          <controlPr defaultSize="0" autoLine="0" linkedCell="H88" listFillRange="pais" r:id="rId111">
            <anchor moveWithCells="1">
              <from>
                <xdr:col>7</xdr:col>
                <xdr:colOff>19050</xdr:colOff>
                <xdr:row>87</xdr:row>
                <xdr:rowOff>9525</xdr:rowOff>
              </from>
              <to>
                <xdr:col>7</xdr:col>
                <xdr:colOff>10896600</xdr:colOff>
                <xdr:row>87</xdr:row>
                <xdr:rowOff>323850</xdr:rowOff>
              </to>
            </anchor>
          </controlPr>
        </control>
      </mc:Choice>
      <mc:Fallback>
        <control shapeId="188471" r:id="rId110" name="ComboBox54"/>
      </mc:Fallback>
    </mc:AlternateContent>
    <mc:AlternateContent xmlns:mc="http://schemas.openxmlformats.org/markup-compatibility/2006">
      <mc:Choice Requires="x14">
        <control shapeId="188472" r:id="rId112" name="ComboBox55">
          <controlPr defaultSize="0" autoLine="0" linkedCell="H89" listFillRange="pais" r:id="rId113">
            <anchor moveWithCells="1">
              <from>
                <xdr:col>7</xdr:col>
                <xdr:colOff>19050</xdr:colOff>
                <xdr:row>88</xdr:row>
                <xdr:rowOff>9525</xdr:rowOff>
              </from>
              <to>
                <xdr:col>7</xdr:col>
                <xdr:colOff>10896600</xdr:colOff>
                <xdr:row>88</xdr:row>
                <xdr:rowOff>323850</xdr:rowOff>
              </to>
            </anchor>
          </controlPr>
        </control>
      </mc:Choice>
      <mc:Fallback>
        <control shapeId="188472" r:id="rId112" name="ComboBox55"/>
      </mc:Fallback>
    </mc:AlternateContent>
    <mc:AlternateContent xmlns:mc="http://schemas.openxmlformats.org/markup-compatibility/2006">
      <mc:Choice Requires="x14">
        <control shapeId="188473" r:id="rId114" name="ComboBox56">
          <controlPr defaultSize="0" autoLine="0" linkedCell="H90" listFillRange="pais" r:id="rId115">
            <anchor moveWithCells="1">
              <from>
                <xdr:col>7</xdr:col>
                <xdr:colOff>19050</xdr:colOff>
                <xdr:row>89</xdr:row>
                <xdr:rowOff>9525</xdr:rowOff>
              </from>
              <to>
                <xdr:col>7</xdr:col>
                <xdr:colOff>10896600</xdr:colOff>
                <xdr:row>89</xdr:row>
                <xdr:rowOff>323850</xdr:rowOff>
              </to>
            </anchor>
          </controlPr>
        </control>
      </mc:Choice>
      <mc:Fallback>
        <control shapeId="188473" r:id="rId114" name="ComboBox56"/>
      </mc:Fallback>
    </mc:AlternateContent>
    <mc:AlternateContent xmlns:mc="http://schemas.openxmlformats.org/markup-compatibility/2006">
      <mc:Choice Requires="x14">
        <control shapeId="188474" r:id="rId116" name="ComboBox57">
          <controlPr defaultSize="0" autoLine="0" linkedCell="H91" listFillRange="pais" r:id="rId117">
            <anchor moveWithCells="1">
              <from>
                <xdr:col>7</xdr:col>
                <xdr:colOff>19050</xdr:colOff>
                <xdr:row>90</xdr:row>
                <xdr:rowOff>9525</xdr:rowOff>
              </from>
              <to>
                <xdr:col>7</xdr:col>
                <xdr:colOff>10896600</xdr:colOff>
                <xdr:row>90</xdr:row>
                <xdr:rowOff>323850</xdr:rowOff>
              </to>
            </anchor>
          </controlPr>
        </control>
      </mc:Choice>
      <mc:Fallback>
        <control shapeId="188474" r:id="rId116" name="ComboBox57"/>
      </mc:Fallback>
    </mc:AlternateContent>
    <mc:AlternateContent xmlns:mc="http://schemas.openxmlformats.org/markup-compatibility/2006">
      <mc:Choice Requires="x14">
        <control shapeId="188475" r:id="rId118" name="ComboBox58">
          <controlPr defaultSize="0" autoLine="0" linkedCell="H92" listFillRange="pais" r:id="rId119">
            <anchor moveWithCells="1">
              <from>
                <xdr:col>7</xdr:col>
                <xdr:colOff>19050</xdr:colOff>
                <xdr:row>91</xdr:row>
                <xdr:rowOff>9525</xdr:rowOff>
              </from>
              <to>
                <xdr:col>7</xdr:col>
                <xdr:colOff>10896600</xdr:colOff>
                <xdr:row>91</xdr:row>
                <xdr:rowOff>323850</xdr:rowOff>
              </to>
            </anchor>
          </controlPr>
        </control>
      </mc:Choice>
      <mc:Fallback>
        <control shapeId="188475" r:id="rId118" name="ComboBox58"/>
      </mc:Fallback>
    </mc:AlternateContent>
    <mc:AlternateContent xmlns:mc="http://schemas.openxmlformats.org/markup-compatibility/2006">
      <mc:Choice Requires="x14">
        <control shapeId="188476" r:id="rId120" name="ComboBox59">
          <controlPr defaultSize="0" autoLine="0" linkedCell="H93" listFillRange="pais" r:id="rId121">
            <anchor moveWithCells="1">
              <from>
                <xdr:col>7</xdr:col>
                <xdr:colOff>19050</xdr:colOff>
                <xdr:row>92</xdr:row>
                <xdr:rowOff>9525</xdr:rowOff>
              </from>
              <to>
                <xdr:col>7</xdr:col>
                <xdr:colOff>10896600</xdr:colOff>
                <xdr:row>92</xdr:row>
                <xdr:rowOff>323850</xdr:rowOff>
              </to>
            </anchor>
          </controlPr>
        </control>
      </mc:Choice>
      <mc:Fallback>
        <control shapeId="188476" r:id="rId120" name="ComboBox59"/>
      </mc:Fallback>
    </mc:AlternateContent>
    <mc:AlternateContent xmlns:mc="http://schemas.openxmlformats.org/markup-compatibility/2006">
      <mc:Choice Requires="x14">
        <control shapeId="188477" r:id="rId122" name="ComboBox60">
          <controlPr defaultSize="0" autoLine="0" linkedCell="H94" listFillRange="pais" r:id="rId123">
            <anchor moveWithCells="1">
              <from>
                <xdr:col>7</xdr:col>
                <xdr:colOff>19050</xdr:colOff>
                <xdr:row>93</xdr:row>
                <xdr:rowOff>9525</xdr:rowOff>
              </from>
              <to>
                <xdr:col>7</xdr:col>
                <xdr:colOff>10896600</xdr:colOff>
                <xdr:row>93</xdr:row>
                <xdr:rowOff>323850</xdr:rowOff>
              </to>
            </anchor>
          </controlPr>
        </control>
      </mc:Choice>
      <mc:Fallback>
        <control shapeId="188477" r:id="rId122" name="ComboBox60"/>
      </mc:Fallback>
    </mc:AlternateContent>
    <mc:AlternateContent xmlns:mc="http://schemas.openxmlformats.org/markup-compatibility/2006">
      <mc:Choice Requires="x14">
        <control shapeId="188478" r:id="rId124" name="ComboBox61">
          <controlPr defaultSize="0" autoLine="0" linkedCell="H97" listFillRange="pais" r:id="rId125">
            <anchor moveWithCells="1">
              <from>
                <xdr:col>7</xdr:col>
                <xdr:colOff>19050</xdr:colOff>
                <xdr:row>96</xdr:row>
                <xdr:rowOff>9525</xdr:rowOff>
              </from>
              <to>
                <xdr:col>7</xdr:col>
                <xdr:colOff>10896600</xdr:colOff>
                <xdr:row>96</xdr:row>
                <xdr:rowOff>323850</xdr:rowOff>
              </to>
            </anchor>
          </controlPr>
        </control>
      </mc:Choice>
      <mc:Fallback>
        <control shapeId="188478" r:id="rId124" name="ComboBox61"/>
      </mc:Fallback>
    </mc:AlternateContent>
    <mc:AlternateContent xmlns:mc="http://schemas.openxmlformats.org/markup-compatibility/2006">
      <mc:Choice Requires="x14">
        <control shapeId="188479" r:id="rId126" name="ComboBox62">
          <controlPr defaultSize="0" autoLine="0" linkedCell="H98" listFillRange="pais" r:id="rId127">
            <anchor moveWithCells="1">
              <from>
                <xdr:col>7</xdr:col>
                <xdr:colOff>19050</xdr:colOff>
                <xdr:row>97</xdr:row>
                <xdr:rowOff>9525</xdr:rowOff>
              </from>
              <to>
                <xdr:col>7</xdr:col>
                <xdr:colOff>10896600</xdr:colOff>
                <xdr:row>97</xdr:row>
                <xdr:rowOff>323850</xdr:rowOff>
              </to>
            </anchor>
          </controlPr>
        </control>
      </mc:Choice>
      <mc:Fallback>
        <control shapeId="188479" r:id="rId126" name="ComboBox62"/>
      </mc:Fallback>
    </mc:AlternateContent>
    <mc:AlternateContent xmlns:mc="http://schemas.openxmlformats.org/markup-compatibility/2006">
      <mc:Choice Requires="x14">
        <control shapeId="188480" r:id="rId128" name="ComboBox63">
          <controlPr defaultSize="0" autoLine="0" linkedCell="H99" listFillRange="pais" r:id="rId129">
            <anchor moveWithCells="1">
              <from>
                <xdr:col>7</xdr:col>
                <xdr:colOff>19050</xdr:colOff>
                <xdr:row>98</xdr:row>
                <xdr:rowOff>9525</xdr:rowOff>
              </from>
              <to>
                <xdr:col>7</xdr:col>
                <xdr:colOff>10896600</xdr:colOff>
                <xdr:row>98</xdr:row>
                <xdr:rowOff>323850</xdr:rowOff>
              </to>
            </anchor>
          </controlPr>
        </control>
      </mc:Choice>
      <mc:Fallback>
        <control shapeId="188480" r:id="rId128" name="ComboBox63"/>
      </mc:Fallback>
    </mc:AlternateContent>
    <mc:AlternateContent xmlns:mc="http://schemas.openxmlformats.org/markup-compatibility/2006">
      <mc:Choice Requires="x14">
        <control shapeId="188481" r:id="rId130" name="ComboBox64">
          <controlPr defaultSize="0" autoLine="0" linkedCell="H100" listFillRange="pais" r:id="rId131">
            <anchor moveWithCells="1">
              <from>
                <xdr:col>7</xdr:col>
                <xdr:colOff>19050</xdr:colOff>
                <xdr:row>99</xdr:row>
                <xdr:rowOff>9525</xdr:rowOff>
              </from>
              <to>
                <xdr:col>7</xdr:col>
                <xdr:colOff>10896600</xdr:colOff>
                <xdr:row>99</xdr:row>
                <xdr:rowOff>323850</xdr:rowOff>
              </to>
            </anchor>
          </controlPr>
        </control>
      </mc:Choice>
      <mc:Fallback>
        <control shapeId="188481" r:id="rId130" name="ComboBox64"/>
      </mc:Fallback>
    </mc:AlternateContent>
    <mc:AlternateContent xmlns:mc="http://schemas.openxmlformats.org/markup-compatibility/2006">
      <mc:Choice Requires="x14">
        <control shapeId="188482" r:id="rId132" name="ComboBox65">
          <controlPr defaultSize="0" autoLine="0" linkedCell="H101" listFillRange="pais" r:id="rId133">
            <anchor moveWithCells="1">
              <from>
                <xdr:col>7</xdr:col>
                <xdr:colOff>19050</xdr:colOff>
                <xdr:row>100</xdr:row>
                <xdr:rowOff>9525</xdr:rowOff>
              </from>
              <to>
                <xdr:col>7</xdr:col>
                <xdr:colOff>10896600</xdr:colOff>
                <xdr:row>100</xdr:row>
                <xdr:rowOff>323850</xdr:rowOff>
              </to>
            </anchor>
          </controlPr>
        </control>
      </mc:Choice>
      <mc:Fallback>
        <control shapeId="188482" r:id="rId132" name="ComboBox65"/>
      </mc:Fallback>
    </mc:AlternateContent>
    <mc:AlternateContent xmlns:mc="http://schemas.openxmlformats.org/markup-compatibility/2006">
      <mc:Choice Requires="x14">
        <control shapeId="188483" r:id="rId134" name="ComboBox66">
          <controlPr defaultSize="0" autoLine="0" linkedCell="H102" listFillRange="pais" r:id="rId135">
            <anchor moveWithCells="1">
              <from>
                <xdr:col>7</xdr:col>
                <xdr:colOff>19050</xdr:colOff>
                <xdr:row>101</xdr:row>
                <xdr:rowOff>9525</xdr:rowOff>
              </from>
              <to>
                <xdr:col>7</xdr:col>
                <xdr:colOff>10896600</xdr:colOff>
                <xdr:row>101</xdr:row>
                <xdr:rowOff>323850</xdr:rowOff>
              </to>
            </anchor>
          </controlPr>
        </control>
      </mc:Choice>
      <mc:Fallback>
        <control shapeId="188483" r:id="rId134" name="ComboBox66"/>
      </mc:Fallback>
    </mc:AlternateContent>
    <mc:AlternateContent xmlns:mc="http://schemas.openxmlformats.org/markup-compatibility/2006">
      <mc:Choice Requires="x14">
        <control shapeId="188484" r:id="rId136" name="ComboBox67">
          <controlPr defaultSize="0" autoLine="0" linkedCell="H103" listFillRange="pais" r:id="rId137">
            <anchor moveWithCells="1">
              <from>
                <xdr:col>7</xdr:col>
                <xdr:colOff>19050</xdr:colOff>
                <xdr:row>102</xdr:row>
                <xdr:rowOff>9525</xdr:rowOff>
              </from>
              <to>
                <xdr:col>7</xdr:col>
                <xdr:colOff>10896600</xdr:colOff>
                <xdr:row>102</xdr:row>
                <xdr:rowOff>323850</xdr:rowOff>
              </to>
            </anchor>
          </controlPr>
        </control>
      </mc:Choice>
      <mc:Fallback>
        <control shapeId="188484" r:id="rId136" name="ComboBox67"/>
      </mc:Fallback>
    </mc:AlternateContent>
    <mc:AlternateContent xmlns:mc="http://schemas.openxmlformats.org/markup-compatibility/2006">
      <mc:Choice Requires="x14">
        <control shapeId="188485" r:id="rId138" name="ComboBox68">
          <controlPr defaultSize="0" autoLine="0" linkedCell="H104" listFillRange="pais" r:id="rId139">
            <anchor moveWithCells="1">
              <from>
                <xdr:col>7</xdr:col>
                <xdr:colOff>19050</xdr:colOff>
                <xdr:row>103</xdr:row>
                <xdr:rowOff>9525</xdr:rowOff>
              </from>
              <to>
                <xdr:col>7</xdr:col>
                <xdr:colOff>10896600</xdr:colOff>
                <xdr:row>103</xdr:row>
                <xdr:rowOff>323850</xdr:rowOff>
              </to>
            </anchor>
          </controlPr>
        </control>
      </mc:Choice>
      <mc:Fallback>
        <control shapeId="188485" r:id="rId138" name="ComboBox68"/>
      </mc:Fallback>
    </mc:AlternateContent>
    <mc:AlternateContent xmlns:mc="http://schemas.openxmlformats.org/markup-compatibility/2006">
      <mc:Choice Requires="x14">
        <control shapeId="188486" r:id="rId140" name="ComboBox69">
          <controlPr defaultSize="0" autoLine="0" linkedCell="H105" listFillRange="pais" r:id="rId141">
            <anchor moveWithCells="1">
              <from>
                <xdr:col>7</xdr:col>
                <xdr:colOff>19050</xdr:colOff>
                <xdr:row>104</xdr:row>
                <xdr:rowOff>9525</xdr:rowOff>
              </from>
              <to>
                <xdr:col>7</xdr:col>
                <xdr:colOff>10896600</xdr:colOff>
                <xdr:row>104</xdr:row>
                <xdr:rowOff>323850</xdr:rowOff>
              </to>
            </anchor>
          </controlPr>
        </control>
      </mc:Choice>
      <mc:Fallback>
        <control shapeId="188486" r:id="rId140" name="ComboBox69"/>
      </mc:Fallback>
    </mc:AlternateContent>
    <mc:AlternateContent xmlns:mc="http://schemas.openxmlformats.org/markup-compatibility/2006">
      <mc:Choice Requires="x14">
        <control shapeId="188487" r:id="rId142" name="ComboBox70">
          <controlPr defaultSize="0" autoLine="0" linkedCell="H106" listFillRange="pais" r:id="rId143">
            <anchor moveWithCells="1">
              <from>
                <xdr:col>7</xdr:col>
                <xdr:colOff>19050</xdr:colOff>
                <xdr:row>105</xdr:row>
                <xdr:rowOff>9525</xdr:rowOff>
              </from>
              <to>
                <xdr:col>7</xdr:col>
                <xdr:colOff>10896600</xdr:colOff>
                <xdr:row>105</xdr:row>
                <xdr:rowOff>323850</xdr:rowOff>
              </to>
            </anchor>
          </controlPr>
        </control>
      </mc:Choice>
      <mc:Fallback>
        <control shapeId="188487" r:id="rId142" name="ComboBox70"/>
      </mc:Fallback>
    </mc:AlternateContent>
    <mc:AlternateContent xmlns:mc="http://schemas.openxmlformats.org/markup-compatibility/2006">
      <mc:Choice Requires="x14">
        <control shapeId="188488" r:id="rId144" name="ComboBox71">
          <controlPr defaultSize="0" autoLine="0" linkedCell="H109" listFillRange="pais" r:id="rId145">
            <anchor moveWithCells="1">
              <from>
                <xdr:col>7</xdr:col>
                <xdr:colOff>19050</xdr:colOff>
                <xdr:row>108</xdr:row>
                <xdr:rowOff>9525</xdr:rowOff>
              </from>
              <to>
                <xdr:col>7</xdr:col>
                <xdr:colOff>10896600</xdr:colOff>
                <xdr:row>108</xdr:row>
                <xdr:rowOff>323850</xdr:rowOff>
              </to>
            </anchor>
          </controlPr>
        </control>
      </mc:Choice>
      <mc:Fallback>
        <control shapeId="188488" r:id="rId144" name="ComboBox71"/>
      </mc:Fallback>
    </mc:AlternateContent>
    <mc:AlternateContent xmlns:mc="http://schemas.openxmlformats.org/markup-compatibility/2006">
      <mc:Choice Requires="x14">
        <control shapeId="188489" r:id="rId146" name="ComboBox72">
          <controlPr defaultSize="0" autoLine="0" linkedCell="H110" listFillRange="pais" r:id="rId147">
            <anchor moveWithCells="1">
              <from>
                <xdr:col>7</xdr:col>
                <xdr:colOff>19050</xdr:colOff>
                <xdr:row>109</xdr:row>
                <xdr:rowOff>9525</xdr:rowOff>
              </from>
              <to>
                <xdr:col>7</xdr:col>
                <xdr:colOff>10896600</xdr:colOff>
                <xdr:row>109</xdr:row>
                <xdr:rowOff>323850</xdr:rowOff>
              </to>
            </anchor>
          </controlPr>
        </control>
      </mc:Choice>
      <mc:Fallback>
        <control shapeId="188489" r:id="rId146" name="ComboBox72"/>
      </mc:Fallback>
    </mc:AlternateContent>
    <mc:AlternateContent xmlns:mc="http://schemas.openxmlformats.org/markup-compatibility/2006">
      <mc:Choice Requires="x14">
        <control shapeId="188490" r:id="rId148" name="ComboBox73">
          <controlPr defaultSize="0" autoLine="0" linkedCell="H111" listFillRange="pais" r:id="rId149">
            <anchor moveWithCells="1">
              <from>
                <xdr:col>7</xdr:col>
                <xdr:colOff>19050</xdr:colOff>
                <xdr:row>110</xdr:row>
                <xdr:rowOff>9525</xdr:rowOff>
              </from>
              <to>
                <xdr:col>7</xdr:col>
                <xdr:colOff>10896600</xdr:colOff>
                <xdr:row>110</xdr:row>
                <xdr:rowOff>323850</xdr:rowOff>
              </to>
            </anchor>
          </controlPr>
        </control>
      </mc:Choice>
      <mc:Fallback>
        <control shapeId="188490" r:id="rId148" name="ComboBox73"/>
      </mc:Fallback>
    </mc:AlternateContent>
    <mc:AlternateContent xmlns:mc="http://schemas.openxmlformats.org/markup-compatibility/2006">
      <mc:Choice Requires="x14">
        <control shapeId="188491" r:id="rId150" name="ComboBox74">
          <controlPr defaultSize="0" autoLine="0" linkedCell="H112" listFillRange="pais" r:id="rId151">
            <anchor moveWithCells="1">
              <from>
                <xdr:col>7</xdr:col>
                <xdr:colOff>19050</xdr:colOff>
                <xdr:row>111</xdr:row>
                <xdr:rowOff>9525</xdr:rowOff>
              </from>
              <to>
                <xdr:col>7</xdr:col>
                <xdr:colOff>10896600</xdr:colOff>
                <xdr:row>111</xdr:row>
                <xdr:rowOff>323850</xdr:rowOff>
              </to>
            </anchor>
          </controlPr>
        </control>
      </mc:Choice>
      <mc:Fallback>
        <control shapeId="188491" r:id="rId150" name="ComboBox74"/>
      </mc:Fallback>
    </mc:AlternateContent>
    <mc:AlternateContent xmlns:mc="http://schemas.openxmlformats.org/markup-compatibility/2006">
      <mc:Choice Requires="x14">
        <control shapeId="188492" r:id="rId152" name="ComboBox75">
          <controlPr defaultSize="0" autoLine="0" linkedCell="H113" listFillRange="pais" r:id="rId153">
            <anchor moveWithCells="1">
              <from>
                <xdr:col>7</xdr:col>
                <xdr:colOff>19050</xdr:colOff>
                <xdr:row>112</xdr:row>
                <xdr:rowOff>9525</xdr:rowOff>
              </from>
              <to>
                <xdr:col>7</xdr:col>
                <xdr:colOff>10896600</xdr:colOff>
                <xdr:row>112</xdr:row>
                <xdr:rowOff>323850</xdr:rowOff>
              </to>
            </anchor>
          </controlPr>
        </control>
      </mc:Choice>
      <mc:Fallback>
        <control shapeId="188492" r:id="rId152" name="ComboBox75"/>
      </mc:Fallback>
    </mc:AlternateContent>
    <mc:AlternateContent xmlns:mc="http://schemas.openxmlformats.org/markup-compatibility/2006">
      <mc:Choice Requires="x14">
        <control shapeId="188493" r:id="rId154" name="ComboBox76">
          <controlPr defaultSize="0" autoLine="0" linkedCell="H114" listFillRange="pais" r:id="rId155">
            <anchor moveWithCells="1">
              <from>
                <xdr:col>7</xdr:col>
                <xdr:colOff>19050</xdr:colOff>
                <xdr:row>113</xdr:row>
                <xdr:rowOff>9525</xdr:rowOff>
              </from>
              <to>
                <xdr:col>7</xdr:col>
                <xdr:colOff>10896600</xdr:colOff>
                <xdr:row>113</xdr:row>
                <xdr:rowOff>323850</xdr:rowOff>
              </to>
            </anchor>
          </controlPr>
        </control>
      </mc:Choice>
      <mc:Fallback>
        <control shapeId="188493" r:id="rId154" name="ComboBox76"/>
      </mc:Fallback>
    </mc:AlternateContent>
    <mc:AlternateContent xmlns:mc="http://schemas.openxmlformats.org/markup-compatibility/2006">
      <mc:Choice Requires="x14">
        <control shapeId="188494" r:id="rId156" name="ComboBox77">
          <controlPr defaultSize="0" autoLine="0" linkedCell="H115" listFillRange="pais" r:id="rId157">
            <anchor moveWithCells="1">
              <from>
                <xdr:col>7</xdr:col>
                <xdr:colOff>19050</xdr:colOff>
                <xdr:row>114</xdr:row>
                <xdr:rowOff>9525</xdr:rowOff>
              </from>
              <to>
                <xdr:col>7</xdr:col>
                <xdr:colOff>10896600</xdr:colOff>
                <xdr:row>114</xdr:row>
                <xdr:rowOff>323850</xdr:rowOff>
              </to>
            </anchor>
          </controlPr>
        </control>
      </mc:Choice>
      <mc:Fallback>
        <control shapeId="188494" r:id="rId156" name="ComboBox77"/>
      </mc:Fallback>
    </mc:AlternateContent>
    <mc:AlternateContent xmlns:mc="http://schemas.openxmlformats.org/markup-compatibility/2006">
      <mc:Choice Requires="x14">
        <control shapeId="188495" r:id="rId158" name="ComboBox78">
          <controlPr defaultSize="0" autoLine="0" linkedCell="H116" listFillRange="pais" r:id="rId159">
            <anchor moveWithCells="1">
              <from>
                <xdr:col>7</xdr:col>
                <xdr:colOff>19050</xdr:colOff>
                <xdr:row>115</xdr:row>
                <xdr:rowOff>9525</xdr:rowOff>
              </from>
              <to>
                <xdr:col>7</xdr:col>
                <xdr:colOff>10896600</xdr:colOff>
                <xdr:row>115</xdr:row>
                <xdr:rowOff>323850</xdr:rowOff>
              </to>
            </anchor>
          </controlPr>
        </control>
      </mc:Choice>
      <mc:Fallback>
        <control shapeId="188495" r:id="rId158" name="ComboBox78"/>
      </mc:Fallback>
    </mc:AlternateContent>
    <mc:AlternateContent xmlns:mc="http://schemas.openxmlformats.org/markup-compatibility/2006">
      <mc:Choice Requires="x14">
        <control shapeId="188496" r:id="rId160" name="ComboBox79">
          <controlPr defaultSize="0" autoLine="0" linkedCell="H117" listFillRange="pais" r:id="rId161">
            <anchor moveWithCells="1">
              <from>
                <xdr:col>7</xdr:col>
                <xdr:colOff>19050</xdr:colOff>
                <xdr:row>116</xdr:row>
                <xdr:rowOff>9525</xdr:rowOff>
              </from>
              <to>
                <xdr:col>7</xdr:col>
                <xdr:colOff>10896600</xdr:colOff>
                <xdr:row>116</xdr:row>
                <xdr:rowOff>323850</xdr:rowOff>
              </to>
            </anchor>
          </controlPr>
        </control>
      </mc:Choice>
      <mc:Fallback>
        <control shapeId="188496" r:id="rId160" name="ComboBox79"/>
      </mc:Fallback>
    </mc:AlternateContent>
    <mc:AlternateContent xmlns:mc="http://schemas.openxmlformats.org/markup-compatibility/2006">
      <mc:Choice Requires="x14">
        <control shapeId="188497" r:id="rId162" name="ComboBox80">
          <controlPr defaultSize="0" autoLine="0" linkedCell="H118" listFillRange="pais" r:id="rId163">
            <anchor moveWithCells="1">
              <from>
                <xdr:col>7</xdr:col>
                <xdr:colOff>19050</xdr:colOff>
                <xdr:row>117</xdr:row>
                <xdr:rowOff>9525</xdr:rowOff>
              </from>
              <to>
                <xdr:col>7</xdr:col>
                <xdr:colOff>10896600</xdr:colOff>
                <xdr:row>117</xdr:row>
                <xdr:rowOff>323850</xdr:rowOff>
              </to>
            </anchor>
          </controlPr>
        </control>
      </mc:Choice>
      <mc:Fallback>
        <control shapeId="188497" r:id="rId162" name="ComboBox80"/>
      </mc:Fallback>
    </mc:AlternateContent>
  </control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6">
    <tabColor theme="9" tint="-0.499984740745262"/>
    <pageSetUpPr fitToPage="1"/>
  </sheetPr>
  <dimension ref="A1:K61"/>
  <sheetViews>
    <sheetView zoomScaleNormal="130" workbookViewId="0">
      <pane ySplit="1" topLeftCell="A2" activePane="bottomLeft" state="frozen"/>
      <selection pane="bottomLeft"/>
    </sheetView>
  </sheetViews>
  <sheetFormatPr baseColWidth="10" defaultColWidth="11.42578125" defaultRowHeight="15.75"/>
  <cols>
    <col min="1" max="1" width="12.7109375" style="3" customWidth="1"/>
    <col min="2" max="2" width="11.42578125" style="3"/>
    <col min="3" max="3" width="15.5703125" style="400" customWidth="1"/>
    <col min="4" max="5" width="14.85546875" style="3" customWidth="1"/>
    <col min="6" max="6" width="53.7109375" style="3" customWidth="1"/>
    <col min="7" max="7" width="14.85546875" style="3" customWidth="1"/>
    <col min="8" max="8" width="14.5703125" style="513" customWidth="1"/>
    <col min="9" max="9" width="22.140625" style="4" customWidth="1"/>
    <col min="10" max="10" width="9.5703125" style="4" customWidth="1"/>
    <col min="11" max="11" width="9.85546875" style="4" customWidth="1"/>
    <col min="12" max="12" width="7.140625" style="1" customWidth="1"/>
    <col min="13" max="16384" width="11.42578125" style="1"/>
  </cols>
  <sheetData>
    <row r="1" spans="1:11">
      <c r="A1" s="40" t="s">
        <v>2926</v>
      </c>
      <c r="B1" s="40" t="s">
        <v>2927</v>
      </c>
      <c r="C1" s="66" t="s">
        <v>2928</v>
      </c>
      <c r="D1" s="40" t="s">
        <v>2929</v>
      </c>
      <c r="E1" s="40" t="s">
        <v>2930</v>
      </c>
      <c r="F1" s="40" t="s">
        <v>2931</v>
      </c>
      <c r="G1" s="40" t="s">
        <v>2932</v>
      </c>
      <c r="H1" s="512" t="s">
        <v>2933</v>
      </c>
      <c r="I1" s="43" t="s">
        <v>2934</v>
      </c>
      <c r="J1" s="43" t="s">
        <v>2935</v>
      </c>
      <c r="K1" s="43" t="s">
        <v>2126</v>
      </c>
    </row>
    <row r="2" spans="1:11" s="410" customFormat="1">
      <c r="A2" s="107" t="s">
        <v>2936</v>
      </c>
      <c r="B2" s="107">
        <f t="shared" ref="B2:B33" si="0">ANUAL</f>
        <v>2025</v>
      </c>
      <c r="C2" s="399" t="str">
        <f>'Panorama A.'!E11</f>
        <v>01.01.01.</v>
      </c>
      <c r="D2" s="107">
        <f t="shared" ref="D2:D33" si="1">+RUC</f>
        <v>0</v>
      </c>
      <c r="E2" s="107">
        <f>'Panorama A.'!F11</f>
        <v>0</v>
      </c>
      <c r="F2" s="107">
        <f>'Panorama A.'!G11</f>
        <v>0</v>
      </c>
      <c r="G2" s="107" t="str">
        <f>VLOOKUP('Panorama A.'!H11,TABPAIS,2,FALSE)</f>
        <v>PER</v>
      </c>
      <c r="H2" s="108">
        <f>'Panorama A.'!I11</f>
        <v>0</v>
      </c>
      <c r="I2" s="110" t="str">
        <f ca="1">'Panorama A.'!$B$7</f>
        <v>Panorama A.</v>
      </c>
      <c r="J2" s="110" t="s">
        <v>2937</v>
      </c>
      <c r="K2" s="107">
        <v>1</v>
      </c>
    </row>
    <row r="3" spans="1:11" s="410" customFormat="1">
      <c r="A3" s="107" t="s">
        <v>2936</v>
      </c>
      <c r="B3" s="107">
        <f t="shared" si="0"/>
        <v>2025</v>
      </c>
      <c r="C3" s="399" t="str">
        <f>'Panorama A.'!E12</f>
        <v>01.01.02.</v>
      </c>
      <c r="D3" s="107">
        <f t="shared" si="1"/>
        <v>0</v>
      </c>
      <c r="E3" s="107">
        <f>'Panorama A.'!F12</f>
        <v>0</v>
      </c>
      <c r="F3" s="107">
        <f>'Panorama A.'!G12</f>
        <v>0</v>
      </c>
      <c r="G3" s="107" t="str">
        <f>VLOOKUP('Panorama A.'!H12,TABPAIS,2,FALSE)</f>
        <v>PER</v>
      </c>
      <c r="H3" s="108">
        <f>'Panorama A.'!I12</f>
        <v>0</v>
      </c>
      <c r="I3" s="110" t="str">
        <f ca="1">'Panorama A.'!$B$7</f>
        <v>Panorama A.</v>
      </c>
      <c r="J3" s="110" t="str">
        <f>+J2</f>
        <v>A.1</v>
      </c>
      <c r="K3" s="107"/>
    </row>
    <row r="4" spans="1:11" s="410" customFormat="1">
      <c r="A4" s="107" t="s">
        <v>2936</v>
      </c>
      <c r="B4" s="107">
        <f t="shared" si="0"/>
        <v>2025</v>
      </c>
      <c r="C4" s="399" t="str">
        <f>'Panorama A.'!E13</f>
        <v>01.01.03.</v>
      </c>
      <c r="D4" s="107">
        <f t="shared" si="1"/>
        <v>0</v>
      </c>
      <c r="E4" s="107">
        <f>'Panorama A.'!F13</f>
        <v>0</v>
      </c>
      <c r="F4" s="107">
        <f>'Panorama A.'!G13</f>
        <v>0</v>
      </c>
      <c r="G4" s="107" t="str">
        <f>VLOOKUP('Panorama A.'!H13,TABPAIS,2,FALSE)</f>
        <v>PER</v>
      </c>
      <c r="H4" s="108">
        <f>'Panorama A.'!I13</f>
        <v>0</v>
      </c>
      <c r="I4" s="110" t="str">
        <f ca="1">'Panorama A.'!$B$7</f>
        <v>Panorama A.</v>
      </c>
      <c r="J4" s="110" t="str">
        <f t="shared" ref="J4:J61" si="2">+J3</f>
        <v>A.1</v>
      </c>
      <c r="K4" s="107"/>
    </row>
    <row r="5" spans="1:11" s="410" customFormat="1">
      <c r="A5" s="107" t="s">
        <v>2936</v>
      </c>
      <c r="B5" s="107">
        <f t="shared" si="0"/>
        <v>2025</v>
      </c>
      <c r="C5" s="399" t="str">
        <f>'Panorama A.'!E14</f>
        <v>01.01.04.</v>
      </c>
      <c r="D5" s="107">
        <f t="shared" si="1"/>
        <v>0</v>
      </c>
      <c r="E5" s="107">
        <f>'Panorama A.'!F14</f>
        <v>0</v>
      </c>
      <c r="F5" s="107">
        <f>'Panorama A.'!G14</f>
        <v>0</v>
      </c>
      <c r="G5" s="107" t="str">
        <f>VLOOKUP('Panorama A.'!H14,TABPAIS,2,FALSE)</f>
        <v>PER</v>
      </c>
      <c r="H5" s="108">
        <f>'Panorama A.'!I14</f>
        <v>0</v>
      </c>
      <c r="I5" s="110" t="str">
        <f ca="1">'Panorama A.'!$B$7</f>
        <v>Panorama A.</v>
      </c>
      <c r="J5" s="110" t="str">
        <f t="shared" si="2"/>
        <v>A.1</v>
      </c>
      <c r="K5" s="107"/>
    </row>
    <row r="6" spans="1:11" s="410" customFormat="1">
      <c r="A6" s="107" t="s">
        <v>2936</v>
      </c>
      <c r="B6" s="107">
        <f t="shared" si="0"/>
        <v>2025</v>
      </c>
      <c r="C6" s="399" t="str">
        <f>'Panorama A.'!E15</f>
        <v>01.01.05.</v>
      </c>
      <c r="D6" s="107">
        <f t="shared" si="1"/>
        <v>0</v>
      </c>
      <c r="E6" s="107">
        <f>'Panorama A.'!F15</f>
        <v>0</v>
      </c>
      <c r="F6" s="107">
        <f>'Panorama A.'!G15</f>
        <v>0</v>
      </c>
      <c r="G6" s="107" t="str">
        <f>VLOOKUP('Panorama A.'!H15,TABPAIS,2,FALSE)</f>
        <v>PER</v>
      </c>
      <c r="H6" s="108">
        <f>'Panorama A.'!I15</f>
        <v>0</v>
      </c>
      <c r="I6" s="110" t="str">
        <f ca="1">'Panorama A.'!$B$7</f>
        <v>Panorama A.</v>
      </c>
      <c r="J6" s="110" t="str">
        <f t="shared" si="2"/>
        <v>A.1</v>
      </c>
      <c r="K6" s="107"/>
    </row>
    <row r="7" spans="1:11" s="410" customFormat="1">
      <c r="A7" s="107" t="s">
        <v>2936</v>
      </c>
      <c r="B7" s="107">
        <f t="shared" si="0"/>
        <v>2025</v>
      </c>
      <c r="C7" s="399" t="str">
        <f>'Panorama A.'!E16</f>
        <v>01.01.06.</v>
      </c>
      <c r="D7" s="107">
        <f t="shared" si="1"/>
        <v>0</v>
      </c>
      <c r="E7" s="107">
        <f>'Panorama A.'!F16</f>
        <v>0</v>
      </c>
      <c r="F7" s="107">
        <f>'Panorama A.'!G16</f>
        <v>0</v>
      </c>
      <c r="G7" s="107" t="str">
        <f>VLOOKUP('Panorama A.'!H16,TABPAIS,2,FALSE)</f>
        <v>PER</v>
      </c>
      <c r="H7" s="108">
        <f>'Panorama A.'!I16</f>
        <v>0</v>
      </c>
      <c r="I7" s="110" t="str">
        <f ca="1">'Panorama A.'!$B$7</f>
        <v>Panorama A.</v>
      </c>
      <c r="J7" s="110" t="str">
        <f t="shared" si="2"/>
        <v>A.1</v>
      </c>
      <c r="K7" s="107"/>
    </row>
    <row r="8" spans="1:11" s="410" customFormat="1">
      <c r="A8" s="107" t="s">
        <v>2936</v>
      </c>
      <c r="B8" s="107">
        <f t="shared" si="0"/>
        <v>2025</v>
      </c>
      <c r="C8" s="399" t="str">
        <f>'Panorama A.'!E17</f>
        <v>01.01.07.</v>
      </c>
      <c r="D8" s="107">
        <f t="shared" si="1"/>
        <v>0</v>
      </c>
      <c r="E8" s="107">
        <f>'Panorama A.'!F17</f>
        <v>0</v>
      </c>
      <c r="F8" s="107">
        <f>'Panorama A.'!G17</f>
        <v>0</v>
      </c>
      <c r="G8" s="107" t="str">
        <f>VLOOKUP('Panorama A.'!H17,TABPAIS,2,FALSE)</f>
        <v>PER</v>
      </c>
      <c r="H8" s="108">
        <f>'Panorama A.'!I17</f>
        <v>0</v>
      </c>
      <c r="I8" s="110" t="str">
        <f ca="1">'Panorama A.'!$B$7</f>
        <v>Panorama A.</v>
      </c>
      <c r="J8" s="110" t="str">
        <f t="shared" si="2"/>
        <v>A.1</v>
      </c>
      <c r="K8" s="107"/>
    </row>
    <row r="9" spans="1:11" s="103" customFormat="1">
      <c r="A9" s="107" t="s">
        <v>2936</v>
      </c>
      <c r="B9" s="107">
        <f t="shared" si="0"/>
        <v>2025</v>
      </c>
      <c r="C9" s="399" t="str">
        <f>'Panorama A.'!E18</f>
        <v>01.01.08.</v>
      </c>
      <c r="D9" s="107">
        <f t="shared" si="1"/>
        <v>0</v>
      </c>
      <c r="E9" s="107">
        <f>'Panorama A.'!F18</f>
        <v>0</v>
      </c>
      <c r="F9" s="107">
        <f>'Panorama A.'!G18</f>
        <v>0</v>
      </c>
      <c r="G9" s="107" t="str">
        <f>VLOOKUP('Panorama A.'!H18,TABPAIS,2,FALSE)</f>
        <v>PER</v>
      </c>
      <c r="H9" s="108">
        <f>'Panorama A.'!I18</f>
        <v>0</v>
      </c>
      <c r="I9" s="110" t="str">
        <f ca="1">'Panorama A.'!$B$7</f>
        <v>Panorama A.</v>
      </c>
      <c r="J9" s="110" t="str">
        <f t="shared" si="2"/>
        <v>A.1</v>
      </c>
      <c r="K9" s="107"/>
    </row>
    <row r="10" spans="1:11" s="103" customFormat="1">
      <c r="A10" s="107" t="s">
        <v>2936</v>
      </c>
      <c r="B10" s="107">
        <f t="shared" si="0"/>
        <v>2025</v>
      </c>
      <c r="C10" s="399" t="str">
        <f>'Panorama A.'!E19</f>
        <v>01.01.09.</v>
      </c>
      <c r="D10" s="107">
        <f t="shared" si="1"/>
        <v>0</v>
      </c>
      <c r="E10" s="107">
        <f>'Panorama A.'!F19</f>
        <v>0</v>
      </c>
      <c r="F10" s="107">
        <f>'Panorama A.'!G19</f>
        <v>0</v>
      </c>
      <c r="G10" s="107" t="str">
        <f>VLOOKUP('Panorama A.'!H19,TABPAIS,2,FALSE)</f>
        <v>PER</v>
      </c>
      <c r="H10" s="108">
        <f>'Panorama A.'!I19</f>
        <v>0</v>
      </c>
      <c r="I10" s="110" t="str">
        <f ca="1">'Panorama A.'!$B$7</f>
        <v>Panorama A.</v>
      </c>
      <c r="J10" s="110" t="str">
        <f t="shared" si="2"/>
        <v>A.1</v>
      </c>
      <c r="K10" s="107"/>
    </row>
    <row r="11" spans="1:11" s="103" customFormat="1">
      <c r="A11" s="107" t="s">
        <v>2936</v>
      </c>
      <c r="B11" s="107">
        <f t="shared" si="0"/>
        <v>2025</v>
      </c>
      <c r="C11" s="399" t="str">
        <f>'Panorama A.'!E20</f>
        <v>01.01.10.</v>
      </c>
      <c r="D11" s="107">
        <f t="shared" si="1"/>
        <v>0</v>
      </c>
      <c r="E11" s="107">
        <f>'Panorama A.'!F20</f>
        <v>0</v>
      </c>
      <c r="F11" s="107">
        <f>'Panorama A.'!G20</f>
        <v>0</v>
      </c>
      <c r="G11" s="107" t="str">
        <f>VLOOKUP('Panorama A.'!H20,TABPAIS,2,FALSE)</f>
        <v>PER</v>
      </c>
      <c r="H11" s="108">
        <f>'Panorama A.'!I20</f>
        <v>0</v>
      </c>
      <c r="I11" s="110" t="str">
        <f ca="1">'Panorama A.'!$B$7</f>
        <v>Panorama A.</v>
      </c>
      <c r="J11" s="110" t="str">
        <f t="shared" si="2"/>
        <v>A.1</v>
      </c>
      <c r="K11" s="107">
        <v>2</v>
      </c>
    </row>
    <row r="12" spans="1:11">
      <c r="A12" s="107" t="s">
        <v>2936</v>
      </c>
      <c r="B12" s="107">
        <f t="shared" si="0"/>
        <v>2025</v>
      </c>
      <c r="C12" s="399" t="str">
        <f>'Panorama A.'!E22</f>
        <v>01.02.01.</v>
      </c>
      <c r="D12" s="107">
        <f t="shared" si="1"/>
        <v>0</v>
      </c>
      <c r="E12" s="107">
        <f>'Panorama A.'!F22</f>
        <v>0</v>
      </c>
      <c r="F12" s="107">
        <f>'Panorama A.'!G22</f>
        <v>0</v>
      </c>
      <c r="G12" s="107" t="str">
        <f>VLOOKUP('Panorama A.'!H22,TABPAIS,2,FALSE)</f>
        <v>00</v>
      </c>
      <c r="H12" s="108">
        <f>'Panorama A.'!I22</f>
        <v>0</v>
      </c>
      <c r="I12" s="110" t="str">
        <f ca="1">'Panorama A.'!$B$7</f>
        <v>Panorama A.</v>
      </c>
      <c r="J12" s="110" t="str">
        <f t="shared" si="2"/>
        <v>A.1</v>
      </c>
      <c r="K12" s="107"/>
    </row>
    <row r="13" spans="1:11">
      <c r="A13" s="107" t="s">
        <v>2936</v>
      </c>
      <c r="B13" s="107">
        <f t="shared" si="0"/>
        <v>2025</v>
      </c>
      <c r="C13" s="399" t="str">
        <f>'Panorama A.'!E23</f>
        <v>01.02.02.</v>
      </c>
      <c r="D13" s="107">
        <f t="shared" si="1"/>
        <v>0</v>
      </c>
      <c r="E13" s="107">
        <f>'Panorama A.'!F23</f>
        <v>0</v>
      </c>
      <c r="F13" s="107">
        <f>'Panorama A.'!G23</f>
        <v>0</v>
      </c>
      <c r="G13" s="107" t="str">
        <f>VLOOKUP('Panorama A.'!H23,TABPAIS,2,FALSE)</f>
        <v>00</v>
      </c>
      <c r="H13" s="108">
        <f>'Panorama A.'!I23</f>
        <v>0</v>
      </c>
      <c r="I13" s="110" t="str">
        <f ca="1">'Panorama A.'!$B$7</f>
        <v>Panorama A.</v>
      </c>
      <c r="J13" s="110" t="str">
        <f t="shared" si="2"/>
        <v>A.1</v>
      </c>
      <c r="K13" s="107"/>
    </row>
    <row r="14" spans="1:11">
      <c r="A14" s="107" t="s">
        <v>2936</v>
      </c>
      <c r="B14" s="107">
        <f t="shared" si="0"/>
        <v>2025</v>
      </c>
      <c r="C14" s="399" t="str">
        <f>'Panorama A.'!E24</f>
        <v>01.02.03.</v>
      </c>
      <c r="D14" s="107">
        <f t="shared" si="1"/>
        <v>0</v>
      </c>
      <c r="E14" s="107">
        <f>'Panorama A.'!F24</f>
        <v>0</v>
      </c>
      <c r="F14" s="107">
        <f>'Panorama A.'!G24</f>
        <v>0</v>
      </c>
      <c r="G14" s="107" t="str">
        <f>VLOOKUP('Panorama A.'!H24,TABPAIS,2,FALSE)</f>
        <v>00</v>
      </c>
      <c r="H14" s="108">
        <f>'Panorama A.'!I24</f>
        <v>0</v>
      </c>
      <c r="I14" s="110" t="str">
        <f ca="1">'Panorama A.'!$B$7</f>
        <v>Panorama A.</v>
      </c>
      <c r="J14" s="110" t="str">
        <f t="shared" si="2"/>
        <v>A.1</v>
      </c>
      <c r="K14" s="107"/>
    </row>
    <row r="15" spans="1:11">
      <c r="A15" s="107" t="s">
        <v>2936</v>
      </c>
      <c r="B15" s="107">
        <f t="shared" si="0"/>
        <v>2025</v>
      </c>
      <c r="C15" s="399" t="str">
        <f>'Panorama A.'!E25</f>
        <v>01.02.04.</v>
      </c>
      <c r="D15" s="107">
        <f t="shared" si="1"/>
        <v>0</v>
      </c>
      <c r="E15" s="107">
        <f>'Panorama A.'!F25</f>
        <v>0</v>
      </c>
      <c r="F15" s="107">
        <f>'Panorama A.'!G25</f>
        <v>0</v>
      </c>
      <c r="G15" s="107" t="str">
        <f>VLOOKUP('Panorama A.'!H25,TABPAIS,2,FALSE)</f>
        <v>00</v>
      </c>
      <c r="H15" s="108">
        <f>'Panorama A.'!I25</f>
        <v>0</v>
      </c>
      <c r="I15" s="110" t="str">
        <f ca="1">'Panorama A.'!$B$7</f>
        <v>Panorama A.</v>
      </c>
      <c r="J15" s="110" t="str">
        <f t="shared" si="2"/>
        <v>A.1</v>
      </c>
      <c r="K15" s="107"/>
    </row>
    <row r="16" spans="1:11">
      <c r="A16" s="107" t="s">
        <v>2936</v>
      </c>
      <c r="B16" s="107">
        <f t="shared" si="0"/>
        <v>2025</v>
      </c>
      <c r="C16" s="399" t="str">
        <f>'Panorama A.'!E26</f>
        <v>01.02.05.</v>
      </c>
      <c r="D16" s="107">
        <f t="shared" si="1"/>
        <v>0</v>
      </c>
      <c r="E16" s="107">
        <f>'Panorama A.'!F26</f>
        <v>0</v>
      </c>
      <c r="F16" s="107">
        <f>'Panorama A.'!G26</f>
        <v>0</v>
      </c>
      <c r="G16" s="107" t="str">
        <f>VLOOKUP('Panorama A.'!H26,TABPAIS,2,FALSE)</f>
        <v>00</v>
      </c>
      <c r="H16" s="108">
        <f>'Panorama A.'!I26</f>
        <v>0</v>
      </c>
      <c r="I16" s="110" t="str">
        <f ca="1">'Panorama A.'!$B$7</f>
        <v>Panorama A.</v>
      </c>
      <c r="J16" s="110" t="str">
        <f t="shared" si="2"/>
        <v>A.1</v>
      </c>
      <c r="K16" s="107"/>
    </row>
    <row r="17" spans="1:11">
      <c r="A17" s="107" t="s">
        <v>2936</v>
      </c>
      <c r="B17" s="107">
        <f t="shared" si="0"/>
        <v>2025</v>
      </c>
      <c r="C17" s="399" t="str">
        <f>'Panorama A.'!E27</f>
        <v>01.02.06.</v>
      </c>
      <c r="D17" s="107">
        <f t="shared" si="1"/>
        <v>0</v>
      </c>
      <c r="E17" s="107">
        <f>'Panorama A.'!F27</f>
        <v>0</v>
      </c>
      <c r="F17" s="107">
        <f>'Panorama A.'!G27</f>
        <v>0</v>
      </c>
      <c r="G17" s="107" t="str">
        <f>VLOOKUP('Panorama A.'!H27,TABPAIS,2,FALSE)</f>
        <v>00</v>
      </c>
      <c r="H17" s="108">
        <f>'Panorama A.'!I27</f>
        <v>0</v>
      </c>
      <c r="I17" s="110" t="str">
        <f ca="1">'Panorama A.'!$B$7</f>
        <v>Panorama A.</v>
      </c>
      <c r="J17" s="110" t="str">
        <f t="shared" si="2"/>
        <v>A.1</v>
      </c>
      <c r="K17" s="107"/>
    </row>
    <row r="18" spans="1:11">
      <c r="A18" s="107" t="s">
        <v>2936</v>
      </c>
      <c r="B18" s="107">
        <f t="shared" si="0"/>
        <v>2025</v>
      </c>
      <c r="C18" s="399" t="str">
        <f>'Panorama A.'!E28</f>
        <v>01.02.07.</v>
      </c>
      <c r="D18" s="107">
        <f t="shared" si="1"/>
        <v>0</v>
      </c>
      <c r="E18" s="107">
        <f>'Panorama A.'!F28</f>
        <v>0</v>
      </c>
      <c r="F18" s="107">
        <f>'Panorama A.'!G28</f>
        <v>0</v>
      </c>
      <c r="G18" s="107" t="str">
        <f>VLOOKUP('Panorama A.'!H28,TABPAIS,2,FALSE)</f>
        <v>00</v>
      </c>
      <c r="H18" s="108">
        <f>'Panorama A.'!I28</f>
        <v>0</v>
      </c>
      <c r="I18" s="110" t="str">
        <f ca="1">'Panorama A.'!$B$7</f>
        <v>Panorama A.</v>
      </c>
      <c r="J18" s="110" t="str">
        <f t="shared" si="2"/>
        <v>A.1</v>
      </c>
      <c r="K18" s="107"/>
    </row>
    <row r="19" spans="1:11">
      <c r="A19" s="107" t="s">
        <v>2936</v>
      </c>
      <c r="B19" s="107">
        <f t="shared" si="0"/>
        <v>2025</v>
      </c>
      <c r="C19" s="399" t="str">
        <f>'Panorama A.'!E29</f>
        <v>01.02.08.</v>
      </c>
      <c r="D19" s="107">
        <f t="shared" si="1"/>
        <v>0</v>
      </c>
      <c r="E19" s="107">
        <f>'Panorama A.'!F29</f>
        <v>0</v>
      </c>
      <c r="F19" s="107">
        <f>'Panorama A.'!G29</f>
        <v>0</v>
      </c>
      <c r="G19" s="107" t="str">
        <f>VLOOKUP('Panorama A.'!H29,TABPAIS,2,FALSE)</f>
        <v>00</v>
      </c>
      <c r="H19" s="108">
        <f>'Panorama A.'!I29</f>
        <v>0</v>
      </c>
      <c r="I19" s="110" t="str">
        <f ca="1">'Panorama A.'!$B$7</f>
        <v>Panorama A.</v>
      </c>
      <c r="J19" s="110" t="str">
        <f t="shared" si="2"/>
        <v>A.1</v>
      </c>
      <c r="K19" s="107"/>
    </row>
    <row r="20" spans="1:11">
      <c r="A20" s="107" t="s">
        <v>2936</v>
      </c>
      <c r="B20" s="107">
        <f t="shared" si="0"/>
        <v>2025</v>
      </c>
      <c r="C20" s="399" t="str">
        <f>'Panorama A.'!E30</f>
        <v>01.02.09.</v>
      </c>
      <c r="D20" s="107">
        <f t="shared" si="1"/>
        <v>0</v>
      </c>
      <c r="E20" s="107">
        <f>'Panorama A.'!F30</f>
        <v>0</v>
      </c>
      <c r="F20" s="107">
        <f>'Panorama A.'!G30</f>
        <v>0</v>
      </c>
      <c r="G20" s="107" t="str">
        <f>VLOOKUP('Panorama A.'!H30,TABPAIS,2,FALSE)</f>
        <v>00</v>
      </c>
      <c r="H20" s="108">
        <f>'Panorama A.'!I30</f>
        <v>0</v>
      </c>
      <c r="I20" s="110" t="str">
        <f ca="1">'Panorama A.'!$B$7</f>
        <v>Panorama A.</v>
      </c>
      <c r="J20" s="110" t="str">
        <f t="shared" si="2"/>
        <v>A.1</v>
      </c>
      <c r="K20" s="107"/>
    </row>
    <row r="21" spans="1:11">
      <c r="A21" s="107" t="s">
        <v>2936</v>
      </c>
      <c r="B21" s="107">
        <f t="shared" si="0"/>
        <v>2025</v>
      </c>
      <c r="C21" s="399" t="str">
        <f>'Panorama A.'!E31</f>
        <v>01.02.10.</v>
      </c>
      <c r="D21" s="107">
        <f t="shared" si="1"/>
        <v>0</v>
      </c>
      <c r="E21" s="107">
        <f>'Panorama A.'!F31</f>
        <v>0</v>
      </c>
      <c r="F21" s="107">
        <f>'Panorama A.'!G31</f>
        <v>0</v>
      </c>
      <c r="G21" s="107" t="str">
        <f>VLOOKUP('Panorama A.'!H31,TABPAIS,2,FALSE)</f>
        <v>00</v>
      </c>
      <c r="H21" s="108">
        <f>'Panorama A.'!I31</f>
        <v>0</v>
      </c>
      <c r="I21" s="110" t="str">
        <f ca="1">'Panorama A.'!$B$7</f>
        <v>Panorama A.</v>
      </c>
      <c r="J21" s="110" t="str">
        <f t="shared" si="2"/>
        <v>A.1</v>
      </c>
      <c r="K21" s="107"/>
    </row>
    <row r="22" spans="1:11">
      <c r="A22" s="104" t="s">
        <v>2936</v>
      </c>
      <c r="B22" s="104">
        <f t="shared" si="0"/>
        <v>2025</v>
      </c>
      <c r="C22" s="455" t="str">
        <f>'Panorama A.'!E42</f>
        <v>02.01.01.</v>
      </c>
      <c r="D22" s="104">
        <f t="shared" si="1"/>
        <v>0</v>
      </c>
      <c r="E22" s="104">
        <f>'Panorama A.'!F42</f>
        <v>0</v>
      </c>
      <c r="F22" s="104">
        <f>'Panorama A.'!G42</f>
        <v>0</v>
      </c>
      <c r="G22" s="104" t="str">
        <f>VLOOKUP('Panorama A.'!H42,TABPAIS,2,FALSE)</f>
        <v>PER</v>
      </c>
      <c r="H22" s="456">
        <f>'Panorama A.'!I42</f>
        <v>0</v>
      </c>
      <c r="I22" s="457" t="str">
        <f ca="1">'Panorama A.'!$B$7</f>
        <v>Panorama A.</v>
      </c>
      <c r="J22" s="457" t="s">
        <v>2938</v>
      </c>
      <c r="K22" s="104">
        <v>1</v>
      </c>
    </row>
    <row r="23" spans="1:11">
      <c r="A23" s="104" t="s">
        <v>2936</v>
      </c>
      <c r="B23" s="104">
        <f t="shared" si="0"/>
        <v>2025</v>
      </c>
      <c r="C23" s="455" t="str">
        <f>'Panorama A.'!E43</f>
        <v>02.01.02.</v>
      </c>
      <c r="D23" s="104">
        <f t="shared" si="1"/>
        <v>0</v>
      </c>
      <c r="E23" s="104">
        <f>'Panorama A.'!F43</f>
        <v>0</v>
      </c>
      <c r="F23" s="104">
        <f>'Panorama A.'!G43</f>
        <v>0</v>
      </c>
      <c r="G23" s="104" t="str">
        <f>VLOOKUP('Panorama A.'!H43,TABPAIS,2,FALSE)</f>
        <v>PER</v>
      </c>
      <c r="H23" s="456">
        <f>'Panorama A.'!I43</f>
        <v>0</v>
      </c>
      <c r="I23" s="457" t="str">
        <f ca="1">'Panorama A.'!$B$7</f>
        <v>Panorama A.</v>
      </c>
      <c r="J23" s="457" t="str">
        <f t="shared" si="2"/>
        <v>A.2</v>
      </c>
    </row>
    <row r="24" spans="1:11">
      <c r="A24" s="104" t="s">
        <v>2936</v>
      </c>
      <c r="B24" s="104">
        <f t="shared" si="0"/>
        <v>2025</v>
      </c>
      <c r="C24" s="455" t="str">
        <f>'Panorama A.'!E44</f>
        <v>02.01.03.</v>
      </c>
      <c r="D24" s="104">
        <f t="shared" si="1"/>
        <v>0</v>
      </c>
      <c r="E24" s="104">
        <f>'Panorama A.'!F44</f>
        <v>0</v>
      </c>
      <c r="F24" s="104">
        <f>'Panorama A.'!G44</f>
        <v>0</v>
      </c>
      <c r="G24" s="104" t="str">
        <f>VLOOKUP('Panorama A.'!H44,TABPAIS,2,FALSE)</f>
        <v>PER</v>
      </c>
      <c r="H24" s="456">
        <f>'Panorama A.'!I44</f>
        <v>0</v>
      </c>
      <c r="I24" s="457" t="str">
        <f ca="1">'Panorama A.'!$B$7</f>
        <v>Panorama A.</v>
      </c>
      <c r="J24" s="457" t="str">
        <f t="shared" si="2"/>
        <v>A.2</v>
      </c>
    </row>
    <row r="25" spans="1:11">
      <c r="A25" s="104" t="s">
        <v>2936</v>
      </c>
      <c r="B25" s="104">
        <f t="shared" si="0"/>
        <v>2025</v>
      </c>
      <c r="C25" s="455" t="str">
        <f>'Panorama A.'!E45</f>
        <v>02.01.04.</v>
      </c>
      <c r="D25" s="104">
        <f t="shared" si="1"/>
        <v>0</v>
      </c>
      <c r="E25" s="104">
        <f>'Panorama A.'!F45</f>
        <v>0</v>
      </c>
      <c r="F25" s="104">
        <f>'Panorama A.'!G45</f>
        <v>0</v>
      </c>
      <c r="G25" s="104" t="str">
        <f>VLOOKUP('Panorama A.'!H45,TABPAIS,2,FALSE)</f>
        <v>PER</v>
      </c>
      <c r="H25" s="456">
        <f>'Panorama A.'!I45</f>
        <v>0</v>
      </c>
      <c r="I25" s="457" t="str">
        <f ca="1">'Panorama A.'!$B$7</f>
        <v>Panorama A.</v>
      </c>
      <c r="J25" s="457" t="str">
        <f t="shared" si="2"/>
        <v>A.2</v>
      </c>
    </row>
    <row r="26" spans="1:11">
      <c r="A26" s="104" t="s">
        <v>2936</v>
      </c>
      <c r="B26" s="104">
        <f t="shared" si="0"/>
        <v>2025</v>
      </c>
      <c r="C26" s="455" t="str">
        <f>'Panorama A.'!E46</f>
        <v>02.01.05.</v>
      </c>
      <c r="D26" s="104">
        <f t="shared" si="1"/>
        <v>0</v>
      </c>
      <c r="E26" s="104">
        <f>'Panorama A.'!F46</f>
        <v>0</v>
      </c>
      <c r="F26" s="104">
        <f>'Panorama A.'!G46</f>
        <v>0</v>
      </c>
      <c r="G26" s="104" t="str">
        <f>VLOOKUP('Panorama A.'!H46,TABPAIS,2,FALSE)</f>
        <v>PER</v>
      </c>
      <c r="H26" s="456">
        <f>'Panorama A.'!I46</f>
        <v>0</v>
      </c>
      <c r="I26" s="457" t="str">
        <f ca="1">'Panorama A.'!$B$7</f>
        <v>Panorama A.</v>
      </c>
      <c r="J26" s="457" t="str">
        <f t="shared" si="2"/>
        <v>A.2</v>
      </c>
    </row>
    <row r="27" spans="1:11">
      <c r="A27" s="104" t="s">
        <v>2936</v>
      </c>
      <c r="B27" s="104">
        <f t="shared" si="0"/>
        <v>2025</v>
      </c>
      <c r="C27" s="455" t="str">
        <f>'Panorama A.'!E47</f>
        <v>02.01.06.</v>
      </c>
      <c r="D27" s="104">
        <f t="shared" si="1"/>
        <v>0</v>
      </c>
      <c r="E27" s="104">
        <f>'Panorama A.'!F47</f>
        <v>0</v>
      </c>
      <c r="F27" s="104">
        <f>'Panorama A.'!G47</f>
        <v>0</v>
      </c>
      <c r="G27" s="104" t="str">
        <f>VLOOKUP('Panorama A.'!H47,TABPAIS,2,FALSE)</f>
        <v>PER</v>
      </c>
      <c r="H27" s="456">
        <f>'Panorama A.'!I47</f>
        <v>0</v>
      </c>
      <c r="I27" s="457" t="str">
        <f ca="1">'Panorama A.'!$B$7</f>
        <v>Panorama A.</v>
      </c>
      <c r="J27" s="457" t="str">
        <f t="shared" si="2"/>
        <v>A.2</v>
      </c>
    </row>
    <row r="28" spans="1:11">
      <c r="A28" s="104" t="s">
        <v>2936</v>
      </c>
      <c r="B28" s="104">
        <f t="shared" si="0"/>
        <v>2025</v>
      </c>
      <c r="C28" s="455" t="str">
        <f>'Panorama A.'!E48</f>
        <v>02.01.07.</v>
      </c>
      <c r="D28" s="104">
        <f t="shared" si="1"/>
        <v>0</v>
      </c>
      <c r="E28" s="104">
        <f>'Panorama A.'!F48</f>
        <v>0</v>
      </c>
      <c r="F28" s="104">
        <f>'Panorama A.'!G48</f>
        <v>0</v>
      </c>
      <c r="G28" s="104" t="str">
        <f>VLOOKUP('Panorama A.'!H48,TABPAIS,2,FALSE)</f>
        <v>PER</v>
      </c>
      <c r="H28" s="456">
        <f>'Panorama A.'!I48</f>
        <v>0</v>
      </c>
      <c r="I28" s="457" t="str">
        <f ca="1">'Panorama A.'!$B$7</f>
        <v>Panorama A.</v>
      </c>
      <c r="J28" s="457" t="str">
        <f t="shared" si="2"/>
        <v>A.2</v>
      </c>
    </row>
    <row r="29" spans="1:11">
      <c r="A29" s="104" t="s">
        <v>2936</v>
      </c>
      <c r="B29" s="104">
        <f t="shared" si="0"/>
        <v>2025</v>
      </c>
      <c r="C29" s="455" t="str">
        <f>'Panorama A.'!E49</f>
        <v>02.01.08.</v>
      </c>
      <c r="D29" s="104">
        <f t="shared" si="1"/>
        <v>0</v>
      </c>
      <c r="E29" s="104">
        <f>'Panorama A.'!F49</f>
        <v>0</v>
      </c>
      <c r="F29" s="104">
        <f>'Panorama A.'!G49</f>
        <v>0</v>
      </c>
      <c r="G29" s="104" t="str">
        <f>VLOOKUP('Panorama A.'!H49,TABPAIS,2,FALSE)</f>
        <v>PER</v>
      </c>
      <c r="H29" s="456">
        <f>'Panorama A.'!I49</f>
        <v>0</v>
      </c>
      <c r="I29" s="457" t="str">
        <f ca="1">'Panorama A.'!$B$7</f>
        <v>Panorama A.</v>
      </c>
      <c r="J29" s="457" t="str">
        <f t="shared" si="2"/>
        <v>A.2</v>
      </c>
    </row>
    <row r="30" spans="1:11">
      <c r="A30" s="104" t="s">
        <v>2936</v>
      </c>
      <c r="B30" s="104">
        <f t="shared" si="0"/>
        <v>2025</v>
      </c>
      <c r="C30" s="455" t="str">
        <f>'Panorama A.'!E50</f>
        <v>02.01.09.</v>
      </c>
      <c r="D30" s="104">
        <f t="shared" si="1"/>
        <v>0</v>
      </c>
      <c r="E30" s="104">
        <f>'Panorama A.'!F50</f>
        <v>0</v>
      </c>
      <c r="F30" s="104">
        <f>'Panorama A.'!G50</f>
        <v>0</v>
      </c>
      <c r="G30" s="104" t="str">
        <f>VLOOKUP('Panorama A.'!H50,TABPAIS,2,FALSE)</f>
        <v>PER</v>
      </c>
      <c r="H30" s="456">
        <f>'Panorama A.'!I50</f>
        <v>0</v>
      </c>
      <c r="I30" s="457" t="str">
        <f ca="1">'Panorama A.'!$B$7</f>
        <v>Panorama A.</v>
      </c>
      <c r="J30" s="457" t="str">
        <f t="shared" si="2"/>
        <v>A.2</v>
      </c>
    </row>
    <row r="31" spans="1:11">
      <c r="A31" s="104" t="s">
        <v>2936</v>
      </c>
      <c r="B31" s="104">
        <f t="shared" si="0"/>
        <v>2025</v>
      </c>
      <c r="C31" s="455" t="str">
        <f>'Panorama A.'!E51</f>
        <v>02.01.10.</v>
      </c>
      <c r="D31" s="104">
        <f t="shared" si="1"/>
        <v>0</v>
      </c>
      <c r="E31" s="104">
        <f>'Panorama A.'!F51</f>
        <v>0</v>
      </c>
      <c r="F31" s="104">
        <f>'Panorama A.'!G51</f>
        <v>0</v>
      </c>
      <c r="G31" s="104" t="str">
        <f>VLOOKUP('Panorama A.'!H51,TABPAIS,2,FALSE)</f>
        <v>PER</v>
      </c>
      <c r="H31" s="456">
        <f>'Panorama A.'!I51</f>
        <v>0</v>
      </c>
      <c r="I31" s="457" t="str">
        <f ca="1">'Panorama A.'!$B$7</f>
        <v>Panorama A.</v>
      </c>
      <c r="J31" s="457" t="str">
        <f t="shared" si="2"/>
        <v>A.2</v>
      </c>
    </row>
    <row r="32" spans="1:11">
      <c r="A32" s="104" t="s">
        <v>2936</v>
      </c>
      <c r="B32" s="104">
        <f t="shared" si="0"/>
        <v>2025</v>
      </c>
      <c r="C32" s="455" t="str">
        <f>'Panorama A.'!E53</f>
        <v>02.02.01.</v>
      </c>
      <c r="D32" s="104">
        <f t="shared" si="1"/>
        <v>0</v>
      </c>
      <c r="E32" s="104">
        <f>'Panorama A.'!F53</f>
        <v>0</v>
      </c>
      <c r="F32" s="104">
        <f>'Panorama A.'!G53</f>
        <v>0</v>
      </c>
      <c r="G32" s="104" t="str">
        <f>VLOOKUP('Panorama A.'!H53,TABPAIS,2,FALSE)</f>
        <v>00</v>
      </c>
      <c r="H32" s="456">
        <f>'Panorama A.'!I53</f>
        <v>0</v>
      </c>
      <c r="I32" s="457" t="str">
        <f ca="1">'Panorama A.'!$B$7</f>
        <v>Panorama A.</v>
      </c>
      <c r="J32" s="457" t="str">
        <f t="shared" si="2"/>
        <v>A.2</v>
      </c>
      <c r="K32" s="104">
        <v>2</v>
      </c>
    </row>
    <row r="33" spans="1:11">
      <c r="A33" s="104" t="s">
        <v>2936</v>
      </c>
      <c r="B33" s="104">
        <f t="shared" si="0"/>
        <v>2025</v>
      </c>
      <c r="C33" s="455" t="str">
        <f>'Panorama A.'!E54</f>
        <v>02.02.02.</v>
      </c>
      <c r="D33" s="104">
        <f t="shared" si="1"/>
        <v>0</v>
      </c>
      <c r="E33" s="104">
        <f>'Panorama A.'!F54</f>
        <v>0</v>
      </c>
      <c r="F33" s="104">
        <f>'Panorama A.'!G54</f>
        <v>0</v>
      </c>
      <c r="G33" s="104" t="str">
        <f>VLOOKUP('Panorama A.'!H54,TABPAIS,2,FALSE)</f>
        <v>00</v>
      </c>
      <c r="H33" s="456">
        <f>'Panorama A.'!I54</f>
        <v>0</v>
      </c>
      <c r="I33" s="457" t="str">
        <f ca="1">'Panorama A.'!$B$7</f>
        <v>Panorama A.</v>
      </c>
      <c r="J33" s="457" t="str">
        <f t="shared" si="2"/>
        <v>A.2</v>
      </c>
    </row>
    <row r="34" spans="1:11">
      <c r="A34" s="104" t="s">
        <v>2936</v>
      </c>
      <c r="B34" s="104">
        <f t="shared" ref="B34:B61" si="3">ANUAL</f>
        <v>2025</v>
      </c>
      <c r="C34" s="455" t="str">
        <f>'Panorama A.'!E55</f>
        <v>02.02.03.</v>
      </c>
      <c r="D34" s="104">
        <f t="shared" ref="D34:D61" si="4">+RUC</f>
        <v>0</v>
      </c>
      <c r="E34" s="104">
        <f>'Panorama A.'!F55</f>
        <v>0</v>
      </c>
      <c r="F34" s="104">
        <f>'Panorama A.'!G55</f>
        <v>0</v>
      </c>
      <c r="G34" s="104" t="str">
        <f>VLOOKUP('Panorama A.'!H55,TABPAIS,2,FALSE)</f>
        <v>00</v>
      </c>
      <c r="H34" s="456">
        <f>'Panorama A.'!I55</f>
        <v>0</v>
      </c>
      <c r="I34" s="457" t="str">
        <f ca="1">'Panorama A.'!$B$7</f>
        <v>Panorama A.</v>
      </c>
      <c r="J34" s="457" t="str">
        <f t="shared" si="2"/>
        <v>A.2</v>
      </c>
    </row>
    <row r="35" spans="1:11">
      <c r="A35" s="104" t="s">
        <v>2936</v>
      </c>
      <c r="B35" s="104">
        <f t="shared" si="3"/>
        <v>2025</v>
      </c>
      <c r="C35" s="455" t="str">
        <f>'Panorama A.'!E56</f>
        <v>02.02.04.</v>
      </c>
      <c r="D35" s="104">
        <f t="shared" si="4"/>
        <v>0</v>
      </c>
      <c r="E35" s="104">
        <f>'Panorama A.'!F56</f>
        <v>0</v>
      </c>
      <c r="F35" s="104">
        <f>'Panorama A.'!G56</f>
        <v>0</v>
      </c>
      <c r="G35" s="104" t="str">
        <f>VLOOKUP('Panorama A.'!H56,TABPAIS,2,FALSE)</f>
        <v>00</v>
      </c>
      <c r="H35" s="456">
        <f>'Panorama A.'!I56</f>
        <v>0</v>
      </c>
      <c r="I35" s="457" t="str">
        <f ca="1">'Panorama A.'!$B$7</f>
        <v>Panorama A.</v>
      </c>
      <c r="J35" s="457" t="str">
        <f t="shared" si="2"/>
        <v>A.2</v>
      </c>
    </row>
    <row r="36" spans="1:11">
      <c r="A36" s="104" t="s">
        <v>2936</v>
      </c>
      <c r="B36" s="104">
        <f t="shared" si="3"/>
        <v>2025</v>
      </c>
      <c r="C36" s="455" t="str">
        <f>'Panorama A.'!E57</f>
        <v>02.02.05.</v>
      </c>
      <c r="D36" s="104">
        <f t="shared" si="4"/>
        <v>0</v>
      </c>
      <c r="E36" s="104">
        <f>'Panorama A.'!F57</f>
        <v>0</v>
      </c>
      <c r="F36" s="104">
        <f>'Panorama A.'!G57</f>
        <v>0</v>
      </c>
      <c r="G36" s="104" t="str">
        <f>VLOOKUP('Panorama A.'!H57,TABPAIS,2,FALSE)</f>
        <v>00</v>
      </c>
      <c r="H36" s="456">
        <f>'Panorama A.'!I57</f>
        <v>0</v>
      </c>
      <c r="I36" s="457" t="str">
        <f ca="1">'Panorama A.'!$B$7</f>
        <v>Panorama A.</v>
      </c>
      <c r="J36" s="457" t="str">
        <f t="shared" si="2"/>
        <v>A.2</v>
      </c>
    </row>
    <row r="37" spans="1:11">
      <c r="A37" s="104" t="s">
        <v>2936</v>
      </c>
      <c r="B37" s="104">
        <f t="shared" si="3"/>
        <v>2025</v>
      </c>
      <c r="C37" s="455" t="str">
        <f>'Panorama A.'!E58</f>
        <v>02.02.06.</v>
      </c>
      <c r="D37" s="104">
        <f t="shared" si="4"/>
        <v>0</v>
      </c>
      <c r="E37" s="104">
        <f>'Panorama A.'!F58</f>
        <v>0</v>
      </c>
      <c r="F37" s="104">
        <f>'Panorama A.'!G58</f>
        <v>0</v>
      </c>
      <c r="G37" s="104" t="str">
        <f>VLOOKUP('Panorama A.'!H58,TABPAIS,2,FALSE)</f>
        <v>00</v>
      </c>
      <c r="H37" s="456">
        <f>'Panorama A.'!I58</f>
        <v>0</v>
      </c>
      <c r="I37" s="457" t="str">
        <f ca="1">'Panorama A.'!$B$7</f>
        <v>Panorama A.</v>
      </c>
      <c r="J37" s="457" t="str">
        <f t="shared" si="2"/>
        <v>A.2</v>
      </c>
    </row>
    <row r="38" spans="1:11">
      <c r="A38" s="104" t="s">
        <v>2936</v>
      </c>
      <c r="B38" s="104">
        <f t="shared" si="3"/>
        <v>2025</v>
      </c>
      <c r="C38" s="455" t="str">
        <f>'Panorama A.'!E59</f>
        <v>02.02.07.</v>
      </c>
      <c r="D38" s="104">
        <f t="shared" si="4"/>
        <v>0</v>
      </c>
      <c r="E38" s="104">
        <f>'Panorama A.'!F59</f>
        <v>0</v>
      </c>
      <c r="F38" s="104">
        <f>'Panorama A.'!G59</f>
        <v>0</v>
      </c>
      <c r="G38" s="104" t="str">
        <f>VLOOKUP('Panorama A.'!H59,TABPAIS,2,FALSE)</f>
        <v>00</v>
      </c>
      <c r="H38" s="456">
        <f>'Panorama A.'!I59</f>
        <v>0</v>
      </c>
      <c r="I38" s="457" t="str">
        <f ca="1">'Panorama A.'!$B$7</f>
        <v>Panorama A.</v>
      </c>
      <c r="J38" s="457" t="str">
        <f t="shared" si="2"/>
        <v>A.2</v>
      </c>
    </row>
    <row r="39" spans="1:11">
      <c r="A39" s="104" t="s">
        <v>2936</v>
      </c>
      <c r="B39" s="104">
        <f t="shared" si="3"/>
        <v>2025</v>
      </c>
      <c r="C39" s="455" t="str">
        <f>'Panorama A.'!E60</f>
        <v>02.02.08.</v>
      </c>
      <c r="D39" s="104">
        <f t="shared" si="4"/>
        <v>0</v>
      </c>
      <c r="E39" s="104">
        <f>'Panorama A.'!F60</f>
        <v>0</v>
      </c>
      <c r="F39" s="104">
        <f>'Panorama A.'!G60</f>
        <v>0</v>
      </c>
      <c r="G39" s="104" t="str">
        <f>VLOOKUP('Panorama A.'!H60,TABPAIS,2,FALSE)</f>
        <v>00</v>
      </c>
      <c r="H39" s="456">
        <f>'Panorama A.'!I60</f>
        <v>0</v>
      </c>
      <c r="I39" s="457" t="str">
        <f ca="1">'Panorama A.'!$B$7</f>
        <v>Panorama A.</v>
      </c>
      <c r="J39" s="457" t="str">
        <f t="shared" si="2"/>
        <v>A.2</v>
      </c>
    </row>
    <row r="40" spans="1:11">
      <c r="A40" s="104" t="s">
        <v>2936</v>
      </c>
      <c r="B40" s="104">
        <f t="shared" si="3"/>
        <v>2025</v>
      </c>
      <c r="C40" s="455" t="str">
        <f>'Panorama A.'!E61</f>
        <v>02.02.09.</v>
      </c>
      <c r="D40" s="104">
        <f t="shared" si="4"/>
        <v>0</v>
      </c>
      <c r="E40" s="104">
        <f>'Panorama A.'!F61</f>
        <v>0</v>
      </c>
      <c r="F40" s="104">
        <f>'Panorama A.'!G61</f>
        <v>0</v>
      </c>
      <c r="G40" s="104" t="str">
        <f>VLOOKUP('Panorama A.'!H61,TABPAIS,2,FALSE)</f>
        <v>00</v>
      </c>
      <c r="H40" s="456">
        <f>'Panorama A.'!I61</f>
        <v>0</v>
      </c>
      <c r="I40" s="457" t="str">
        <f ca="1">'Panorama A.'!$B$7</f>
        <v>Panorama A.</v>
      </c>
      <c r="J40" s="457" t="str">
        <f t="shared" si="2"/>
        <v>A.2</v>
      </c>
    </row>
    <row r="41" spans="1:11">
      <c r="A41" s="104" t="s">
        <v>2936</v>
      </c>
      <c r="B41" s="104">
        <f t="shared" si="3"/>
        <v>2025</v>
      </c>
      <c r="C41" s="455" t="str">
        <f>'Panorama A.'!E62</f>
        <v>02.02.10.</v>
      </c>
      <c r="D41" s="104">
        <f t="shared" si="4"/>
        <v>0</v>
      </c>
      <c r="E41" s="104">
        <f>'Panorama A.'!F62</f>
        <v>0</v>
      </c>
      <c r="F41" s="104">
        <f>'Panorama A.'!G62</f>
        <v>0</v>
      </c>
      <c r="G41" s="104" t="str">
        <f>VLOOKUP('Panorama A.'!H62,TABPAIS,2,FALSE)</f>
        <v>00</v>
      </c>
      <c r="H41" s="456">
        <f>'Panorama A.'!I62</f>
        <v>0</v>
      </c>
      <c r="I41" s="457" t="str">
        <f ca="1">'Panorama A.'!$B$7</f>
        <v>Panorama A.</v>
      </c>
      <c r="J41" s="457" t="str">
        <f t="shared" si="2"/>
        <v>A.2</v>
      </c>
    </row>
    <row r="42" spans="1:11">
      <c r="A42" s="107" t="s">
        <v>2936</v>
      </c>
      <c r="B42" s="107">
        <f t="shared" si="3"/>
        <v>2025</v>
      </c>
      <c r="C42" s="399" t="str">
        <f>'Panorama A.'!E73</f>
        <v>03.01.01.</v>
      </c>
      <c r="D42" s="107">
        <f t="shared" si="4"/>
        <v>0</v>
      </c>
      <c r="E42" s="107">
        <f>'Panorama A.'!F73</f>
        <v>0</v>
      </c>
      <c r="F42" s="107">
        <f>'Panorama A.'!G73</f>
        <v>0</v>
      </c>
      <c r="G42" s="107" t="str">
        <f>VLOOKUP('Panorama A.'!H73,TABPAIS,2,FALSE)</f>
        <v>PER</v>
      </c>
      <c r="H42" s="108">
        <f>'Panorama A.'!I73</f>
        <v>0</v>
      </c>
      <c r="I42" s="110" t="str">
        <f ca="1">'Panorama A.'!$B$7</f>
        <v>Panorama A.</v>
      </c>
      <c r="J42" s="110" t="s">
        <v>2939</v>
      </c>
      <c r="K42" s="107"/>
    </row>
    <row r="43" spans="1:11">
      <c r="A43" s="107" t="s">
        <v>2936</v>
      </c>
      <c r="B43" s="107">
        <f t="shared" si="3"/>
        <v>2025</v>
      </c>
      <c r="C43" s="399" t="str">
        <f>'Panorama A.'!E74</f>
        <v>03.01.02.</v>
      </c>
      <c r="D43" s="107">
        <f t="shared" si="4"/>
        <v>0</v>
      </c>
      <c r="E43" s="107">
        <f>'Panorama A.'!F74</f>
        <v>0</v>
      </c>
      <c r="F43" s="107">
        <f>'Panorama A.'!G74</f>
        <v>0</v>
      </c>
      <c r="G43" s="107" t="str">
        <f>VLOOKUP('Panorama A.'!H74,TABPAIS,2,FALSE)</f>
        <v>PER</v>
      </c>
      <c r="H43" s="108">
        <f>'Panorama A.'!I74</f>
        <v>0</v>
      </c>
      <c r="I43" s="110" t="str">
        <f ca="1">'Panorama A.'!$B$7</f>
        <v>Panorama A.</v>
      </c>
      <c r="J43" s="110" t="str">
        <f t="shared" si="2"/>
        <v>A.3</v>
      </c>
      <c r="K43" s="107"/>
    </row>
    <row r="44" spans="1:11">
      <c r="A44" s="107" t="s">
        <v>2936</v>
      </c>
      <c r="B44" s="107">
        <f t="shared" si="3"/>
        <v>2025</v>
      </c>
      <c r="C44" s="399" t="str">
        <f>'Panorama A.'!E75</f>
        <v>03.01.03.</v>
      </c>
      <c r="D44" s="107">
        <f t="shared" si="4"/>
        <v>0</v>
      </c>
      <c r="E44" s="107">
        <f>'Panorama A.'!F75</f>
        <v>0</v>
      </c>
      <c r="F44" s="107">
        <f>'Panorama A.'!G75</f>
        <v>0</v>
      </c>
      <c r="G44" s="107" t="str">
        <f>VLOOKUP('Panorama A.'!H75,TABPAIS,2,FALSE)</f>
        <v>PER</v>
      </c>
      <c r="H44" s="108">
        <f>'Panorama A.'!I75</f>
        <v>0</v>
      </c>
      <c r="I44" s="110" t="str">
        <f ca="1">'Panorama A.'!$B$7</f>
        <v>Panorama A.</v>
      </c>
      <c r="J44" s="110" t="str">
        <f t="shared" si="2"/>
        <v>A.3</v>
      </c>
      <c r="K44" s="107"/>
    </row>
    <row r="45" spans="1:11">
      <c r="A45" s="107" t="s">
        <v>2936</v>
      </c>
      <c r="B45" s="107">
        <f t="shared" si="3"/>
        <v>2025</v>
      </c>
      <c r="C45" s="399" t="str">
        <f>'Panorama A.'!E76</f>
        <v>03.01.04.</v>
      </c>
      <c r="D45" s="107">
        <f t="shared" si="4"/>
        <v>0</v>
      </c>
      <c r="E45" s="107">
        <f>'Panorama A.'!F76</f>
        <v>0</v>
      </c>
      <c r="F45" s="107">
        <f>'Panorama A.'!G76</f>
        <v>0</v>
      </c>
      <c r="G45" s="107" t="str">
        <f>VLOOKUP('Panorama A.'!H76,TABPAIS,2,FALSE)</f>
        <v>PER</v>
      </c>
      <c r="H45" s="108">
        <f>'Panorama A.'!I76</f>
        <v>0</v>
      </c>
      <c r="I45" s="110" t="str">
        <f ca="1">'Panorama A.'!$B$7</f>
        <v>Panorama A.</v>
      </c>
      <c r="J45" s="110" t="str">
        <f t="shared" si="2"/>
        <v>A.3</v>
      </c>
      <c r="K45" s="107"/>
    </row>
    <row r="46" spans="1:11">
      <c r="A46" s="107" t="s">
        <v>2936</v>
      </c>
      <c r="B46" s="107">
        <f t="shared" si="3"/>
        <v>2025</v>
      </c>
      <c r="C46" s="399" t="str">
        <f>'Panorama A.'!E77</f>
        <v>03.01.05.</v>
      </c>
      <c r="D46" s="107">
        <f t="shared" si="4"/>
        <v>0</v>
      </c>
      <c r="E46" s="107">
        <f>'Panorama A.'!F77</f>
        <v>0</v>
      </c>
      <c r="F46" s="107">
        <f>'Panorama A.'!G77</f>
        <v>0</v>
      </c>
      <c r="G46" s="107" t="str">
        <f>VLOOKUP('Panorama A.'!H77,TABPAIS,2,FALSE)</f>
        <v>PER</v>
      </c>
      <c r="H46" s="108">
        <f>'Panorama A.'!I77</f>
        <v>0</v>
      </c>
      <c r="I46" s="110" t="str">
        <f ca="1">'Panorama A.'!$B$7</f>
        <v>Panorama A.</v>
      </c>
      <c r="J46" s="110" t="str">
        <f t="shared" si="2"/>
        <v>A.3</v>
      </c>
      <c r="K46" s="107"/>
    </row>
    <row r="47" spans="1:11">
      <c r="A47" s="107" t="s">
        <v>2936</v>
      </c>
      <c r="B47" s="107">
        <f t="shared" si="3"/>
        <v>2025</v>
      </c>
      <c r="C47" s="399" t="str">
        <f>'Panorama A.'!E78</f>
        <v>03.01.06.</v>
      </c>
      <c r="D47" s="107">
        <f t="shared" si="4"/>
        <v>0</v>
      </c>
      <c r="E47" s="107">
        <f>'Panorama A.'!F78</f>
        <v>0</v>
      </c>
      <c r="F47" s="107">
        <f>'Panorama A.'!G78</f>
        <v>0</v>
      </c>
      <c r="G47" s="107" t="str">
        <f>VLOOKUP('Panorama A.'!H78,TABPAIS,2,FALSE)</f>
        <v>PER</v>
      </c>
      <c r="H47" s="108">
        <f>'Panorama A.'!I78</f>
        <v>0</v>
      </c>
      <c r="I47" s="110" t="str">
        <f ca="1">'Panorama A.'!$B$7</f>
        <v>Panorama A.</v>
      </c>
      <c r="J47" s="110" t="str">
        <f t="shared" si="2"/>
        <v>A.3</v>
      </c>
      <c r="K47" s="107"/>
    </row>
    <row r="48" spans="1:11">
      <c r="A48" s="107" t="s">
        <v>2936</v>
      </c>
      <c r="B48" s="107">
        <f t="shared" si="3"/>
        <v>2025</v>
      </c>
      <c r="C48" s="399" t="str">
        <f>'Panorama A.'!E79</f>
        <v>03.01.07.</v>
      </c>
      <c r="D48" s="107">
        <f t="shared" si="4"/>
        <v>0</v>
      </c>
      <c r="E48" s="107">
        <f>'Panorama A.'!F79</f>
        <v>0</v>
      </c>
      <c r="F48" s="107">
        <f>'Panorama A.'!G79</f>
        <v>0</v>
      </c>
      <c r="G48" s="107" t="str">
        <f>VLOOKUP('Panorama A.'!H79,TABPAIS,2,FALSE)</f>
        <v>PER</v>
      </c>
      <c r="H48" s="108">
        <f>'Panorama A.'!I79</f>
        <v>0</v>
      </c>
      <c r="I48" s="110" t="str">
        <f ca="1">'Panorama A.'!$B$7</f>
        <v>Panorama A.</v>
      </c>
      <c r="J48" s="110" t="str">
        <f t="shared" si="2"/>
        <v>A.3</v>
      </c>
      <c r="K48" s="107"/>
    </row>
    <row r="49" spans="1:11">
      <c r="A49" s="107" t="s">
        <v>2936</v>
      </c>
      <c r="B49" s="107">
        <f t="shared" si="3"/>
        <v>2025</v>
      </c>
      <c r="C49" s="399" t="str">
        <f>'Panorama A.'!E80</f>
        <v>03.01.08.</v>
      </c>
      <c r="D49" s="107">
        <f t="shared" si="4"/>
        <v>0</v>
      </c>
      <c r="E49" s="107">
        <f>'Panorama A.'!F80</f>
        <v>0</v>
      </c>
      <c r="F49" s="107">
        <f>'Panorama A.'!G80</f>
        <v>0</v>
      </c>
      <c r="G49" s="107" t="str">
        <f>VLOOKUP('Panorama A.'!H80,TABPAIS,2,FALSE)</f>
        <v>PER</v>
      </c>
      <c r="H49" s="108">
        <f>'Panorama A.'!I80</f>
        <v>0</v>
      </c>
      <c r="I49" s="110" t="str">
        <f ca="1">'Panorama A.'!$B$7</f>
        <v>Panorama A.</v>
      </c>
      <c r="J49" s="110" t="str">
        <f t="shared" si="2"/>
        <v>A.3</v>
      </c>
      <c r="K49" s="107"/>
    </row>
    <row r="50" spans="1:11">
      <c r="A50" s="107" t="s">
        <v>2936</v>
      </c>
      <c r="B50" s="107">
        <f t="shared" si="3"/>
        <v>2025</v>
      </c>
      <c r="C50" s="399" t="str">
        <f>'Panorama A.'!E81</f>
        <v>03.01.09.</v>
      </c>
      <c r="D50" s="107">
        <f t="shared" si="4"/>
        <v>0</v>
      </c>
      <c r="E50" s="107">
        <f>'Panorama A.'!F81</f>
        <v>0</v>
      </c>
      <c r="F50" s="107">
        <f>'Panorama A.'!G81</f>
        <v>0</v>
      </c>
      <c r="G50" s="107" t="str">
        <f>VLOOKUP('Panorama A.'!H81,TABPAIS,2,FALSE)</f>
        <v>PER</v>
      </c>
      <c r="H50" s="108">
        <f>'Panorama A.'!I81</f>
        <v>0</v>
      </c>
      <c r="I50" s="110" t="str">
        <f ca="1">'Panorama A.'!$B$7</f>
        <v>Panorama A.</v>
      </c>
      <c r="J50" s="110" t="str">
        <f t="shared" si="2"/>
        <v>A.3</v>
      </c>
      <c r="K50" s="107"/>
    </row>
    <row r="51" spans="1:11">
      <c r="A51" s="107" t="s">
        <v>2936</v>
      </c>
      <c r="B51" s="107">
        <f t="shared" si="3"/>
        <v>2025</v>
      </c>
      <c r="C51" s="399" t="str">
        <f>'Panorama A.'!E82</f>
        <v>03.01.10.</v>
      </c>
      <c r="D51" s="107">
        <f t="shared" si="4"/>
        <v>0</v>
      </c>
      <c r="E51" s="107">
        <f>'Panorama A.'!F82</f>
        <v>0</v>
      </c>
      <c r="F51" s="107">
        <f>'Panorama A.'!G82</f>
        <v>0</v>
      </c>
      <c r="G51" s="107" t="str">
        <f>VLOOKUP('Panorama A.'!H82,TABPAIS,2,FALSE)</f>
        <v>PER</v>
      </c>
      <c r="H51" s="108">
        <f>'Panorama A.'!I82</f>
        <v>0</v>
      </c>
      <c r="I51" s="110" t="str">
        <f ca="1">'Panorama A.'!$B$7</f>
        <v>Panorama A.</v>
      </c>
      <c r="J51" s="110" t="str">
        <f t="shared" si="2"/>
        <v>A.3</v>
      </c>
      <c r="K51" s="107"/>
    </row>
    <row r="52" spans="1:11">
      <c r="A52" s="107" t="s">
        <v>2936</v>
      </c>
      <c r="B52" s="107">
        <f t="shared" si="3"/>
        <v>2025</v>
      </c>
      <c r="C52" s="399" t="str">
        <f>'Panorama A.'!E84</f>
        <v>03.02.01.</v>
      </c>
      <c r="D52" s="107">
        <f t="shared" si="4"/>
        <v>0</v>
      </c>
      <c r="E52" s="107">
        <f>'Panorama A.'!F84</f>
        <v>0</v>
      </c>
      <c r="F52" s="107">
        <f>'Panorama A.'!G84</f>
        <v>0</v>
      </c>
      <c r="G52" s="107" t="str">
        <f>VLOOKUP('Panorama A.'!H84,TABPAIS,2,FALSE)</f>
        <v>00</v>
      </c>
      <c r="H52" s="108">
        <f>'Panorama A.'!I84</f>
        <v>0</v>
      </c>
      <c r="I52" s="110" t="str">
        <f ca="1">'Panorama A.'!$B$7</f>
        <v>Panorama A.</v>
      </c>
      <c r="J52" s="110" t="str">
        <f t="shared" si="2"/>
        <v>A.3</v>
      </c>
      <c r="K52" s="107"/>
    </row>
    <row r="53" spans="1:11">
      <c r="A53" s="107" t="s">
        <v>2936</v>
      </c>
      <c r="B53" s="107">
        <f t="shared" si="3"/>
        <v>2025</v>
      </c>
      <c r="C53" s="399" t="str">
        <f>'Panorama A.'!E85</f>
        <v>03.02.02.</v>
      </c>
      <c r="D53" s="107">
        <f t="shared" si="4"/>
        <v>0</v>
      </c>
      <c r="E53" s="107">
        <f>'Panorama A.'!F85</f>
        <v>0</v>
      </c>
      <c r="F53" s="107">
        <f>'Panorama A.'!G85</f>
        <v>0</v>
      </c>
      <c r="G53" s="107" t="str">
        <f>VLOOKUP('Panorama A.'!H85,TABPAIS,2,FALSE)</f>
        <v>00</v>
      </c>
      <c r="H53" s="108">
        <f>'Panorama A.'!I85</f>
        <v>0</v>
      </c>
      <c r="I53" s="110" t="str">
        <f ca="1">'Panorama A.'!$B$7</f>
        <v>Panorama A.</v>
      </c>
      <c r="J53" s="110" t="str">
        <f t="shared" si="2"/>
        <v>A.3</v>
      </c>
      <c r="K53" s="107"/>
    </row>
    <row r="54" spans="1:11">
      <c r="A54" s="107" t="s">
        <v>2936</v>
      </c>
      <c r="B54" s="107">
        <f t="shared" si="3"/>
        <v>2025</v>
      </c>
      <c r="C54" s="399" t="str">
        <f>'Panorama A.'!E86</f>
        <v>03.02.03.</v>
      </c>
      <c r="D54" s="107">
        <f t="shared" si="4"/>
        <v>0</v>
      </c>
      <c r="E54" s="107">
        <f>'Panorama A.'!F86</f>
        <v>0</v>
      </c>
      <c r="F54" s="107">
        <f>'Panorama A.'!G86</f>
        <v>0</v>
      </c>
      <c r="G54" s="107" t="str">
        <f>VLOOKUP('Panorama A.'!H86,TABPAIS,2,FALSE)</f>
        <v>00</v>
      </c>
      <c r="H54" s="108">
        <f>'Panorama A.'!I86</f>
        <v>0</v>
      </c>
      <c r="I54" s="110" t="str">
        <f ca="1">'Panorama A.'!$B$7</f>
        <v>Panorama A.</v>
      </c>
      <c r="J54" s="110" t="str">
        <f t="shared" si="2"/>
        <v>A.3</v>
      </c>
      <c r="K54" s="107"/>
    </row>
    <row r="55" spans="1:11">
      <c r="A55" s="107" t="s">
        <v>2936</v>
      </c>
      <c r="B55" s="107">
        <f t="shared" si="3"/>
        <v>2025</v>
      </c>
      <c r="C55" s="399" t="str">
        <f>'Panorama A.'!E87</f>
        <v>03.02.04.</v>
      </c>
      <c r="D55" s="107">
        <f t="shared" si="4"/>
        <v>0</v>
      </c>
      <c r="E55" s="107">
        <f>'Panorama A.'!F87</f>
        <v>0</v>
      </c>
      <c r="F55" s="107">
        <f>'Panorama A.'!G87</f>
        <v>0</v>
      </c>
      <c r="G55" s="107" t="str">
        <f>VLOOKUP('Panorama A.'!H87,TABPAIS,2,FALSE)</f>
        <v>00</v>
      </c>
      <c r="H55" s="108">
        <f>'Panorama A.'!I87</f>
        <v>0</v>
      </c>
      <c r="I55" s="110" t="str">
        <f ca="1">'Panorama A.'!$B$7</f>
        <v>Panorama A.</v>
      </c>
      <c r="J55" s="110" t="str">
        <f t="shared" si="2"/>
        <v>A.3</v>
      </c>
      <c r="K55" s="107"/>
    </row>
    <row r="56" spans="1:11">
      <c r="A56" s="107" t="s">
        <v>2936</v>
      </c>
      <c r="B56" s="107">
        <f t="shared" si="3"/>
        <v>2025</v>
      </c>
      <c r="C56" s="399" t="str">
        <f>'Panorama A.'!E88</f>
        <v>03.02.05.</v>
      </c>
      <c r="D56" s="107">
        <f t="shared" si="4"/>
        <v>0</v>
      </c>
      <c r="E56" s="107">
        <f>'Panorama A.'!F88</f>
        <v>0</v>
      </c>
      <c r="F56" s="107">
        <f>'Panorama A.'!G88</f>
        <v>0</v>
      </c>
      <c r="G56" s="107" t="str">
        <f>VLOOKUP('Panorama A.'!H88,TABPAIS,2,FALSE)</f>
        <v>00</v>
      </c>
      <c r="H56" s="108">
        <f>'Panorama A.'!I88</f>
        <v>0</v>
      </c>
      <c r="I56" s="110" t="str">
        <f ca="1">'Panorama A.'!$B$7</f>
        <v>Panorama A.</v>
      </c>
      <c r="J56" s="110" t="str">
        <f t="shared" si="2"/>
        <v>A.3</v>
      </c>
      <c r="K56" s="107"/>
    </row>
    <row r="57" spans="1:11">
      <c r="A57" s="107" t="s">
        <v>2936</v>
      </c>
      <c r="B57" s="107">
        <f t="shared" si="3"/>
        <v>2025</v>
      </c>
      <c r="C57" s="399" t="str">
        <f>'Panorama A.'!E89</f>
        <v>03.02.06.</v>
      </c>
      <c r="D57" s="107">
        <f t="shared" si="4"/>
        <v>0</v>
      </c>
      <c r="E57" s="107">
        <f>'Panorama A.'!F89</f>
        <v>0</v>
      </c>
      <c r="F57" s="107">
        <f>'Panorama A.'!G89</f>
        <v>0</v>
      </c>
      <c r="G57" s="107" t="str">
        <f>VLOOKUP('Panorama A.'!H89,TABPAIS,2,FALSE)</f>
        <v>00</v>
      </c>
      <c r="H57" s="108">
        <f>'Panorama A.'!I89</f>
        <v>0</v>
      </c>
      <c r="I57" s="110" t="str">
        <f ca="1">'Panorama A.'!$B$7</f>
        <v>Panorama A.</v>
      </c>
      <c r="J57" s="110" t="str">
        <f t="shared" si="2"/>
        <v>A.3</v>
      </c>
      <c r="K57" s="107"/>
    </row>
    <row r="58" spans="1:11">
      <c r="A58" s="107" t="s">
        <v>2936</v>
      </c>
      <c r="B58" s="107">
        <f t="shared" si="3"/>
        <v>2025</v>
      </c>
      <c r="C58" s="399" t="str">
        <f>'Panorama A.'!E90</f>
        <v>03.02.07.</v>
      </c>
      <c r="D58" s="107">
        <f t="shared" si="4"/>
        <v>0</v>
      </c>
      <c r="E58" s="107">
        <f>'Panorama A.'!F90</f>
        <v>0</v>
      </c>
      <c r="F58" s="107">
        <f>'Panorama A.'!G90</f>
        <v>0</v>
      </c>
      <c r="G58" s="107" t="str">
        <f>VLOOKUP('Panorama A.'!H90,TABPAIS,2,FALSE)</f>
        <v>00</v>
      </c>
      <c r="H58" s="108">
        <f>'Panorama A.'!I90</f>
        <v>0</v>
      </c>
      <c r="I58" s="110" t="str">
        <f ca="1">'Panorama A.'!$B$7</f>
        <v>Panorama A.</v>
      </c>
      <c r="J58" s="110" t="str">
        <f t="shared" si="2"/>
        <v>A.3</v>
      </c>
      <c r="K58" s="107"/>
    </row>
    <row r="59" spans="1:11">
      <c r="A59" s="107" t="s">
        <v>2936</v>
      </c>
      <c r="B59" s="107">
        <f t="shared" si="3"/>
        <v>2025</v>
      </c>
      <c r="C59" s="399" t="str">
        <f>'Panorama A.'!E91</f>
        <v>03.02.08.</v>
      </c>
      <c r="D59" s="107">
        <f t="shared" si="4"/>
        <v>0</v>
      </c>
      <c r="E59" s="107">
        <f>'Panorama A.'!F91</f>
        <v>0</v>
      </c>
      <c r="F59" s="107">
        <f>'Panorama A.'!G91</f>
        <v>0</v>
      </c>
      <c r="G59" s="107" t="str">
        <f>VLOOKUP('Panorama A.'!H91,TABPAIS,2,FALSE)</f>
        <v>00</v>
      </c>
      <c r="H59" s="108">
        <f>'Panorama A.'!I91</f>
        <v>0</v>
      </c>
      <c r="I59" s="110" t="str">
        <f ca="1">'Panorama A.'!$B$7</f>
        <v>Panorama A.</v>
      </c>
      <c r="J59" s="110" t="str">
        <f t="shared" si="2"/>
        <v>A.3</v>
      </c>
      <c r="K59" s="107"/>
    </row>
    <row r="60" spans="1:11">
      <c r="A60" s="107" t="s">
        <v>2936</v>
      </c>
      <c r="B60" s="107">
        <f t="shared" si="3"/>
        <v>2025</v>
      </c>
      <c r="C60" s="399" t="str">
        <f>'Panorama A.'!E92</f>
        <v>03.02.09.</v>
      </c>
      <c r="D60" s="107">
        <f t="shared" si="4"/>
        <v>0</v>
      </c>
      <c r="E60" s="107">
        <f>'Panorama A.'!F92</f>
        <v>0</v>
      </c>
      <c r="F60" s="107">
        <f>'Panorama A.'!G92</f>
        <v>0</v>
      </c>
      <c r="G60" s="107" t="str">
        <f>VLOOKUP('Panorama A.'!H92,TABPAIS,2,FALSE)</f>
        <v>00</v>
      </c>
      <c r="H60" s="108">
        <f>'Panorama A.'!I92</f>
        <v>0</v>
      </c>
      <c r="I60" s="110" t="str">
        <f ca="1">'Panorama A.'!$B$7</f>
        <v>Panorama A.</v>
      </c>
      <c r="J60" s="110" t="str">
        <f t="shared" si="2"/>
        <v>A.3</v>
      </c>
      <c r="K60" s="107"/>
    </row>
    <row r="61" spans="1:11">
      <c r="A61" s="107" t="s">
        <v>2936</v>
      </c>
      <c r="B61" s="107">
        <f t="shared" si="3"/>
        <v>2025</v>
      </c>
      <c r="C61" s="399" t="str">
        <f>'Panorama A.'!E93</f>
        <v>03.02.10.</v>
      </c>
      <c r="D61" s="107">
        <f t="shared" si="4"/>
        <v>0</v>
      </c>
      <c r="E61" s="107">
        <f>'Panorama A.'!F93</f>
        <v>0</v>
      </c>
      <c r="F61" s="107">
        <f>'Panorama A.'!G93</f>
        <v>0</v>
      </c>
      <c r="G61" s="107" t="str">
        <f>VLOOKUP('Panorama A.'!H93,TABPAIS,2,FALSE)</f>
        <v>00</v>
      </c>
      <c r="H61" s="108">
        <f>'Panorama A.'!I93</f>
        <v>0</v>
      </c>
      <c r="I61" s="110" t="str">
        <f ca="1">'Panorama A.'!$B$7</f>
        <v>Panorama A.</v>
      </c>
      <c r="J61" s="110" t="str">
        <f t="shared" si="2"/>
        <v>A.3</v>
      </c>
      <c r="K61" s="107"/>
    </row>
  </sheetData>
  <autoFilter ref="A1:K61" xr:uid="{00000000-0001-0000-0600-000000000000}"/>
  <printOptions horizontalCentered="1" gridLines="1"/>
  <pageMargins left="0.35433070866141736" right="0.39370078740157483" top="0.28999999999999998" bottom="0.27" header="0" footer="0"/>
  <pageSetup paperSize="9" scale="72" fitToHeight="6" orientation="landscape" horizontalDpi="4294967294" verticalDpi="4294967294" r:id="rId1"/>
  <headerFooter alignWithMargins="0"/>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44">
    <tabColor theme="9" tint="-0.499984740745262"/>
    <pageSetUpPr fitToPage="1"/>
  </sheetPr>
  <dimension ref="A1:N1760"/>
  <sheetViews>
    <sheetView zoomScale="90" zoomScaleNormal="90" workbookViewId="0">
      <pane ySplit="1" topLeftCell="A2" activePane="bottomLeft" state="frozen"/>
      <selection pane="bottomLeft" activeCell="M4" sqref="M4"/>
    </sheetView>
  </sheetViews>
  <sheetFormatPr baseColWidth="10" defaultColWidth="11.42578125" defaultRowHeight="15.75"/>
  <cols>
    <col min="1" max="1" width="12.7109375" style="3" customWidth="1"/>
    <col min="2" max="2" width="11.42578125" style="3"/>
    <col min="3" max="3" width="11.42578125" style="1"/>
    <col min="4" max="4" width="15.5703125" style="400" customWidth="1"/>
    <col min="5" max="5" width="14.85546875" style="3" customWidth="1"/>
    <col min="6" max="6" width="13.140625" style="106" customWidth="1"/>
    <col min="7" max="7" width="12.85546875" style="3" customWidth="1"/>
    <col min="8" max="8" width="13.7109375" style="3" customWidth="1"/>
    <col min="9" max="9" width="16.140625" style="4" customWidth="1"/>
    <col min="10" max="10" width="22.140625" style="4" customWidth="1"/>
    <col min="11" max="11" width="10.5703125" style="4" customWidth="1"/>
    <col min="12" max="12" width="9.85546875" style="4" customWidth="1"/>
    <col min="13" max="13" width="34.140625" style="1" customWidth="1"/>
    <col min="14" max="16384" width="11.42578125" style="1"/>
  </cols>
  <sheetData>
    <row r="1" spans="1:12" ht="16.5">
      <c r="A1" s="40" t="s">
        <v>2926</v>
      </c>
      <c r="B1" s="40" t="s">
        <v>2927</v>
      </c>
      <c r="C1" s="40" t="s">
        <v>2940</v>
      </c>
      <c r="D1" s="66" t="s">
        <v>2928</v>
      </c>
      <c r="E1" s="40" t="s">
        <v>67</v>
      </c>
      <c r="F1" s="105" t="s">
        <v>2933</v>
      </c>
      <c r="G1" s="40" t="s">
        <v>2941</v>
      </c>
      <c r="H1" s="40" t="s">
        <v>2942</v>
      </c>
      <c r="I1" s="474" t="s">
        <v>2943</v>
      </c>
      <c r="J1" s="43" t="s">
        <v>2934</v>
      </c>
      <c r="K1" s="43" t="s">
        <v>2935</v>
      </c>
      <c r="L1" s="43" t="s">
        <v>2126</v>
      </c>
    </row>
    <row r="2" spans="1:12" s="410" customFormat="1">
      <c r="A2" s="406" t="s">
        <v>2944</v>
      </c>
      <c r="B2" s="406" t="str">
        <f t="shared" ref="B2:B65" ca="1" si="0">IF(G2="01",(IF(TRIM&gt;1,CONCATENATE(ANUAL,"0",TRIM-1),CONCATENATE(ANUAL-1,"04"))),PERIODO)</f>
        <v>202502</v>
      </c>
      <c r="C2" s="406" t="str">
        <f t="shared" ref="C2:C65" ca="1" si="1">IF(G2="01","v2","v1")</f>
        <v>v2</v>
      </c>
      <c r="D2" s="407" t="str">
        <f ca="1">OFFSET('Tabla II.'!$F$13,H2-1,0)</f>
        <v>01.01.</v>
      </c>
      <c r="E2" s="406">
        <f t="shared" ref="E2:E65" si="2">RUC</f>
        <v>0</v>
      </c>
      <c r="F2" s="408">
        <f ca="1">OFFSET('Tabla II.'!$H$13,H2-1,I2-1)</f>
        <v>0</v>
      </c>
      <c r="G2" s="406" t="str">
        <f ca="1">OFFSET('Tabla II.'!$H$1,0,I2-1)</f>
        <v>01</v>
      </c>
      <c r="H2" s="409">
        <v>1</v>
      </c>
      <c r="I2" s="409">
        <v>1</v>
      </c>
      <c r="J2" s="409" t="str">
        <f ca="1">+'Tabla II.'!$C$9</f>
        <v>Tabla II.</v>
      </c>
      <c r="K2" s="409" t="s">
        <v>2266</v>
      </c>
      <c r="L2" s="406">
        <v>1</v>
      </c>
    </row>
    <row r="3" spans="1:12" s="410" customFormat="1">
      <c r="A3" s="406" t="s">
        <v>2944</v>
      </c>
      <c r="B3" s="406" t="str">
        <f t="shared" ca="1" si="0"/>
        <v>202503</v>
      </c>
      <c r="C3" s="406" t="str">
        <f t="shared" ca="1" si="1"/>
        <v>v1</v>
      </c>
      <c r="D3" s="407" t="str">
        <f t="shared" ref="D3:D8" ca="1" si="3">+D2</f>
        <v>01.01.</v>
      </c>
      <c r="E3" s="406">
        <f t="shared" si="2"/>
        <v>0</v>
      </c>
      <c r="F3" s="408">
        <f ca="1">OFFSET('Tabla II.'!$H$13,H3-1,I3-1)</f>
        <v>0</v>
      </c>
      <c r="G3" s="406" t="str">
        <f ca="1">OFFSET('Tabla II.'!$H$1,0,I3-1)</f>
        <v>02</v>
      </c>
      <c r="H3" s="409">
        <f t="shared" ref="H3:H8" si="4">+H2</f>
        <v>1</v>
      </c>
      <c r="I3" s="409">
        <f t="shared" ref="I3:I8" si="5">+I2+1</f>
        <v>2</v>
      </c>
      <c r="J3" s="409" t="str">
        <f ca="1">+'Tabla II.'!$C$9</f>
        <v>Tabla II.</v>
      </c>
      <c r="K3" s="409" t="str">
        <f>+K2</f>
        <v>A</v>
      </c>
      <c r="L3" s="406"/>
    </row>
    <row r="4" spans="1:12" s="410" customFormat="1">
      <c r="A4" s="406" t="s">
        <v>2944</v>
      </c>
      <c r="B4" s="406" t="str">
        <f t="shared" ca="1" si="0"/>
        <v>202503</v>
      </c>
      <c r="C4" s="406" t="str">
        <f t="shared" ca="1" si="1"/>
        <v>v1</v>
      </c>
      <c r="D4" s="407" t="str">
        <f t="shared" ca="1" si="3"/>
        <v>01.01.</v>
      </c>
      <c r="E4" s="406">
        <f t="shared" si="2"/>
        <v>0</v>
      </c>
      <c r="F4" s="408">
        <f ca="1">OFFSET('Tabla II.'!$H$13,H4-1,I4-1)</f>
        <v>0</v>
      </c>
      <c r="G4" s="406" t="str">
        <f ca="1">OFFSET('Tabla II.'!$H$1,0,I4-1)</f>
        <v>03</v>
      </c>
      <c r="H4" s="409">
        <f t="shared" si="4"/>
        <v>1</v>
      </c>
      <c r="I4" s="409">
        <f t="shared" si="5"/>
        <v>3</v>
      </c>
      <c r="J4" s="409" t="str">
        <f ca="1">+'Tabla II.'!$C$9</f>
        <v>Tabla II.</v>
      </c>
      <c r="K4" s="409" t="s">
        <v>2266</v>
      </c>
      <c r="L4" s="406"/>
    </row>
    <row r="5" spans="1:12" s="410" customFormat="1">
      <c r="A5" s="406" t="s">
        <v>2944</v>
      </c>
      <c r="B5" s="406" t="str">
        <f t="shared" ca="1" si="0"/>
        <v>202503</v>
      </c>
      <c r="C5" s="406" t="str">
        <f t="shared" ca="1" si="1"/>
        <v>v1</v>
      </c>
      <c r="D5" s="407" t="str">
        <f t="shared" ca="1" si="3"/>
        <v>01.01.</v>
      </c>
      <c r="E5" s="406">
        <f t="shared" si="2"/>
        <v>0</v>
      </c>
      <c r="F5" s="408">
        <f ca="1">OFFSET('Tabla II.'!$H$13,H5-1,I5-1)</f>
        <v>0</v>
      </c>
      <c r="G5" s="406" t="str">
        <f ca="1">OFFSET('Tabla II.'!$H$1,0,I5-1)</f>
        <v>04</v>
      </c>
      <c r="H5" s="409">
        <f t="shared" si="4"/>
        <v>1</v>
      </c>
      <c r="I5" s="409">
        <f t="shared" si="5"/>
        <v>4</v>
      </c>
      <c r="J5" s="409" t="str">
        <f ca="1">+'Tabla II.'!$C$9</f>
        <v>Tabla II.</v>
      </c>
      <c r="K5" s="409" t="s">
        <v>2266</v>
      </c>
      <c r="L5" s="406"/>
    </row>
    <row r="6" spans="1:12" s="410" customFormat="1">
      <c r="A6" s="406" t="s">
        <v>2944</v>
      </c>
      <c r="B6" s="406" t="str">
        <f t="shared" ca="1" si="0"/>
        <v>202503</v>
      </c>
      <c r="C6" s="406" t="str">
        <f t="shared" ca="1" si="1"/>
        <v>v1</v>
      </c>
      <c r="D6" s="407" t="str">
        <f t="shared" ca="1" si="3"/>
        <v>01.01.</v>
      </c>
      <c r="E6" s="406">
        <f t="shared" si="2"/>
        <v>0</v>
      </c>
      <c r="F6" s="408">
        <f ca="1">OFFSET('Tabla II.'!$H$13,H6-1,I6-1)</f>
        <v>0</v>
      </c>
      <c r="G6" s="406" t="str">
        <f ca="1">OFFSET('Tabla II.'!$H$1,0,I6-1)</f>
        <v>05</v>
      </c>
      <c r="H6" s="409">
        <f t="shared" si="4"/>
        <v>1</v>
      </c>
      <c r="I6" s="409">
        <f t="shared" si="5"/>
        <v>5</v>
      </c>
      <c r="J6" s="409" t="str">
        <f ca="1">+'Tabla II.'!$C$9</f>
        <v>Tabla II.</v>
      </c>
      <c r="K6" s="409" t="s">
        <v>2266</v>
      </c>
      <c r="L6" s="406"/>
    </row>
    <row r="7" spans="1:12" s="410" customFormat="1">
      <c r="A7" s="406" t="s">
        <v>2944</v>
      </c>
      <c r="B7" s="406" t="str">
        <f t="shared" ca="1" si="0"/>
        <v>202503</v>
      </c>
      <c r="C7" s="406" t="str">
        <f t="shared" ca="1" si="1"/>
        <v>v1</v>
      </c>
      <c r="D7" s="407" t="str">
        <f t="shared" ca="1" si="3"/>
        <v>01.01.</v>
      </c>
      <c r="E7" s="406">
        <f t="shared" si="2"/>
        <v>0</v>
      </c>
      <c r="F7" s="408">
        <f ca="1">OFFSET('Tabla II.'!$H$13,H7-1,I7-1)</f>
        <v>0</v>
      </c>
      <c r="G7" s="406" t="str">
        <f ca="1">OFFSET('Tabla II.'!$H$1,0,I7-1)</f>
        <v>06</v>
      </c>
      <c r="H7" s="409">
        <f t="shared" si="4"/>
        <v>1</v>
      </c>
      <c r="I7" s="409">
        <f t="shared" si="5"/>
        <v>6</v>
      </c>
      <c r="J7" s="409" t="str">
        <f ca="1">+'Tabla II.'!$C$9</f>
        <v>Tabla II.</v>
      </c>
      <c r="K7" s="409" t="s">
        <v>2266</v>
      </c>
      <c r="L7" s="406"/>
    </row>
    <row r="8" spans="1:12" s="410" customFormat="1">
      <c r="A8" s="406" t="s">
        <v>2944</v>
      </c>
      <c r="B8" s="406" t="str">
        <f t="shared" ca="1" si="0"/>
        <v>202503</v>
      </c>
      <c r="C8" s="406" t="str">
        <f t="shared" ca="1" si="1"/>
        <v>v1</v>
      </c>
      <c r="D8" s="407" t="str">
        <f t="shared" ca="1" si="3"/>
        <v>01.01.</v>
      </c>
      <c r="E8" s="406">
        <f t="shared" si="2"/>
        <v>0</v>
      </c>
      <c r="F8" s="408">
        <f ca="1">OFFSET('Tabla II.'!$H$13,H8-1,I8-1)</f>
        <v>0</v>
      </c>
      <c r="G8" s="406" t="str">
        <f ca="1">OFFSET('Tabla II.'!$H$1,0,I8-1)</f>
        <v>07</v>
      </c>
      <c r="H8" s="409">
        <f t="shared" si="4"/>
        <v>1</v>
      </c>
      <c r="I8" s="409">
        <f t="shared" si="5"/>
        <v>7</v>
      </c>
      <c r="J8" s="409" t="str">
        <f ca="1">+'Tabla II.'!$C$9</f>
        <v>Tabla II.</v>
      </c>
      <c r="K8" s="409" t="s">
        <v>2266</v>
      </c>
      <c r="L8" s="406"/>
    </row>
    <row r="9" spans="1:12" s="103" customFormat="1">
      <c r="A9" s="401" t="s">
        <v>2944</v>
      </c>
      <c r="B9" s="401" t="str">
        <f t="shared" ca="1" si="0"/>
        <v>202502</v>
      </c>
      <c r="C9" s="401" t="str">
        <f t="shared" ca="1" si="1"/>
        <v>v2</v>
      </c>
      <c r="D9" s="404" t="str">
        <f ca="1">OFFSET('Tabla II.'!$F$13,H9-1,0)</f>
        <v>01.01.00.01.</v>
      </c>
      <c r="E9" s="401">
        <f t="shared" si="2"/>
        <v>0</v>
      </c>
      <c r="F9" s="402">
        <f ca="1">OFFSET('Tabla II.'!$H$13,H9-1,I9-1)</f>
        <v>0</v>
      </c>
      <c r="G9" s="401" t="str">
        <f ca="1">OFFSET('Tabla II.'!$H$1,0,I9-1)</f>
        <v>01</v>
      </c>
      <c r="H9" s="403">
        <f>+H2+1</f>
        <v>2</v>
      </c>
      <c r="I9" s="403">
        <v>1</v>
      </c>
      <c r="J9" s="403" t="str">
        <f ca="1">+'Tabla II.'!$C$9</f>
        <v>Tabla II.</v>
      </c>
      <c r="K9" s="403" t="s">
        <v>2266</v>
      </c>
      <c r="L9" s="401">
        <f>+L2+1</f>
        <v>2</v>
      </c>
    </row>
    <row r="10" spans="1:12" s="103" customFormat="1">
      <c r="A10" s="401" t="s">
        <v>2944</v>
      </c>
      <c r="B10" s="401" t="str">
        <f t="shared" ca="1" si="0"/>
        <v>202503</v>
      </c>
      <c r="C10" s="401" t="str">
        <f t="shared" ca="1" si="1"/>
        <v>v1</v>
      </c>
      <c r="D10" s="404" t="str">
        <f t="shared" ref="D10:D15" ca="1" si="6">+D9</f>
        <v>01.01.00.01.</v>
      </c>
      <c r="E10" s="401">
        <f t="shared" si="2"/>
        <v>0</v>
      </c>
      <c r="F10" s="402">
        <f ca="1">OFFSET('Tabla II.'!$H$13,H10-1,I10-1)</f>
        <v>0</v>
      </c>
      <c r="G10" s="401" t="str">
        <f ca="1">OFFSET('Tabla II.'!$H$1,0,I10-1)</f>
        <v>02</v>
      </c>
      <c r="H10" s="403">
        <f t="shared" ref="H10:H15" si="7">+H9</f>
        <v>2</v>
      </c>
      <c r="I10" s="403">
        <f t="shared" ref="I10:I15" si="8">+I9+1</f>
        <v>2</v>
      </c>
      <c r="J10" s="403" t="str">
        <f ca="1">+'Tabla II.'!$C$9</f>
        <v>Tabla II.</v>
      </c>
      <c r="K10" s="403" t="s">
        <v>2266</v>
      </c>
      <c r="L10" s="401"/>
    </row>
    <row r="11" spans="1:12" s="103" customFormat="1">
      <c r="A11" s="401" t="s">
        <v>2944</v>
      </c>
      <c r="B11" s="401" t="str">
        <f t="shared" ca="1" si="0"/>
        <v>202503</v>
      </c>
      <c r="C11" s="401" t="str">
        <f t="shared" ca="1" si="1"/>
        <v>v1</v>
      </c>
      <c r="D11" s="404" t="str">
        <f t="shared" ca="1" si="6"/>
        <v>01.01.00.01.</v>
      </c>
      <c r="E11" s="401">
        <f t="shared" si="2"/>
        <v>0</v>
      </c>
      <c r="F11" s="402">
        <f ca="1">OFFSET('Tabla II.'!$H$13,H11-1,I11-1)</f>
        <v>0</v>
      </c>
      <c r="G11" s="401" t="str">
        <f ca="1">OFFSET('Tabla II.'!$H$1,0,I11-1)</f>
        <v>03</v>
      </c>
      <c r="H11" s="403">
        <f t="shared" si="7"/>
        <v>2</v>
      </c>
      <c r="I11" s="403">
        <f t="shared" si="8"/>
        <v>3</v>
      </c>
      <c r="J11" s="403" t="str">
        <f ca="1">+'Tabla II.'!$C$9</f>
        <v>Tabla II.</v>
      </c>
      <c r="K11" s="403" t="s">
        <v>2266</v>
      </c>
      <c r="L11" s="401"/>
    </row>
    <row r="12" spans="1:12" s="103" customFormat="1">
      <c r="A12" s="401" t="s">
        <v>2944</v>
      </c>
      <c r="B12" s="401" t="str">
        <f t="shared" ca="1" si="0"/>
        <v>202503</v>
      </c>
      <c r="C12" s="401" t="str">
        <f t="shared" ca="1" si="1"/>
        <v>v1</v>
      </c>
      <c r="D12" s="404" t="str">
        <f t="shared" ca="1" si="6"/>
        <v>01.01.00.01.</v>
      </c>
      <c r="E12" s="401">
        <f t="shared" si="2"/>
        <v>0</v>
      </c>
      <c r="F12" s="402">
        <f ca="1">OFFSET('Tabla II.'!$H$13,H12-1,I12-1)</f>
        <v>0</v>
      </c>
      <c r="G12" s="401" t="str">
        <f ca="1">OFFSET('Tabla II.'!$H$1,0,I12-1)</f>
        <v>04</v>
      </c>
      <c r="H12" s="403">
        <f t="shared" si="7"/>
        <v>2</v>
      </c>
      <c r="I12" s="403">
        <f t="shared" si="8"/>
        <v>4</v>
      </c>
      <c r="J12" s="403" t="str">
        <f ca="1">+'Tabla II.'!$C$9</f>
        <v>Tabla II.</v>
      </c>
      <c r="K12" s="403" t="s">
        <v>2266</v>
      </c>
      <c r="L12" s="401"/>
    </row>
    <row r="13" spans="1:12" s="103" customFormat="1">
      <c r="A13" s="401" t="s">
        <v>2944</v>
      </c>
      <c r="B13" s="401" t="str">
        <f t="shared" ca="1" si="0"/>
        <v>202503</v>
      </c>
      <c r="C13" s="401" t="str">
        <f t="shared" ca="1" si="1"/>
        <v>v1</v>
      </c>
      <c r="D13" s="404" t="str">
        <f t="shared" ca="1" si="6"/>
        <v>01.01.00.01.</v>
      </c>
      <c r="E13" s="401">
        <f t="shared" si="2"/>
        <v>0</v>
      </c>
      <c r="F13" s="402">
        <f ca="1">OFFSET('Tabla II.'!$H$13,H13-1,I13-1)</f>
        <v>0</v>
      </c>
      <c r="G13" s="401" t="str">
        <f ca="1">OFFSET('Tabla II.'!$H$1,0,I13-1)</f>
        <v>05</v>
      </c>
      <c r="H13" s="403">
        <f t="shared" si="7"/>
        <v>2</v>
      </c>
      <c r="I13" s="403">
        <f t="shared" si="8"/>
        <v>5</v>
      </c>
      <c r="J13" s="403" t="str">
        <f ca="1">+'Tabla II.'!$C$9</f>
        <v>Tabla II.</v>
      </c>
      <c r="K13" s="403" t="s">
        <v>2266</v>
      </c>
      <c r="L13" s="401"/>
    </row>
    <row r="14" spans="1:12" s="103" customFormat="1">
      <c r="A14" s="401" t="s">
        <v>2944</v>
      </c>
      <c r="B14" s="401" t="str">
        <f t="shared" ca="1" si="0"/>
        <v>202503</v>
      </c>
      <c r="C14" s="401" t="str">
        <f t="shared" ca="1" si="1"/>
        <v>v1</v>
      </c>
      <c r="D14" s="404" t="str">
        <f t="shared" ca="1" si="6"/>
        <v>01.01.00.01.</v>
      </c>
      <c r="E14" s="401">
        <f t="shared" si="2"/>
        <v>0</v>
      </c>
      <c r="F14" s="402">
        <f ca="1">OFFSET('Tabla II.'!$H$13,H14-1,I14-1)</f>
        <v>0</v>
      </c>
      <c r="G14" s="401" t="str">
        <f ca="1">OFFSET('Tabla II.'!$H$1,0,I14-1)</f>
        <v>06</v>
      </c>
      <c r="H14" s="403">
        <f t="shared" si="7"/>
        <v>2</v>
      </c>
      <c r="I14" s="403">
        <f t="shared" si="8"/>
        <v>6</v>
      </c>
      <c r="J14" s="403" t="str">
        <f ca="1">+'Tabla II.'!$C$9</f>
        <v>Tabla II.</v>
      </c>
      <c r="K14" s="403" t="s">
        <v>2266</v>
      </c>
      <c r="L14" s="401"/>
    </row>
    <row r="15" spans="1:12" s="103" customFormat="1">
      <c r="A15" s="401" t="s">
        <v>2944</v>
      </c>
      <c r="B15" s="401" t="str">
        <f t="shared" ca="1" si="0"/>
        <v>202503</v>
      </c>
      <c r="C15" s="401" t="str">
        <f t="shared" ca="1" si="1"/>
        <v>v1</v>
      </c>
      <c r="D15" s="404" t="str">
        <f t="shared" ca="1" si="6"/>
        <v>01.01.00.01.</v>
      </c>
      <c r="E15" s="401">
        <f t="shared" si="2"/>
        <v>0</v>
      </c>
      <c r="F15" s="402">
        <f ca="1">OFFSET('Tabla II.'!$H$13,H15-1,I15-1)</f>
        <v>0</v>
      </c>
      <c r="G15" s="401" t="str">
        <f ca="1">OFFSET('Tabla II.'!$H$1,0,I15-1)</f>
        <v>07</v>
      </c>
      <c r="H15" s="403">
        <f t="shared" si="7"/>
        <v>2</v>
      </c>
      <c r="I15" s="403">
        <f t="shared" si="8"/>
        <v>7</v>
      </c>
      <c r="J15" s="403" t="str">
        <f ca="1">+'Tabla II.'!$C$9</f>
        <v>Tabla II.</v>
      </c>
      <c r="K15" s="403" t="s">
        <v>2266</v>
      </c>
      <c r="L15" s="401"/>
    </row>
    <row r="16" spans="1:12" s="410" customFormat="1">
      <c r="A16" s="406" t="s">
        <v>2944</v>
      </c>
      <c r="B16" s="406" t="str">
        <f t="shared" ca="1" si="0"/>
        <v>202502</v>
      </c>
      <c r="C16" s="406" t="str">
        <f t="shared" ca="1" si="1"/>
        <v>v2</v>
      </c>
      <c r="D16" s="407" t="str">
        <f ca="1">OFFSET('Tabla II.'!$F$13,H16-1,0)</f>
        <v>01.01.00.02.</v>
      </c>
      <c r="E16" s="406">
        <f t="shared" si="2"/>
        <v>0</v>
      </c>
      <c r="F16" s="408">
        <f ca="1">OFFSET('Tabla II.'!$H$13,H16-1,I16-1)</f>
        <v>0</v>
      </c>
      <c r="G16" s="406" t="str">
        <f ca="1">OFFSET('Tabla II.'!$H$1,0,I16-1)</f>
        <v>01</v>
      </c>
      <c r="H16" s="409">
        <f>+H9+1</f>
        <v>3</v>
      </c>
      <c r="I16" s="409">
        <v>1</v>
      </c>
      <c r="J16" s="409" t="str">
        <f ca="1">+'Tabla II.'!$C$9</f>
        <v>Tabla II.</v>
      </c>
      <c r="K16" s="409" t="s">
        <v>2266</v>
      </c>
      <c r="L16" s="406">
        <f>+L9+1</f>
        <v>3</v>
      </c>
    </row>
    <row r="17" spans="1:12" s="410" customFormat="1">
      <c r="A17" s="406" t="s">
        <v>2944</v>
      </c>
      <c r="B17" s="406" t="str">
        <f t="shared" ca="1" si="0"/>
        <v>202503</v>
      </c>
      <c r="C17" s="406" t="str">
        <f t="shared" ca="1" si="1"/>
        <v>v1</v>
      </c>
      <c r="D17" s="407" t="str">
        <f t="shared" ref="D17:D22" ca="1" si="9">+D16</f>
        <v>01.01.00.02.</v>
      </c>
      <c r="E17" s="406">
        <f t="shared" si="2"/>
        <v>0</v>
      </c>
      <c r="F17" s="408">
        <f ca="1">OFFSET('Tabla II.'!$H$13,H17-1,I17-1)</f>
        <v>0</v>
      </c>
      <c r="G17" s="406" t="str">
        <f ca="1">OFFSET('Tabla II.'!$H$1,0,I17-1)</f>
        <v>02</v>
      </c>
      <c r="H17" s="409">
        <f t="shared" ref="H17:H22" si="10">+H16</f>
        <v>3</v>
      </c>
      <c r="I17" s="409">
        <f t="shared" ref="I17:I22" si="11">+I16+1</f>
        <v>2</v>
      </c>
      <c r="J17" s="409" t="str">
        <f ca="1">+'Tabla II.'!$C$9</f>
        <v>Tabla II.</v>
      </c>
      <c r="K17" s="409" t="s">
        <v>2266</v>
      </c>
      <c r="L17" s="406"/>
    </row>
    <row r="18" spans="1:12" s="410" customFormat="1">
      <c r="A18" s="406" t="s">
        <v>2944</v>
      </c>
      <c r="B18" s="406" t="str">
        <f t="shared" ca="1" si="0"/>
        <v>202503</v>
      </c>
      <c r="C18" s="406" t="str">
        <f t="shared" ca="1" si="1"/>
        <v>v1</v>
      </c>
      <c r="D18" s="407" t="str">
        <f t="shared" ca="1" si="9"/>
        <v>01.01.00.02.</v>
      </c>
      <c r="E18" s="406">
        <f t="shared" si="2"/>
        <v>0</v>
      </c>
      <c r="F18" s="408">
        <f ca="1">OFFSET('Tabla II.'!$H$13,H18-1,I18-1)</f>
        <v>0</v>
      </c>
      <c r="G18" s="406" t="str">
        <f ca="1">OFFSET('Tabla II.'!$H$1,0,I18-1)</f>
        <v>03</v>
      </c>
      <c r="H18" s="409">
        <f t="shared" si="10"/>
        <v>3</v>
      </c>
      <c r="I18" s="409">
        <f t="shared" si="11"/>
        <v>3</v>
      </c>
      <c r="J18" s="409" t="str">
        <f ca="1">+'Tabla II.'!$C$9</f>
        <v>Tabla II.</v>
      </c>
      <c r="K18" s="409" t="s">
        <v>2266</v>
      </c>
      <c r="L18" s="406"/>
    </row>
    <row r="19" spans="1:12" s="410" customFormat="1">
      <c r="A19" s="406" t="s">
        <v>2944</v>
      </c>
      <c r="B19" s="406" t="str">
        <f t="shared" ca="1" si="0"/>
        <v>202503</v>
      </c>
      <c r="C19" s="406" t="str">
        <f t="shared" ca="1" si="1"/>
        <v>v1</v>
      </c>
      <c r="D19" s="407" t="str">
        <f t="shared" ca="1" si="9"/>
        <v>01.01.00.02.</v>
      </c>
      <c r="E19" s="406">
        <f t="shared" si="2"/>
        <v>0</v>
      </c>
      <c r="F19" s="408">
        <f ca="1">OFFSET('Tabla II.'!$H$13,H19-1,I19-1)</f>
        <v>0</v>
      </c>
      <c r="G19" s="406" t="str">
        <f ca="1">OFFSET('Tabla II.'!$H$1,0,I19-1)</f>
        <v>04</v>
      </c>
      <c r="H19" s="409">
        <f t="shared" si="10"/>
        <v>3</v>
      </c>
      <c r="I19" s="409">
        <f t="shared" si="11"/>
        <v>4</v>
      </c>
      <c r="J19" s="409" t="str">
        <f ca="1">+'Tabla II.'!$C$9</f>
        <v>Tabla II.</v>
      </c>
      <c r="K19" s="409" t="s">
        <v>2266</v>
      </c>
      <c r="L19" s="406"/>
    </row>
    <row r="20" spans="1:12" s="410" customFormat="1">
      <c r="A20" s="406" t="s">
        <v>2944</v>
      </c>
      <c r="B20" s="406" t="str">
        <f t="shared" ca="1" si="0"/>
        <v>202503</v>
      </c>
      <c r="C20" s="406" t="str">
        <f t="shared" ca="1" si="1"/>
        <v>v1</v>
      </c>
      <c r="D20" s="407" t="str">
        <f t="shared" ca="1" si="9"/>
        <v>01.01.00.02.</v>
      </c>
      <c r="E20" s="406">
        <f t="shared" si="2"/>
        <v>0</v>
      </c>
      <c r="F20" s="408">
        <f ca="1">OFFSET('Tabla II.'!$H$13,H20-1,I20-1)</f>
        <v>0</v>
      </c>
      <c r="G20" s="406" t="str">
        <f ca="1">OFFSET('Tabla II.'!$H$1,0,I20-1)</f>
        <v>05</v>
      </c>
      <c r="H20" s="409">
        <f t="shared" si="10"/>
        <v>3</v>
      </c>
      <c r="I20" s="409">
        <f t="shared" si="11"/>
        <v>5</v>
      </c>
      <c r="J20" s="409" t="str">
        <f ca="1">+'Tabla II.'!$C$9</f>
        <v>Tabla II.</v>
      </c>
      <c r="K20" s="409" t="s">
        <v>2266</v>
      </c>
      <c r="L20" s="406"/>
    </row>
    <row r="21" spans="1:12" s="410" customFormat="1">
      <c r="A21" s="406" t="s">
        <v>2944</v>
      </c>
      <c r="B21" s="406" t="str">
        <f t="shared" ca="1" si="0"/>
        <v>202503</v>
      </c>
      <c r="C21" s="406" t="str">
        <f t="shared" ca="1" si="1"/>
        <v>v1</v>
      </c>
      <c r="D21" s="407" t="str">
        <f t="shared" ca="1" si="9"/>
        <v>01.01.00.02.</v>
      </c>
      <c r="E21" s="406">
        <f t="shared" si="2"/>
        <v>0</v>
      </c>
      <c r="F21" s="408">
        <f ca="1">OFFSET('Tabla II.'!$H$13,H21-1,I21-1)</f>
        <v>0</v>
      </c>
      <c r="G21" s="406" t="str">
        <f ca="1">OFFSET('Tabla II.'!$H$1,0,I21-1)</f>
        <v>06</v>
      </c>
      <c r="H21" s="409">
        <f t="shared" si="10"/>
        <v>3</v>
      </c>
      <c r="I21" s="409">
        <f t="shared" si="11"/>
        <v>6</v>
      </c>
      <c r="J21" s="409" t="str">
        <f ca="1">+'Tabla II.'!$C$9</f>
        <v>Tabla II.</v>
      </c>
      <c r="K21" s="409" t="s">
        <v>2266</v>
      </c>
      <c r="L21" s="406"/>
    </row>
    <row r="22" spans="1:12" s="410" customFormat="1">
      <c r="A22" s="406" t="s">
        <v>2944</v>
      </c>
      <c r="B22" s="406" t="str">
        <f t="shared" ca="1" si="0"/>
        <v>202503</v>
      </c>
      <c r="C22" s="406" t="str">
        <f t="shared" ca="1" si="1"/>
        <v>v1</v>
      </c>
      <c r="D22" s="407" t="str">
        <f t="shared" ca="1" si="9"/>
        <v>01.01.00.02.</v>
      </c>
      <c r="E22" s="406">
        <f t="shared" si="2"/>
        <v>0</v>
      </c>
      <c r="F22" s="408">
        <f ca="1">OFFSET('Tabla II.'!$H$13,H22-1,I22-1)</f>
        <v>0</v>
      </c>
      <c r="G22" s="406" t="str">
        <f ca="1">OFFSET('Tabla II.'!$H$1,0,I22-1)</f>
        <v>07</v>
      </c>
      <c r="H22" s="409">
        <f t="shared" si="10"/>
        <v>3</v>
      </c>
      <c r="I22" s="409">
        <f t="shared" si="11"/>
        <v>7</v>
      </c>
      <c r="J22" s="409" t="str">
        <f ca="1">+'Tabla II.'!$C$9</f>
        <v>Tabla II.</v>
      </c>
      <c r="K22" s="409" t="s">
        <v>2266</v>
      </c>
      <c r="L22" s="406"/>
    </row>
    <row r="23" spans="1:12" s="103" customFormat="1">
      <c r="A23" s="401" t="s">
        <v>2944</v>
      </c>
      <c r="B23" s="401" t="str">
        <f t="shared" ca="1" si="0"/>
        <v>202502</v>
      </c>
      <c r="C23" s="401" t="str">
        <f t="shared" ca="1" si="1"/>
        <v>v2</v>
      </c>
      <c r="D23" s="404" t="str">
        <f ca="1">OFFSET('Tabla II.'!$F$13,H23-1,0)</f>
        <v>01.02.</v>
      </c>
      <c r="E23" s="401">
        <f t="shared" si="2"/>
        <v>0</v>
      </c>
      <c r="F23" s="402">
        <f ca="1">OFFSET('Tabla II.'!$H$13,H23-1,I23-1)</f>
        <v>0</v>
      </c>
      <c r="G23" s="401" t="str">
        <f ca="1">OFFSET('Tabla II.'!$H$1,0,I23-1)</f>
        <v>01</v>
      </c>
      <c r="H23" s="403">
        <f>+H16+1</f>
        <v>4</v>
      </c>
      <c r="I23" s="403">
        <v>1</v>
      </c>
      <c r="J23" s="403" t="str">
        <f ca="1">+'Tabla II.'!$C$9</f>
        <v>Tabla II.</v>
      </c>
      <c r="K23" s="403" t="s">
        <v>2266</v>
      </c>
      <c r="L23" s="401">
        <f>+L16+1</f>
        <v>4</v>
      </c>
    </row>
    <row r="24" spans="1:12" s="103" customFormat="1">
      <c r="A24" s="401" t="s">
        <v>2944</v>
      </c>
      <c r="B24" s="401" t="str">
        <f t="shared" ca="1" si="0"/>
        <v>202503</v>
      </c>
      <c r="C24" s="401" t="str">
        <f t="shared" ca="1" si="1"/>
        <v>v1</v>
      </c>
      <c r="D24" s="404" t="str">
        <f t="shared" ref="D24:D29" ca="1" si="12">+D23</f>
        <v>01.02.</v>
      </c>
      <c r="E24" s="401">
        <f t="shared" si="2"/>
        <v>0</v>
      </c>
      <c r="F24" s="402">
        <f ca="1">OFFSET('Tabla II.'!$H$13,H24-1,I24-1)</f>
        <v>0</v>
      </c>
      <c r="G24" s="401" t="str">
        <f ca="1">OFFSET('Tabla II.'!$H$1,0,I24-1)</f>
        <v>02</v>
      </c>
      <c r="H24" s="403">
        <f t="shared" ref="H24:H29" si="13">+H23</f>
        <v>4</v>
      </c>
      <c r="I24" s="403">
        <f t="shared" ref="I24:I29" si="14">+I23+1</f>
        <v>2</v>
      </c>
      <c r="J24" s="403" t="str">
        <f ca="1">+'Tabla II.'!$C$9</f>
        <v>Tabla II.</v>
      </c>
      <c r="K24" s="403" t="s">
        <v>2266</v>
      </c>
      <c r="L24" s="401"/>
    </row>
    <row r="25" spans="1:12" s="103" customFormat="1">
      <c r="A25" s="401" t="s">
        <v>2944</v>
      </c>
      <c r="B25" s="401" t="str">
        <f t="shared" ca="1" si="0"/>
        <v>202503</v>
      </c>
      <c r="C25" s="401" t="str">
        <f t="shared" ca="1" si="1"/>
        <v>v1</v>
      </c>
      <c r="D25" s="404" t="str">
        <f t="shared" ca="1" si="12"/>
        <v>01.02.</v>
      </c>
      <c r="E25" s="401">
        <f t="shared" si="2"/>
        <v>0</v>
      </c>
      <c r="F25" s="402">
        <f ca="1">OFFSET('Tabla II.'!$H$13,H25-1,I25-1)</f>
        <v>0</v>
      </c>
      <c r="G25" s="401" t="str">
        <f ca="1">OFFSET('Tabla II.'!$H$1,0,I25-1)</f>
        <v>03</v>
      </c>
      <c r="H25" s="403">
        <f t="shared" si="13"/>
        <v>4</v>
      </c>
      <c r="I25" s="403">
        <f t="shared" si="14"/>
        <v>3</v>
      </c>
      <c r="J25" s="403" t="str">
        <f ca="1">+'Tabla II.'!$C$9</f>
        <v>Tabla II.</v>
      </c>
      <c r="K25" s="403" t="s">
        <v>2266</v>
      </c>
      <c r="L25" s="401"/>
    </row>
    <row r="26" spans="1:12" s="103" customFormat="1">
      <c r="A26" s="401" t="s">
        <v>2944</v>
      </c>
      <c r="B26" s="401" t="str">
        <f t="shared" ca="1" si="0"/>
        <v>202503</v>
      </c>
      <c r="C26" s="401" t="str">
        <f t="shared" ca="1" si="1"/>
        <v>v1</v>
      </c>
      <c r="D26" s="404" t="str">
        <f t="shared" ca="1" si="12"/>
        <v>01.02.</v>
      </c>
      <c r="E26" s="401">
        <f t="shared" si="2"/>
        <v>0</v>
      </c>
      <c r="F26" s="402">
        <f ca="1">OFFSET('Tabla II.'!$H$13,H26-1,I26-1)</f>
        <v>0</v>
      </c>
      <c r="G26" s="401" t="str">
        <f ca="1">OFFSET('Tabla II.'!$H$1,0,I26-1)</f>
        <v>04</v>
      </c>
      <c r="H26" s="403">
        <f t="shared" si="13"/>
        <v>4</v>
      </c>
      <c r="I26" s="403">
        <f t="shared" si="14"/>
        <v>4</v>
      </c>
      <c r="J26" s="403" t="str">
        <f ca="1">+'Tabla II.'!$C$9</f>
        <v>Tabla II.</v>
      </c>
      <c r="K26" s="403" t="s">
        <v>2266</v>
      </c>
      <c r="L26" s="401"/>
    </row>
    <row r="27" spans="1:12" s="103" customFormat="1">
      <c r="A27" s="401" t="s">
        <v>2944</v>
      </c>
      <c r="B27" s="401" t="str">
        <f t="shared" ca="1" si="0"/>
        <v>202503</v>
      </c>
      <c r="C27" s="401" t="str">
        <f t="shared" ca="1" si="1"/>
        <v>v1</v>
      </c>
      <c r="D27" s="404" t="str">
        <f t="shared" ca="1" si="12"/>
        <v>01.02.</v>
      </c>
      <c r="E27" s="401">
        <f t="shared" si="2"/>
        <v>0</v>
      </c>
      <c r="F27" s="402">
        <f ca="1">OFFSET('Tabla II.'!$H$13,H27-1,I27-1)</f>
        <v>0</v>
      </c>
      <c r="G27" s="401" t="str">
        <f ca="1">OFFSET('Tabla II.'!$H$1,0,I27-1)</f>
        <v>05</v>
      </c>
      <c r="H27" s="403">
        <f t="shared" si="13"/>
        <v>4</v>
      </c>
      <c r="I27" s="403">
        <f t="shared" si="14"/>
        <v>5</v>
      </c>
      <c r="J27" s="403" t="str">
        <f ca="1">+'Tabla II.'!$C$9</f>
        <v>Tabla II.</v>
      </c>
      <c r="K27" s="403" t="s">
        <v>2266</v>
      </c>
      <c r="L27" s="401"/>
    </row>
    <row r="28" spans="1:12" s="103" customFormat="1">
      <c r="A28" s="401" t="s">
        <v>2944</v>
      </c>
      <c r="B28" s="401" t="str">
        <f t="shared" ca="1" si="0"/>
        <v>202503</v>
      </c>
      <c r="C28" s="401" t="str">
        <f t="shared" ca="1" si="1"/>
        <v>v1</v>
      </c>
      <c r="D28" s="404" t="str">
        <f t="shared" ca="1" si="12"/>
        <v>01.02.</v>
      </c>
      <c r="E28" s="401">
        <f t="shared" si="2"/>
        <v>0</v>
      </c>
      <c r="F28" s="402">
        <f ca="1">OFFSET('Tabla II.'!$H$13,H28-1,I28-1)</f>
        <v>0</v>
      </c>
      <c r="G28" s="401" t="str">
        <f ca="1">OFFSET('Tabla II.'!$H$1,0,I28-1)</f>
        <v>06</v>
      </c>
      <c r="H28" s="403">
        <f t="shared" si="13"/>
        <v>4</v>
      </c>
      <c r="I28" s="403">
        <f t="shared" si="14"/>
        <v>6</v>
      </c>
      <c r="J28" s="403" t="str">
        <f ca="1">+'Tabla II.'!$C$9</f>
        <v>Tabla II.</v>
      </c>
      <c r="K28" s="403" t="s">
        <v>2266</v>
      </c>
      <c r="L28" s="401"/>
    </row>
    <row r="29" spans="1:12" s="103" customFormat="1">
      <c r="A29" s="401" t="s">
        <v>2944</v>
      </c>
      <c r="B29" s="401" t="str">
        <f t="shared" ca="1" si="0"/>
        <v>202503</v>
      </c>
      <c r="C29" s="401" t="str">
        <f t="shared" ca="1" si="1"/>
        <v>v1</v>
      </c>
      <c r="D29" s="404" t="str">
        <f t="shared" ca="1" si="12"/>
        <v>01.02.</v>
      </c>
      <c r="E29" s="401">
        <f t="shared" si="2"/>
        <v>0</v>
      </c>
      <c r="F29" s="402">
        <f ca="1">OFFSET('Tabla II.'!$H$13,H29-1,I29-1)</f>
        <v>0</v>
      </c>
      <c r="G29" s="401" t="str">
        <f ca="1">OFFSET('Tabla II.'!$H$1,0,I29-1)</f>
        <v>07</v>
      </c>
      <c r="H29" s="403">
        <f t="shared" si="13"/>
        <v>4</v>
      </c>
      <c r="I29" s="403">
        <f t="shared" si="14"/>
        <v>7</v>
      </c>
      <c r="J29" s="403" t="str">
        <f ca="1">+'Tabla II.'!$C$9</f>
        <v>Tabla II.</v>
      </c>
      <c r="K29" s="403" t="s">
        <v>2266</v>
      </c>
      <c r="L29" s="401"/>
    </row>
    <row r="30" spans="1:12" s="410" customFormat="1">
      <c r="A30" s="406" t="s">
        <v>2944</v>
      </c>
      <c r="B30" s="406" t="str">
        <f t="shared" ca="1" si="0"/>
        <v>202502</v>
      </c>
      <c r="C30" s="406" t="str">
        <f t="shared" ca="1" si="1"/>
        <v>v2</v>
      </c>
      <c r="D30" s="407" t="str">
        <f ca="1">OFFSET('Tabla II.'!$F$13,H30-1,0)</f>
        <v>01.02.00.01.</v>
      </c>
      <c r="E30" s="406">
        <f t="shared" si="2"/>
        <v>0</v>
      </c>
      <c r="F30" s="408">
        <f ca="1">OFFSET('Tabla II.'!$H$13,H30-1,I30-1)</f>
        <v>0</v>
      </c>
      <c r="G30" s="406" t="str">
        <f ca="1">OFFSET('Tabla II.'!$H$1,0,I30-1)</f>
        <v>01</v>
      </c>
      <c r="H30" s="409">
        <f>+H23+1</f>
        <v>5</v>
      </c>
      <c r="I30" s="409">
        <v>1</v>
      </c>
      <c r="J30" s="409" t="str">
        <f ca="1">+'Tabla II.'!$C$9</f>
        <v>Tabla II.</v>
      </c>
      <c r="K30" s="409" t="s">
        <v>2266</v>
      </c>
      <c r="L30" s="406">
        <f>+L23+1</f>
        <v>5</v>
      </c>
    </row>
    <row r="31" spans="1:12" s="410" customFormat="1">
      <c r="A31" s="406" t="s">
        <v>2944</v>
      </c>
      <c r="B31" s="406" t="str">
        <f t="shared" ca="1" si="0"/>
        <v>202503</v>
      </c>
      <c r="C31" s="406" t="str">
        <f t="shared" ca="1" si="1"/>
        <v>v1</v>
      </c>
      <c r="D31" s="407" t="str">
        <f t="shared" ref="D31:D36" ca="1" si="15">+D30</f>
        <v>01.02.00.01.</v>
      </c>
      <c r="E31" s="406">
        <f t="shared" si="2"/>
        <v>0</v>
      </c>
      <c r="F31" s="408">
        <f ca="1">OFFSET('Tabla II.'!$H$13,H31-1,I31-1)</f>
        <v>0</v>
      </c>
      <c r="G31" s="406" t="str">
        <f ca="1">OFFSET('Tabla II.'!$H$1,0,I31-1)</f>
        <v>02</v>
      </c>
      <c r="H31" s="409">
        <f t="shared" ref="H31:H36" si="16">+H30</f>
        <v>5</v>
      </c>
      <c r="I31" s="409">
        <f t="shared" ref="I31:I36" si="17">+I30+1</f>
        <v>2</v>
      </c>
      <c r="J31" s="409" t="str">
        <f ca="1">+'Tabla II.'!$C$9</f>
        <v>Tabla II.</v>
      </c>
      <c r="K31" s="409" t="s">
        <v>2266</v>
      </c>
      <c r="L31" s="406"/>
    </row>
    <row r="32" spans="1:12" s="410" customFormat="1">
      <c r="A32" s="406" t="s">
        <v>2944</v>
      </c>
      <c r="B32" s="406" t="str">
        <f t="shared" ca="1" si="0"/>
        <v>202503</v>
      </c>
      <c r="C32" s="406" t="str">
        <f t="shared" ca="1" si="1"/>
        <v>v1</v>
      </c>
      <c r="D32" s="407" t="str">
        <f t="shared" ca="1" si="15"/>
        <v>01.02.00.01.</v>
      </c>
      <c r="E32" s="406">
        <f t="shared" si="2"/>
        <v>0</v>
      </c>
      <c r="F32" s="408">
        <f ca="1">OFFSET('Tabla II.'!$H$13,H32-1,I32-1)</f>
        <v>0</v>
      </c>
      <c r="G32" s="406" t="str">
        <f ca="1">OFFSET('Tabla II.'!$H$1,0,I32-1)</f>
        <v>03</v>
      </c>
      <c r="H32" s="409">
        <f t="shared" si="16"/>
        <v>5</v>
      </c>
      <c r="I32" s="409">
        <f t="shared" si="17"/>
        <v>3</v>
      </c>
      <c r="J32" s="409" t="str">
        <f ca="1">+'Tabla II.'!$C$9</f>
        <v>Tabla II.</v>
      </c>
      <c r="K32" s="409" t="s">
        <v>2266</v>
      </c>
      <c r="L32" s="406"/>
    </row>
    <row r="33" spans="1:12" s="410" customFormat="1">
      <c r="A33" s="406" t="s">
        <v>2944</v>
      </c>
      <c r="B33" s="406" t="str">
        <f t="shared" ca="1" si="0"/>
        <v>202503</v>
      </c>
      <c r="C33" s="406" t="str">
        <f t="shared" ca="1" si="1"/>
        <v>v1</v>
      </c>
      <c r="D33" s="407" t="str">
        <f t="shared" ca="1" si="15"/>
        <v>01.02.00.01.</v>
      </c>
      <c r="E33" s="406">
        <f t="shared" si="2"/>
        <v>0</v>
      </c>
      <c r="F33" s="408">
        <f ca="1">OFFSET('Tabla II.'!$H$13,H33-1,I33-1)</f>
        <v>0</v>
      </c>
      <c r="G33" s="406" t="str">
        <f ca="1">OFFSET('Tabla II.'!$H$1,0,I33-1)</f>
        <v>04</v>
      </c>
      <c r="H33" s="409">
        <f t="shared" si="16"/>
        <v>5</v>
      </c>
      <c r="I33" s="409">
        <f t="shared" si="17"/>
        <v>4</v>
      </c>
      <c r="J33" s="409" t="str">
        <f ca="1">+'Tabla II.'!$C$9</f>
        <v>Tabla II.</v>
      </c>
      <c r="K33" s="409" t="s">
        <v>2266</v>
      </c>
      <c r="L33" s="406"/>
    </row>
    <row r="34" spans="1:12" s="410" customFormat="1">
      <c r="A34" s="406" t="s">
        <v>2944</v>
      </c>
      <c r="B34" s="406" t="str">
        <f t="shared" ca="1" si="0"/>
        <v>202503</v>
      </c>
      <c r="C34" s="406" t="str">
        <f t="shared" ca="1" si="1"/>
        <v>v1</v>
      </c>
      <c r="D34" s="407" t="str">
        <f t="shared" ca="1" si="15"/>
        <v>01.02.00.01.</v>
      </c>
      <c r="E34" s="406">
        <f t="shared" si="2"/>
        <v>0</v>
      </c>
      <c r="F34" s="408">
        <f ca="1">OFFSET('Tabla II.'!$H$13,H34-1,I34-1)</f>
        <v>0</v>
      </c>
      <c r="G34" s="406" t="str">
        <f ca="1">OFFSET('Tabla II.'!$H$1,0,I34-1)</f>
        <v>05</v>
      </c>
      <c r="H34" s="409">
        <f t="shared" si="16"/>
        <v>5</v>
      </c>
      <c r="I34" s="409">
        <f t="shared" si="17"/>
        <v>5</v>
      </c>
      <c r="J34" s="409" t="str">
        <f ca="1">+'Tabla II.'!$C$9</f>
        <v>Tabla II.</v>
      </c>
      <c r="K34" s="409" t="s">
        <v>2266</v>
      </c>
      <c r="L34" s="406"/>
    </row>
    <row r="35" spans="1:12" s="410" customFormat="1">
      <c r="A35" s="406" t="s">
        <v>2944</v>
      </c>
      <c r="B35" s="406" t="str">
        <f t="shared" ca="1" si="0"/>
        <v>202503</v>
      </c>
      <c r="C35" s="406" t="str">
        <f t="shared" ca="1" si="1"/>
        <v>v1</v>
      </c>
      <c r="D35" s="407" t="str">
        <f t="shared" ca="1" si="15"/>
        <v>01.02.00.01.</v>
      </c>
      <c r="E35" s="406">
        <f t="shared" si="2"/>
        <v>0</v>
      </c>
      <c r="F35" s="408">
        <f ca="1">OFFSET('Tabla II.'!$H$13,H35-1,I35-1)</f>
        <v>0</v>
      </c>
      <c r="G35" s="406" t="str">
        <f ca="1">OFFSET('Tabla II.'!$H$1,0,I35-1)</f>
        <v>06</v>
      </c>
      <c r="H35" s="409">
        <f t="shared" si="16"/>
        <v>5</v>
      </c>
      <c r="I35" s="409">
        <f t="shared" si="17"/>
        <v>6</v>
      </c>
      <c r="J35" s="409" t="str">
        <f ca="1">+'Tabla II.'!$C$9</f>
        <v>Tabla II.</v>
      </c>
      <c r="K35" s="409" t="s">
        <v>2266</v>
      </c>
      <c r="L35" s="406"/>
    </row>
    <row r="36" spans="1:12" s="410" customFormat="1">
      <c r="A36" s="406" t="s">
        <v>2944</v>
      </c>
      <c r="B36" s="406" t="str">
        <f t="shared" ca="1" si="0"/>
        <v>202503</v>
      </c>
      <c r="C36" s="406" t="str">
        <f t="shared" ca="1" si="1"/>
        <v>v1</v>
      </c>
      <c r="D36" s="407" t="str">
        <f t="shared" ca="1" si="15"/>
        <v>01.02.00.01.</v>
      </c>
      <c r="E36" s="406">
        <f t="shared" si="2"/>
        <v>0</v>
      </c>
      <c r="F36" s="408">
        <f ca="1">OFFSET('Tabla II.'!$H$13,H36-1,I36-1)</f>
        <v>0</v>
      </c>
      <c r="G36" s="406" t="str">
        <f ca="1">OFFSET('Tabla II.'!$H$1,0,I36-1)</f>
        <v>07</v>
      </c>
      <c r="H36" s="409">
        <f t="shared" si="16"/>
        <v>5</v>
      </c>
      <c r="I36" s="409">
        <f t="shared" si="17"/>
        <v>7</v>
      </c>
      <c r="J36" s="409" t="str">
        <f ca="1">+'Tabla II.'!$C$9</f>
        <v>Tabla II.</v>
      </c>
      <c r="K36" s="409" t="s">
        <v>2266</v>
      </c>
      <c r="L36" s="406"/>
    </row>
    <row r="37" spans="1:12" s="103" customFormat="1">
      <c r="A37" s="401" t="s">
        <v>2944</v>
      </c>
      <c r="B37" s="401" t="str">
        <f t="shared" ca="1" si="0"/>
        <v>202502</v>
      </c>
      <c r="C37" s="401" t="str">
        <f t="shared" ca="1" si="1"/>
        <v>v2</v>
      </c>
      <c r="D37" s="404" t="str">
        <f ca="1">OFFSET('Tabla II.'!$F$13,H37-1,0)</f>
        <v>01.02.00.02.</v>
      </c>
      <c r="E37" s="401">
        <f t="shared" si="2"/>
        <v>0</v>
      </c>
      <c r="F37" s="402">
        <f ca="1">OFFSET('Tabla II.'!$H$13,H37-1,I37-1)</f>
        <v>0</v>
      </c>
      <c r="G37" s="401" t="str">
        <f ca="1">OFFSET('Tabla II.'!$H$1,0,I37-1)</f>
        <v>01</v>
      </c>
      <c r="H37" s="403">
        <f>+H30+1</f>
        <v>6</v>
      </c>
      <c r="I37" s="403">
        <v>1</v>
      </c>
      <c r="J37" s="403" t="str">
        <f ca="1">+'Tabla II.'!$C$9</f>
        <v>Tabla II.</v>
      </c>
      <c r="K37" s="403" t="s">
        <v>2266</v>
      </c>
      <c r="L37" s="401">
        <f>+L30+1</f>
        <v>6</v>
      </c>
    </row>
    <row r="38" spans="1:12" s="103" customFormat="1">
      <c r="A38" s="401" t="s">
        <v>2944</v>
      </c>
      <c r="B38" s="401" t="str">
        <f t="shared" ca="1" si="0"/>
        <v>202503</v>
      </c>
      <c r="C38" s="401" t="str">
        <f t="shared" ca="1" si="1"/>
        <v>v1</v>
      </c>
      <c r="D38" s="404" t="str">
        <f t="shared" ref="D38:D43" ca="1" si="18">+D37</f>
        <v>01.02.00.02.</v>
      </c>
      <c r="E38" s="401">
        <f t="shared" si="2"/>
        <v>0</v>
      </c>
      <c r="F38" s="402">
        <f ca="1">OFFSET('Tabla II.'!$H$13,H38-1,I38-1)</f>
        <v>0</v>
      </c>
      <c r="G38" s="401" t="str">
        <f ca="1">OFFSET('Tabla II.'!$H$1,0,I38-1)</f>
        <v>02</v>
      </c>
      <c r="H38" s="403">
        <f t="shared" ref="H38:H43" si="19">+H37</f>
        <v>6</v>
      </c>
      <c r="I38" s="403">
        <f t="shared" ref="I38:I43" si="20">+I37+1</f>
        <v>2</v>
      </c>
      <c r="J38" s="403" t="str">
        <f ca="1">+'Tabla II.'!$C$9</f>
        <v>Tabla II.</v>
      </c>
      <c r="K38" s="403" t="s">
        <v>2266</v>
      </c>
      <c r="L38" s="401"/>
    </row>
    <row r="39" spans="1:12" s="103" customFormat="1">
      <c r="A39" s="401" t="s">
        <v>2944</v>
      </c>
      <c r="B39" s="401" t="str">
        <f t="shared" ca="1" si="0"/>
        <v>202503</v>
      </c>
      <c r="C39" s="401" t="str">
        <f t="shared" ca="1" si="1"/>
        <v>v1</v>
      </c>
      <c r="D39" s="404" t="str">
        <f t="shared" ca="1" si="18"/>
        <v>01.02.00.02.</v>
      </c>
      <c r="E39" s="401">
        <f t="shared" si="2"/>
        <v>0</v>
      </c>
      <c r="F39" s="402">
        <f ca="1">OFFSET('Tabla II.'!$H$13,H39-1,I39-1)</f>
        <v>0</v>
      </c>
      <c r="G39" s="401" t="str">
        <f ca="1">OFFSET('Tabla II.'!$H$1,0,I39-1)</f>
        <v>03</v>
      </c>
      <c r="H39" s="403">
        <f t="shared" si="19"/>
        <v>6</v>
      </c>
      <c r="I39" s="403">
        <f t="shared" si="20"/>
        <v>3</v>
      </c>
      <c r="J39" s="403" t="str">
        <f ca="1">+'Tabla II.'!$C$9</f>
        <v>Tabla II.</v>
      </c>
      <c r="K39" s="403" t="s">
        <v>2266</v>
      </c>
      <c r="L39" s="401"/>
    </row>
    <row r="40" spans="1:12" s="103" customFormat="1">
      <c r="A40" s="401" t="s">
        <v>2944</v>
      </c>
      <c r="B40" s="401" t="str">
        <f t="shared" ca="1" si="0"/>
        <v>202503</v>
      </c>
      <c r="C40" s="401" t="str">
        <f t="shared" ca="1" si="1"/>
        <v>v1</v>
      </c>
      <c r="D40" s="404" t="str">
        <f t="shared" ca="1" si="18"/>
        <v>01.02.00.02.</v>
      </c>
      <c r="E40" s="401">
        <f t="shared" si="2"/>
        <v>0</v>
      </c>
      <c r="F40" s="402">
        <f ca="1">OFFSET('Tabla II.'!$H$13,H40-1,I40-1)</f>
        <v>0</v>
      </c>
      <c r="G40" s="401" t="str">
        <f ca="1">OFFSET('Tabla II.'!$H$1,0,I40-1)</f>
        <v>04</v>
      </c>
      <c r="H40" s="403">
        <f t="shared" si="19"/>
        <v>6</v>
      </c>
      <c r="I40" s="403">
        <f t="shared" si="20"/>
        <v>4</v>
      </c>
      <c r="J40" s="403" t="str">
        <f ca="1">+'Tabla II.'!$C$9</f>
        <v>Tabla II.</v>
      </c>
      <c r="K40" s="403" t="s">
        <v>2266</v>
      </c>
      <c r="L40" s="401"/>
    </row>
    <row r="41" spans="1:12" s="103" customFormat="1">
      <c r="A41" s="401" t="s">
        <v>2944</v>
      </c>
      <c r="B41" s="401" t="str">
        <f t="shared" ca="1" si="0"/>
        <v>202503</v>
      </c>
      <c r="C41" s="401" t="str">
        <f t="shared" ca="1" si="1"/>
        <v>v1</v>
      </c>
      <c r="D41" s="404" t="str">
        <f t="shared" ca="1" si="18"/>
        <v>01.02.00.02.</v>
      </c>
      <c r="E41" s="401">
        <f t="shared" si="2"/>
        <v>0</v>
      </c>
      <c r="F41" s="402">
        <f ca="1">OFFSET('Tabla II.'!$H$13,H41-1,I41-1)</f>
        <v>0</v>
      </c>
      <c r="G41" s="401" t="str">
        <f ca="1">OFFSET('Tabla II.'!$H$1,0,I41-1)</f>
        <v>05</v>
      </c>
      <c r="H41" s="403">
        <f t="shared" si="19"/>
        <v>6</v>
      </c>
      <c r="I41" s="403">
        <f t="shared" si="20"/>
        <v>5</v>
      </c>
      <c r="J41" s="403" t="str">
        <f ca="1">+'Tabla II.'!$C$9</f>
        <v>Tabla II.</v>
      </c>
      <c r="K41" s="403" t="s">
        <v>2266</v>
      </c>
      <c r="L41" s="401"/>
    </row>
    <row r="42" spans="1:12" s="103" customFormat="1">
      <c r="A42" s="401" t="s">
        <v>2944</v>
      </c>
      <c r="B42" s="401" t="str">
        <f t="shared" ca="1" si="0"/>
        <v>202503</v>
      </c>
      <c r="C42" s="401" t="str">
        <f t="shared" ca="1" si="1"/>
        <v>v1</v>
      </c>
      <c r="D42" s="404" t="str">
        <f t="shared" ca="1" si="18"/>
        <v>01.02.00.02.</v>
      </c>
      <c r="E42" s="401">
        <f t="shared" si="2"/>
        <v>0</v>
      </c>
      <c r="F42" s="402">
        <f ca="1">OFFSET('Tabla II.'!$H$13,H42-1,I42-1)</f>
        <v>0</v>
      </c>
      <c r="G42" s="401" t="str">
        <f ca="1">OFFSET('Tabla II.'!$H$1,0,I42-1)</f>
        <v>06</v>
      </c>
      <c r="H42" s="403">
        <f t="shared" si="19"/>
        <v>6</v>
      </c>
      <c r="I42" s="403">
        <f t="shared" si="20"/>
        <v>6</v>
      </c>
      <c r="J42" s="403" t="str">
        <f ca="1">+'Tabla II.'!$C$9</f>
        <v>Tabla II.</v>
      </c>
      <c r="K42" s="403" t="s">
        <v>2266</v>
      </c>
      <c r="L42" s="401"/>
    </row>
    <row r="43" spans="1:12" s="103" customFormat="1">
      <c r="A43" s="401" t="s">
        <v>2944</v>
      </c>
      <c r="B43" s="401" t="str">
        <f t="shared" ca="1" si="0"/>
        <v>202503</v>
      </c>
      <c r="C43" s="401" t="str">
        <f t="shared" ca="1" si="1"/>
        <v>v1</v>
      </c>
      <c r="D43" s="404" t="str">
        <f t="shared" ca="1" si="18"/>
        <v>01.02.00.02.</v>
      </c>
      <c r="E43" s="401">
        <f t="shared" si="2"/>
        <v>0</v>
      </c>
      <c r="F43" s="402">
        <f ca="1">OFFSET('Tabla II.'!$H$13,H43-1,I43-1)</f>
        <v>0</v>
      </c>
      <c r="G43" s="401" t="str">
        <f ca="1">OFFSET('Tabla II.'!$H$1,0,I43-1)</f>
        <v>07</v>
      </c>
      <c r="H43" s="403">
        <f t="shared" si="19"/>
        <v>6</v>
      </c>
      <c r="I43" s="403">
        <f t="shared" si="20"/>
        <v>7</v>
      </c>
      <c r="J43" s="403" t="str">
        <f ca="1">+'Tabla II.'!$C$9</f>
        <v>Tabla II.</v>
      </c>
      <c r="K43" s="403" t="s">
        <v>2266</v>
      </c>
      <c r="L43" s="401"/>
    </row>
    <row r="44" spans="1:12" s="410" customFormat="1">
      <c r="A44" s="406" t="s">
        <v>2944</v>
      </c>
      <c r="B44" s="406" t="str">
        <f t="shared" ca="1" si="0"/>
        <v>202502</v>
      </c>
      <c r="C44" s="406" t="str">
        <f t="shared" ca="1" si="1"/>
        <v>v2</v>
      </c>
      <c r="D44" s="407" t="str">
        <f ca="1">OFFSET('Tabla II.'!$F$13,H44-1,0)</f>
        <v>01.03.</v>
      </c>
      <c r="E44" s="406">
        <f t="shared" si="2"/>
        <v>0</v>
      </c>
      <c r="F44" s="408">
        <f ca="1">OFFSET('Tabla II.'!$H$13,H44-1,I44-1)</f>
        <v>0</v>
      </c>
      <c r="G44" s="406" t="str">
        <f ca="1">OFFSET('Tabla II.'!$H$1,0,I44-1)</f>
        <v>01</v>
      </c>
      <c r="H44" s="409">
        <f>+H37+1</f>
        <v>7</v>
      </c>
      <c r="I44" s="409">
        <v>1</v>
      </c>
      <c r="J44" s="409" t="str">
        <f ca="1">+'Tabla II.'!$C$9</f>
        <v>Tabla II.</v>
      </c>
      <c r="K44" s="409" t="s">
        <v>2266</v>
      </c>
      <c r="L44" s="406">
        <f>+L37+1</f>
        <v>7</v>
      </c>
    </row>
    <row r="45" spans="1:12" s="410" customFormat="1">
      <c r="A45" s="406" t="s">
        <v>2944</v>
      </c>
      <c r="B45" s="406" t="str">
        <f t="shared" ca="1" si="0"/>
        <v>202503</v>
      </c>
      <c r="C45" s="406" t="str">
        <f t="shared" ca="1" si="1"/>
        <v>v1</v>
      </c>
      <c r="D45" s="407" t="str">
        <f t="shared" ref="D45:D50" ca="1" si="21">+D44</f>
        <v>01.03.</v>
      </c>
      <c r="E45" s="406">
        <f t="shared" si="2"/>
        <v>0</v>
      </c>
      <c r="F45" s="408">
        <f ca="1">OFFSET('Tabla II.'!$H$13,H45-1,I45-1)</f>
        <v>0</v>
      </c>
      <c r="G45" s="406" t="str">
        <f ca="1">OFFSET('Tabla II.'!$H$1,0,I45-1)</f>
        <v>02</v>
      </c>
      <c r="H45" s="409">
        <f t="shared" ref="H45:H50" si="22">+H44</f>
        <v>7</v>
      </c>
      <c r="I45" s="409">
        <f t="shared" ref="I45:I50" si="23">+I44+1</f>
        <v>2</v>
      </c>
      <c r="J45" s="409" t="str">
        <f ca="1">+'Tabla II.'!$C$9</f>
        <v>Tabla II.</v>
      </c>
      <c r="K45" s="409" t="s">
        <v>2266</v>
      </c>
      <c r="L45" s="406"/>
    </row>
    <row r="46" spans="1:12" s="410" customFormat="1">
      <c r="A46" s="406" t="s">
        <v>2944</v>
      </c>
      <c r="B46" s="406" t="str">
        <f t="shared" ca="1" si="0"/>
        <v>202503</v>
      </c>
      <c r="C46" s="406" t="str">
        <f t="shared" ca="1" si="1"/>
        <v>v1</v>
      </c>
      <c r="D46" s="407" t="str">
        <f t="shared" ca="1" si="21"/>
        <v>01.03.</v>
      </c>
      <c r="E46" s="406">
        <f t="shared" si="2"/>
        <v>0</v>
      </c>
      <c r="F46" s="408">
        <f ca="1">OFFSET('Tabla II.'!$H$13,H46-1,I46-1)</f>
        <v>0</v>
      </c>
      <c r="G46" s="406" t="str">
        <f ca="1">OFFSET('Tabla II.'!$H$1,0,I46-1)</f>
        <v>03</v>
      </c>
      <c r="H46" s="409">
        <f t="shared" si="22"/>
        <v>7</v>
      </c>
      <c r="I46" s="409">
        <f t="shared" si="23"/>
        <v>3</v>
      </c>
      <c r="J46" s="409" t="str">
        <f ca="1">+'Tabla II.'!$C$9</f>
        <v>Tabla II.</v>
      </c>
      <c r="K46" s="409" t="s">
        <v>2266</v>
      </c>
      <c r="L46" s="406"/>
    </row>
    <row r="47" spans="1:12" s="410" customFormat="1">
      <c r="A47" s="406" t="s">
        <v>2944</v>
      </c>
      <c r="B47" s="406" t="str">
        <f t="shared" ca="1" si="0"/>
        <v>202503</v>
      </c>
      <c r="C47" s="406" t="str">
        <f t="shared" ca="1" si="1"/>
        <v>v1</v>
      </c>
      <c r="D47" s="407" t="str">
        <f t="shared" ca="1" si="21"/>
        <v>01.03.</v>
      </c>
      <c r="E47" s="406">
        <f t="shared" si="2"/>
        <v>0</v>
      </c>
      <c r="F47" s="408">
        <f ca="1">OFFSET('Tabla II.'!$H$13,H47-1,I47-1)</f>
        <v>0</v>
      </c>
      <c r="G47" s="406" t="str">
        <f ca="1">OFFSET('Tabla II.'!$H$1,0,I47-1)</f>
        <v>04</v>
      </c>
      <c r="H47" s="409">
        <f t="shared" si="22"/>
        <v>7</v>
      </c>
      <c r="I47" s="409">
        <f t="shared" si="23"/>
        <v>4</v>
      </c>
      <c r="J47" s="409" t="str">
        <f ca="1">+'Tabla II.'!$C$9</f>
        <v>Tabla II.</v>
      </c>
      <c r="K47" s="409" t="s">
        <v>2266</v>
      </c>
      <c r="L47" s="406"/>
    </row>
    <row r="48" spans="1:12" s="410" customFormat="1">
      <c r="A48" s="406" t="s">
        <v>2944</v>
      </c>
      <c r="B48" s="406" t="str">
        <f t="shared" ca="1" si="0"/>
        <v>202503</v>
      </c>
      <c r="C48" s="406" t="str">
        <f t="shared" ca="1" si="1"/>
        <v>v1</v>
      </c>
      <c r="D48" s="407" t="str">
        <f t="shared" ca="1" si="21"/>
        <v>01.03.</v>
      </c>
      <c r="E48" s="406">
        <f t="shared" si="2"/>
        <v>0</v>
      </c>
      <c r="F48" s="408">
        <f ca="1">OFFSET('Tabla II.'!$H$13,H48-1,I48-1)</f>
        <v>0</v>
      </c>
      <c r="G48" s="406" t="str">
        <f ca="1">OFFSET('Tabla II.'!$H$1,0,I48-1)</f>
        <v>05</v>
      </c>
      <c r="H48" s="409">
        <f t="shared" si="22"/>
        <v>7</v>
      </c>
      <c r="I48" s="409">
        <f t="shared" si="23"/>
        <v>5</v>
      </c>
      <c r="J48" s="409" t="str">
        <f ca="1">+'Tabla II.'!$C$9</f>
        <v>Tabla II.</v>
      </c>
      <c r="K48" s="409" t="s">
        <v>2266</v>
      </c>
      <c r="L48" s="406"/>
    </row>
    <row r="49" spans="1:12" s="410" customFormat="1">
      <c r="A49" s="406" t="s">
        <v>2944</v>
      </c>
      <c r="B49" s="406" t="str">
        <f t="shared" ca="1" si="0"/>
        <v>202503</v>
      </c>
      <c r="C49" s="406" t="str">
        <f t="shared" ca="1" si="1"/>
        <v>v1</v>
      </c>
      <c r="D49" s="407" t="str">
        <f t="shared" ca="1" si="21"/>
        <v>01.03.</v>
      </c>
      <c r="E49" s="406">
        <f t="shared" si="2"/>
        <v>0</v>
      </c>
      <c r="F49" s="408">
        <f ca="1">OFFSET('Tabla II.'!$H$13,H49-1,I49-1)</f>
        <v>0</v>
      </c>
      <c r="G49" s="406" t="str">
        <f ca="1">OFFSET('Tabla II.'!$H$1,0,I49-1)</f>
        <v>06</v>
      </c>
      <c r="H49" s="409">
        <f t="shared" si="22"/>
        <v>7</v>
      </c>
      <c r="I49" s="409">
        <f t="shared" si="23"/>
        <v>6</v>
      </c>
      <c r="J49" s="409" t="str">
        <f ca="1">+'Tabla II.'!$C$9</f>
        <v>Tabla II.</v>
      </c>
      <c r="K49" s="409" t="s">
        <v>2266</v>
      </c>
      <c r="L49" s="406"/>
    </row>
    <row r="50" spans="1:12" s="410" customFormat="1">
      <c r="A50" s="406" t="s">
        <v>2944</v>
      </c>
      <c r="B50" s="406" t="str">
        <f t="shared" ca="1" si="0"/>
        <v>202503</v>
      </c>
      <c r="C50" s="406" t="str">
        <f t="shared" ca="1" si="1"/>
        <v>v1</v>
      </c>
      <c r="D50" s="407" t="str">
        <f t="shared" ca="1" si="21"/>
        <v>01.03.</v>
      </c>
      <c r="E50" s="406">
        <f t="shared" si="2"/>
        <v>0</v>
      </c>
      <c r="F50" s="408">
        <f ca="1">OFFSET('Tabla II.'!$H$13,H50-1,I50-1)</f>
        <v>0</v>
      </c>
      <c r="G50" s="406" t="str">
        <f ca="1">OFFSET('Tabla II.'!$H$1,0,I50-1)</f>
        <v>07</v>
      </c>
      <c r="H50" s="409">
        <f t="shared" si="22"/>
        <v>7</v>
      </c>
      <c r="I50" s="409">
        <f t="shared" si="23"/>
        <v>7</v>
      </c>
      <c r="J50" s="409" t="str">
        <f ca="1">+'Tabla II.'!$C$9</f>
        <v>Tabla II.</v>
      </c>
      <c r="K50" s="409" t="s">
        <v>2266</v>
      </c>
      <c r="L50" s="406"/>
    </row>
    <row r="51" spans="1:12" s="103" customFormat="1">
      <c r="A51" s="401" t="s">
        <v>2944</v>
      </c>
      <c r="B51" s="401" t="str">
        <f t="shared" ca="1" si="0"/>
        <v>202502</v>
      </c>
      <c r="C51" s="401" t="str">
        <f t="shared" ca="1" si="1"/>
        <v>v2</v>
      </c>
      <c r="D51" s="404" t="str">
        <f ca="1">OFFSET('Tabla II.'!$F$13,H51-1,0)</f>
        <v>01.03.00.01.</v>
      </c>
      <c r="E51" s="401">
        <f t="shared" si="2"/>
        <v>0</v>
      </c>
      <c r="F51" s="402">
        <f ca="1">OFFSET('Tabla II.'!$H$13,H51-1,I51-1)</f>
        <v>0</v>
      </c>
      <c r="G51" s="401" t="str">
        <f ca="1">OFFSET('Tabla II.'!$H$1,0,I51-1)</f>
        <v>01</v>
      </c>
      <c r="H51" s="403">
        <f>+H44+1</f>
        <v>8</v>
      </c>
      <c r="I51" s="403">
        <v>1</v>
      </c>
      <c r="J51" s="403" t="str">
        <f ca="1">+'Tabla II.'!$C$9</f>
        <v>Tabla II.</v>
      </c>
      <c r="K51" s="403" t="s">
        <v>2266</v>
      </c>
      <c r="L51" s="401">
        <f>+L44+1</f>
        <v>8</v>
      </c>
    </row>
    <row r="52" spans="1:12" s="103" customFormat="1">
      <c r="A52" s="401" t="s">
        <v>2944</v>
      </c>
      <c r="B52" s="401" t="str">
        <f t="shared" ca="1" si="0"/>
        <v>202503</v>
      </c>
      <c r="C52" s="401" t="str">
        <f t="shared" ca="1" si="1"/>
        <v>v1</v>
      </c>
      <c r="D52" s="404" t="str">
        <f t="shared" ref="D52:D57" ca="1" si="24">+D51</f>
        <v>01.03.00.01.</v>
      </c>
      <c r="E52" s="401">
        <f t="shared" si="2"/>
        <v>0</v>
      </c>
      <c r="F52" s="402">
        <f ca="1">OFFSET('Tabla II.'!$H$13,H52-1,I52-1)</f>
        <v>0</v>
      </c>
      <c r="G52" s="401" t="str">
        <f ca="1">OFFSET('Tabla II.'!$H$1,0,I52-1)</f>
        <v>02</v>
      </c>
      <c r="H52" s="403">
        <f t="shared" ref="H52:H57" si="25">+H51</f>
        <v>8</v>
      </c>
      <c r="I52" s="403">
        <f t="shared" ref="I52:I57" si="26">+I51+1</f>
        <v>2</v>
      </c>
      <c r="J52" s="403" t="str">
        <f ca="1">+'Tabla II.'!$C$9</f>
        <v>Tabla II.</v>
      </c>
      <c r="K52" s="403" t="s">
        <v>2266</v>
      </c>
      <c r="L52" s="401"/>
    </row>
    <row r="53" spans="1:12" s="103" customFormat="1">
      <c r="A53" s="401" t="s">
        <v>2944</v>
      </c>
      <c r="B53" s="401" t="str">
        <f t="shared" ca="1" si="0"/>
        <v>202503</v>
      </c>
      <c r="C53" s="401" t="str">
        <f t="shared" ca="1" si="1"/>
        <v>v1</v>
      </c>
      <c r="D53" s="404" t="str">
        <f t="shared" ca="1" si="24"/>
        <v>01.03.00.01.</v>
      </c>
      <c r="E53" s="401">
        <f t="shared" si="2"/>
        <v>0</v>
      </c>
      <c r="F53" s="402">
        <f ca="1">OFFSET('Tabla II.'!$H$13,H53-1,I53-1)</f>
        <v>0</v>
      </c>
      <c r="G53" s="401" t="str">
        <f ca="1">OFFSET('Tabla II.'!$H$1,0,I53-1)</f>
        <v>03</v>
      </c>
      <c r="H53" s="403">
        <f t="shared" si="25"/>
        <v>8</v>
      </c>
      <c r="I53" s="403">
        <f t="shared" si="26"/>
        <v>3</v>
      </c>
      <c r="J53" s="403" t="str">
        <f ca="1">+'Tabla II.'!$C$9</f>
        <v>Tabla II.</v>
      </c>
      <c r="K53" s="403" t="s">
        <v>2266</v>
      </c>
      <c r="L53" s="401"/>
    </row>
    <row r="54" spans="1:12" s="103" customFormat="1">
      <c r="A54" s="401" t="s">
        <v>2944</v>
      </c>
      <c r="B54" s="401" t="str">
        <f t="shared" ca="1" si="0"/>
        <v>202503</v>
      </c>
      <c r="C54" s="401" t="str">
        <f t="shared" ca="1" si="1"/>
        <v>v1</v>
      </c>
      <c r="D54" s="404" t="str">
        <f t="shared" ca="1" si="24"/>
        <v>01.03.00.01.</v>
      </c>
      <c r="E54" s="401">
        <f t="shared" si="2"/>
        <v>0</v>
      </c>
      <c r="F54" s="402">
        <f ca="1">OFFSET('Tabla II.'!$H$13,H54-1,I54-1)</f>
        <v>0</v>
      </c>
      <c r="G54" s="401" t="str">
        <f ca="1">OFFSET('Tabla II.'!$H$1,0,I54-1)</f>
        <v>04</v>
      </c>
      <c r="H54" s="403">
        <f t="shared" si="25"/>
        <v>8</v>
      </c>
      <c r="I54" s="403">
        <f t="shared" si="26"/>
        <v>4</v>
      </c>
      <c r="J54" s="403" t="str">
        <f ca="1">+'Tabla II.'!$C$9</f>
        <v>Tabla II.</v>
      </c>
      <c r="K54" s="403" t="s">
        <v>2266</v>
      </c>
      <c r="L54" s="401"/>
    </row>
    <row r="55" spans="1:12" s="103" customFormat="1">
      <c r="A55" s="401" t="s">
        <v>2944</v>
      </c>
      <c r="B55" s="401" t="str">
        <f t="shared" ca="1" si="0"/>
        <v>202503</v>
      </c>
      <c r="C55" s="401" t="str">
        <f t="shared" ca="1" si="1"/>
        <v>v1</v>
      </c>
      <c r="D55" s="404" t="str">
        <f t="shared" ca="1" si="24"/>
        <v>01.03.00.01.</v>
      </c>
      <c r="E55" s="401">
        <f t="shared" si="2"/>
        <v>0</v>
      </c>
      <c r="F55" s="402">
        <f ca="1">OFFSET('Tabla II.'!$H$13,H55-1,I55-1)</f>
        <v>0</v>
      </c>
      <c r="G55" s="401" t="str">
        <f ca="1">OFFSET('Tabla II.'!$H$1,0,I55-1)</f>
        <v>05</v>
      </c>
      <c r="H55" s="403">
        <f t="shared" si="25"/>
        <v>8</v>
      </c>
      <c r="I55" s="403">
        <f t="shared" si="26"/>
        <v>5</v>
      </c>
      <c r="J55" s="403" t="str">
        <f ca="1">+'Tabla II.'!$C$9</f>
        <v>Tabla II.</v>
      </c>
      <c r="K55" s="403" t="s">
        <v>2266</v>
      </c>
      <c r="L55" s="401"/>
    </row>
    <row r="56" spans="1:12" s="103" customFormat="1">
      <c r="A56" s="401" t="s">
        <v>2944</v>
      </c>
      <c r="B56" s="401" t="str">
        <f t="shared" ca="1" si="0"/>
        <v>202503</v>
      </c>
      <c r="C56" s="401" t="str">
        <f t="shared" ca="1" si="1"/>
        <v>v1</v>
      </c>
      <c r="D56" s="404" t="str">
        <f t="shared" ca="1" si="24"/>
        <v>01.03.00.01.</v>
      </c>
      <c r="E56" s="401">
        <f t="shared" si="2"/>
        <v>0</v>
      </c>
      <c r="F56" s="402">
        <f ca="1">OFFSET('Tabla II.'!$H$13,H56-1,I56-1)</f>
        <v>0</v>
      </c>
      <c r="G56" s="401" t="str">
        <f ca="1">OFFSET('Tabla II.'!$H$1,0,I56-1)</f>
        <v>06</v>
      </c>
      <c r="H56" s="403">
        <f t="shared" si="25"/>
        <v>8</v>
      </c>
      <c r="I56" s="403">
        <f t="shared" si="26"/>
        <v>6</v>
      </c>
      <c r="J56" s="403" t="str">
        <f ca="1">+'Tabla II.'!$C$9</f>
        <v>Tabla II.</v>
      </c>
      <c r="K56" s="403" t="s">
        <v>2266</v>
      </c>
      <c r="L56" s="401"/>
    </row>
    <row r="57" spans="1:12" s="103" customFormat="1">
      <c r="A57" s="401" t="s">
        <v>2944</v>
      </c>
      <c r="B57" s="401" t="str">
        <f t="shared" ca="1" si="0"/>
        <v>202503</v>
      </c>
      <c r="C57" s="401" t="str">
        <f t="shared" ca="1" si="1"/>
        <v>v1</v>
      </c>
      <c r="D57" s="404" t="str">
        <f t="shared" ca="1" si="24"/>
        <v>01.03.00.01.</v>
      </c>
      <c r="E57" s="401">
        <f t="shared" si="2"/>
        <v>0</v>
      </c>
      <c r="F57" s="402">
        <f ca="1">OFFSET('Tabla II.'!$H$13,H57-1,I57-1)</f>
        <v>0</v>
      </c>
      <c r="G57" s="401" t="str">
        <f ca="1">OFFSET('Tabla II.'!$H$1,0,I57-1)</f>
        <v>07</v>
      </c>
      <c r="H57" s="403">
        <f t="shared" si="25"/>
        <v>8</v>
      </c>
      <c r="I57" s="403">
        <f t="shared" si="26"/>
        <v>7</v>
      </c>
      <c r="J57" s="403" t="str">
        <f ca="1">+'Tabla II.'!$C$9</f>
        <v>Tabla II.</v>
      </c>
      <c r="K57" s="403" t="s">
        <v>2266</v>
      </c>
      <c r="L57" s="401"/>
    </row>
    <row r="58" spans="1:12" s="410" customFormat="1">
      <c r="A58" s="406" t="s">
        <v>2944</v>
      </c>
      <c r="B58" s="406" t="str">
        <f t="shared" ca="1" si="0"/>
        <v>202502</v>
      </c>
      <c r="C58" s="406" t="str">
        <f t="shared" ca="1" si="1"/>
        <v>v2</v>
      </c>
      <c r="D58" s="407" t="str">
        <f ca="1">OFFSET('Tabla II.'!$F$13,H58-1,0)</f>
        <v>01.03.00.02.</v>
      </c>
      <c r="E58" s="406">
        <f t="shared" si="2"/>
        <v>0</v>
      </c>
      <c r="F58" s="408">
        <f ca="1">OFFSET('Tabla II.'!$H$13,H58-1,I58-1)</f>
        <v>0</v>
      </c>
      <c r="G58" s="406" t="str">
        <f ca="1">OFFSET('Tabla II.'!$H$1,0,I58-1)</f>
        <v>01</v>
      </c>
      <c r="H58" s="409">
        <f>+H51+1</f>
        <v>9</v>
      </c>
      <c r="I58" s="409">
        <v>1</v>
      </c>
      <c r="J58" s="409" t="str">
        <f ca="1">+'Tabla II.'!$C$9</f>
        <v>Tabla II.</v>
      </c>
      <c r="K58" s="409" t="s">
        <v>2266</v>
      </c>
      <c r="L58" s="406">
        <f>+L51+1</f>
        <v>9</v>
      </c>
    </row>
    <row r="59" spans="1:12" s="410" customFormat="1">
      <c r="A59" s="406" t="s">
        <v>2944</v>
      </c>
      <c r="B59" s="406" t="str">
        <f t="shared" ca="1" si="0"/>
        <v>202503</v>
      </c>
      <c r="C59" s="406" t="str">
        <f t="shared" ca="1" si="1"/>
        <v>v1</v>
      </c>
      <c r="D59" s="407" t="str">
        <f t="shared" ref="D59:D64" ca="1" si="27">+D58</f>
        <v>01.03.00.02.</v>
      </c>
      <c r="E59" s="406">
        <f t="shared" si="2"/>
        <v>0</v>
      </c>
      <c r="F59" s="408">
        <f ca="1">OFFSET('Tabla II.'!$H$13,H59-1,I59-1)</f>
        <v>0</v>
      </c>
      <c r="G59" s="406" t="str">
        <f ca="1">OFFSET('Tabla II.'!$H$1,0,I59-1)</f>
        <v>02</v>
      </c>
      <c r="H59" s="409">
        <f t="shared" ref="H59:H64" si="28">+H58</f>
        <v>9</v>
      </c>
      <c r="I59" s="409">
        <f t="shared" ref="I59:I64" si="29">+I58+1</f>
        <v>2</v>
      </c>
      <c r="J59" s="409" t="str">
        <f ca="1">+'Tabla II.'!$C$9</f>
        <v>Tabla II.</v>
      </c>
      <c r="K59" s="409" t="s">
        <v>2266</v>
      </c>
      <c r="L59" s="406"/>
    </row>
    <row r="60" spans="1:12" s="410" customFormat="1">
      <c r="A60" s="406" t="s">
        <v>2944</v>
      </c>
      <c r="B60" s="406" t="str">
        <f t="shared" ca="1" si="0"/>
        <v>202503</v>
      </c>
      <c r="C60" s="406" t="str">
        <f t="shared" ca="1" si="1"/>
        <v>v1</v>
      </c>
      <c r="D60" s="407" t="str">
        <f t="shared" ca="1" si="27"/>
        <v>01.03.00.02.</v>
      </c>
      <c r="E60" s="406">
        <f t="shared" si="2"/>
        <v>0</v>
      </c>
      <c r="F60" s="408">
        <f ca="1">OFFSET('Tabla II.'!$H$13,H60-1,I60-1)</f>
        <v>0</v>
      </c>
      <c r="G60" s="406" t="str">
        <f ca="1">OFFSET('Tabla II.'!$H$1,0,I60-1)</f>
        <v>03</v>
      </c>
      <c r="H60" s="409">
        <f t="shared" si="28"/>
        <v>9</v>
      </c>
      <c r="I60" s="409">
        <f t="shared" si="29"/>
        <v>3</v>
      </c>
      <c r="J60" s="409" t="str">
        <f ca="1">+'Tabla II.'!$C$9</f>
        <v>Tabla II.</v>
      </c>
      <c r="K60" s="409" t="s">
        <v>2266</v>
      </c>
      <c r="L60" s="406"/>
    </row>
    <row r="61" spans="1:12" s="410" customFormat="1">
      <c r="A61" s="406" t="s">
        <v>2944</v>
      </c>
      <c r="B61" s="406" t="str">
        <f t="shared" ca="1" si="0"/>
        <v>202503</v>
      </c>
      <c r="C61" s="406" t="str">
        <f t="shared" ca="1" si="1"/>
        <v>v1</v>
      </c>
      <c r="D61" s="407" t="str">
        <f t="shared" ca="1" si="27"/>
        <v>01.03.00.02.</v>
      </c>
      <c r="E61" s="406">
        <f t="shared" si="2"/>
        <v>0</v>
      </c>
      <c r="F61" s="408">
        <f ca="1">OFFSET('Tabla II.'!$H$13,H61-1,I61-1)</f>
        <v>0</v>
      </c>
      <c r="G61" s="406" t="str">
        <f ca="1">OFFSET('Tabla II.'!$H$1,0,I61-1)</f>
        <v>04</v>
      </c>
      <c r="H61" s="409">
        <f t="shared" si="28"/>
        <v>9</v>
      </c>
      <c r="I61" s="409">
        <f t="shared" si="29"/>
        <v>4</v>
      </c>
      <c r="J61" s="409" t="str">
        <f ca="1">+'Tabla II.'!$C$9</f>
        <v>Tabla II.</v>
      </c>
      <c r="K61" s="409" t="s">
        <v>2266</v>
      </c>
      <c r="L61" s="406"/>
    </row>
    <row r="62" spans="1:12" s="410" customFormat="1">
      <c r="A62" s="406" t="s">
        <v>2944</v>
      </c>
      <c r="B62" s="406" t="str">
        <f t="shared" ca="1" si="0"/>
        <v>202503</v>
      </c>
      <c r="C62" s="406" t="str">
        <f t="shared" ca="1" si="1"/>
        <v>v1</v>
      </c>
      <c r="D62" s="407" t="str">
        <f t="shared" ca="1" si="27"/>
        <v>01.03.00.02.</v>
      </c>
      <c r="E62" s="406">
        <f t="shared" si="2"/>
        <v>0</v>
      </c>
      <c r="F62" s="408">
        <f ca="1">OFFSET('Tabla II.'!$H$13,H62-1,I62-1)</f>
        <v>0</v>
      </c>
      <c r="G62" s="406" t="str">
        <f ca="1">OFFSET('Tabla II.'!$H$1,0,I62-1)</f>
        <v>05</v>
      </c>
      <c r="H62" s="409">
        <f t="shared" si="28"/>
        <v>9</v>
      </c>
      <c r="I62" s="409">
        <f t="shared" si="29"/>
        <v>5</v>
      </c>
      <c r="J62" s="409" t="str">
        <f ca="1">+'Tabla II.'!$C$9</f>
        <v>Tabla II.</v>
      </c>
      <c r="K62" s="409" t="s">
        <v>2266</v>
      </c>
      <c r="L62" s="406"/>
    </row>
    <row r="63" spans="1:12" s="410" customFormat="1">
      <c r="A63" s="406" t="s">
        <v>2944</v>
      </c>
      <c r="B63" s="406" t="str">
        <f t="shared" ca="1" si="0"/>
        <v>202503</v>
      </c>
      <c r="C63" s="406" t="str">
        <f t="shared" ca="1" si="1"/>
        <v>v1</v>
      </c>
      <c r="D63" s="407" t="str">
        <f t="shared" ca="1" si="27"/>
        <v>01.03.00.02.</v>
      </c>
      <c r="E63" s="406">
        <f t="shared" si="2"/>
        <v>0</v>
      </c>
      <c r="F63" s="408">
        <f ca="1">OFFSET('Tabla II.'!$H$13,H63-1,I63-1)</f>
        <v>0</v>
      </c>
      <c r="G63" s="406" t="str">
        <f ca="1">OFFSET('Tabla II.'!$H$1,0,I63-1)</f>
        <v>06</v>
      </c>
      <c r="H63" s="409">
        <f t="shared" si="28"/>
        <v>9</v>
      </c>
      <c r="I63" s="409">
        <f t="shared" si="29"/>
        <v>6</v>
      </c>
      <c r="J63" s="409" t="str">
        <f ca="1">+'Tabla II.'!$C$9</f>
        <v>Tabla II.</v>
      </c>
      <c r="K63" s="409" t="s">
        <v>2266</v>
      </c>
      <c r="L63" s="406"/>
    </row>
    <row r="64" spans="1:12" s="410" customFormat="1">
      <c r="A64" s="406" t="s">
        <v>2944</v>
      </c>
      <c r="B64" s="406" t="str">
        <f t="shared" ca="1" si="0"/>
        <v>202503</v>
      </c>
      <c r="C64" s="406" t="str">
        <f t="shared" ca="1" si="1"/>
        <v>v1</v>
      </c>
      <c r="D64" s="407" t="str">
        <f t="shared" ca="1" si="27"/>
        <v>01.03.00.02.</v>
      </c>
      <c r="E64" s="406">
        <f t="shared" si="2"/>
        <v>0</v>
      </c>
      <c r="F64" s="408">
        <f ca="1">OFFSET('Tabla II.'!$H$13,H64-1,I64-1)</f>
        <v>0</v>
      </c>
      <c r="G64" s="406" t="str">
        <f ca="1">OFFSET('Tabla II.'!$H$1,0,I64-1)</f>
        <v>07</v>
      </c>
      <c r="H64" s="409">
        <f t="shared" si="28"/>
        <v>9</v>
      </c>
      <c r="I64" s="409">
        <f t="shared" si="29"/>
        <v>7</v>
      </c>
      <c r="J64" s="409" t="str">
        <f ca="1">+'Tabla II.'!$C$9</f>
        <v>Tabla II.</v>
      </c>
      <c r="K64" s="409" t="s">
        <v>2266</v>
      </c>
      <c r="L64" s="406"/>
    </row>
    <row r="65" spans="1:12" s="103" customFormat="1">
      <c r="A65" s="401" t="s">
        <v>2944</v>
      </c>
      <c r="B65" s="401" t="str">
        <f t="shared" ca="1" si="0"/>
        <v>202502</v>
      </c>
      <c r="C65" s="401" t="str">
        <f t="shared" ca="1" si="1"/>
        <v>v2</v>
      </c>
      <c r="D65" s="404" t="str">
        <f ca="1">OFFSET('Tabla II.'!$F$13,H65-1,0)</f>
        <v>01.04.</v>
      </c>
      <c r="E65" s="401">
        <f t="shared" si="2"/>
        <v>0</v>
      </c>
      <c r="F65" s="402">
        <f ca="1">OFFSET('Tabla II.'!$H$13,H65-1,I65-1)</f>
        <v>0</v>
      </c>
      <c r="G65" s="401" t="str">
        <f ca="1">OFFSET('Tabla II.'!$H$1,0,I65-1)</f>
        <v>01</v>
      </c>
      <c r="H65" s="403">
        <f>+H58+1</f>
        <v>10</v>
      </c>
      <c r="I65" s="403">
        <v>1</v>
      </c>
      <c r="J65" s="403" t="str">
        <f ca="1">+'Tabla II.'!$C$9</f>
        <v>Tabla II.</v>
      </c>
      <c r="K65" s="403" t="s">
        <v>2266</v>
      </c>
      <c r="L65" s="401">
        <f>+L58+1</f>
        <v>10</v>
      </c>
    </row>
    <row r="66" spans="1:12" s="103" customFormat="1">
      <c r="A66" s="401" t="s">
        <v>2944</v>
      </c>
      <c r="B66" s="401" t="str">
        <f t="shared" ref="B66:B129" ca="1" si="30">IF(G66="01",(IF(TRIM&gt;1,CONCATENATE(ANUAL,"0",TRIM-1),CONCATENATE(ANUAL-1,"04"))),PERIODO)</f>
        <v>202503</v>
      </c>
      <c r="C66" s="401" t="str">
        <f t="shared" ref="C66:C129" ca="1" si="31">IF(G66="01","v2","v1")</f>
        <v>v1</v>
      </c>
      <c r="D66" s="404" t="str">
        <f t="shared" ref="D66:D71" ca="1" si="32">+D65</f>
        <v>01.04.</v>
      </c>
      <c r="E66" s="401">
        <f t="shared" ref="E66:E129" si="33">RUC</f>
        <v>0</v>
      </c>
      <c r="F66" s="402">
        <f ca="1">OFFSET('Tabla II.'!$H$13,H66-1,I66-1)</f>
        <v>0</v>
      </c>
      <c r="G66" s="401" t="str">
        <f ca="1">OFFSET('Tabla II.'!$H$1,0,I66-1)</f>
        <v>02</v>
      </c>
      <c r="H66" s="403">
        <f t="shared" ref="H66:H71" si="34">+H65</f>
        <v>10</v>
      </c>
      <c r="I66" s="403">
        <f t="shared" ref="I66:I71" si="35">+I65+1</f>
        <v>2</v>
      </c>
      <c r="J66" s="403" t="str">
        <f ca="1">+'Tabla II.'!$C$9</f>
        <v>Tabla II.</v>
      </c>
      <c r="K66" s="403" t="s">
        <v>2266</v>
      </c>
      <c r="L66" s="401"/>
    </row>
    <row r="67" spans="1:12" s="103" customFormat="1">
      <c r="A67" s="401" t="s">
        <v>2944</v>
      </c>
      <c r="B67" s="401" t="str">
        <f t="shared" ca="1" si="30"/>
        <v>202503</v>
      </c>
      <c r="C67" s="401" t="str">
        <f t="shared" ca="1" si="31"/>
        <v>v1</v>
      </c>
      <c r="D67" s="404" t="str">
        <f t="shared" ca="1" si="32"/>
        <v>01.04.</v>
      </c>
      <c r="E67" s="401">
        <f t="shared" si="33"/>
        <v>0</v>
      </c>
      <c r="F67" s="402">
        <f ca="1">OFFSET('Tabla II.'!$H$13,H67-1,I67-1)</f>
        <v>0</v>
      </c>
      <c r="G67" s="401" t="str">
        <f ca="1">OFFSET('Tabla II.'!$H$1,0,I67-1)</f>
        <v>03</v>
      </c>
      <c r="H67" s="403">
        <f t="shared" si="34"/>
        <v>10</v>
      </c>
      <c r="I67" s="403">
        <f t="shared" si="35"/>
        <v>3</v>
      </c>
      <c r="J67" s="403" t="str">
        <f ca="1">+'Tabla II.'!$C$9</f>
        <v>Tabla II.</v>
      </c>
      <c r="K67" s="403" t="s">
        <v>2266</v>
      </c>
      <c r="L67" s="401"/>
    </row>
    <row r="68" spans="1:12" s="103" customFormat="1">
      <c r="A68" s="401" t="s">
        <v>2944</v>
      </c>
      <c r="B68" s="401" t="str">
        <f t="shared" ca="1" si="30"/>
        <v>202503</v>
      </c>
      <c r="C68" s="401" t="str">
        <f t="shared" ca="1" si="31"/>
        <v>v1</v>
      </c>
      <c r="D68" s="404" t="str">
        <f t="shared" ca="1" si="32"/>
        <v>01.04.</v>
      </c>
      <c r="E68" s="401">
        <f t="shared" si="33"/>
        <v>0</v>
      </c>
      <c r="F68" s="402">
        <f ca="1">OFFSET('Tabla II.'!$H$13,H68-1,I68-1)</f>
        <v>0</v>
      </c>
      <c r="G68" s="401" t="str">
        <f ca="1">OFFSET('Tabla II.'!$H$1,0,I68-1)</f>
        <v>04</v>
      </c>
      <c r="H68" s="403">
        <f t="shared" si="34"/>
        <v>10</v>
      </c>
      <c r="I68" s="403">
        <f t="shared" si="35"/>
        <v>4</v>
      </c>
      <c r="J68" s="403" t="str">
        <f ca="1">+'Tabla II.'!$C$9</f>
        <v>Tabla II.</v>
      </c>
      <c r="K68" s="403" t="s">
        <v>2266</v>
      </c>
      <c r="L68" s="401"/>
    </row>
    <row r="69" spans="1:12" s="103" customFormat="1">
      <c r="A69" s="401" t="s">
        <v>2944</v>
      </c>
      <c r="B69" s="401" t="str">
        <f t="shared" ca="1" si="30"/>
        <v>202503</v>
      </c>
      <c r="C69" s="401" t="str">
        <f t="shared" ca="1" si="31"/>
        <v>v1</v>
      </c>
      <c r="D69" s="404" t="str">
        <f t="shared" ca="1" si="32"/>
        <v>01.04.</v>
      </c>
      <c r="E69" s="401">
        <f t="shared" si="33"/>
        <v>0</v>
      </c>
      <c r="F69" s="402">
        <f ca="1">OFFSET('Tabla II.'!$H$13,H69-1,I69-1)</f>
        <v>0</v>
      </c>
      <c r="G69" s="401" t="str">
        <f ca="1">OFFSET('Tabla II.'!$H$1,0,I69-1)</f>
        <v>05</v>
      </c>
      <c r="H69" s="403">
        <f t="shared" si="34"/>
        <v>10</v>
      </c>
      <c r="I69" s="403">
        <f t="shared" si="35"/>
        <v>5</v>
      </c>
      <c r="J69" s="403" t="str">
        <f ca="1">+'Tabla II.'!$C$9</f>
        <v>Tabla II.</v>
      </c>
      <c r="K69" s="403" t="s">
        <v>2266</v>
      </c>
      <c r="L69" s="401"/>
    </row>
    <row r="70" spans="1:12" s="103" customFormat="1">
      <c r="A70" s="401" t="s">
        <v>2944</v>
      </c>
      <c r="B70" s="401" t="str">
        <f t="shared" ca="1" si="30"/>
        <v>202503</v>
      </c>
      <c r="C70" s="401" t="str">
        <f t="shared" ca="1" si="31"/>
        <v>v1</v>
      </c>
      <c r="D70" s="404" t="str">
        <f t="shared" ca="1" si="32"/>
        <v>01.04.</v>
      </c>
      <c r="E70" s="401">
        <f t="shared" si="33"/>
        <v>0</v>
      </c>
      <c r="F70" s="402">
        <f ca="1">OFFSET('Tabla II.'!$H$13,H70-1,I70-1)</f>
        <v>0</v>
      </c>
      <c r="G70" s="401" t="str">
        <f ca="1">OFFSET('Tabla II.'!$H$1,0,I70-1)</f>
        <v>06</v>
      </c>
      <c r="H70" s="403">
        <f t="shared" si="34"/>
        <v>10</v>
      </c>
      <c r="I70" s="403">
        <f t="shared" si="35"/>
        <v>6</v>
      </c>
      <c r="J70" s="403" t="str">
        <f ca="1">+'Tabla II.'!$C$9</f>
        <v>Tabla II.</v>
      </c>
      <c r="K70" s="403" t="s">
        <v>2266</v>
      </c>
      <c r="L70" s="401"/>
    </row>
    <row r="71" spans="1:12" s="103" customFormat="1">
      <c r="A71" s="401" t="s">
        <v>2944</v>
      </c>
      <c r="B71" s="401" t="str">
        <f t="shared" ca="1" si="30"/>
        <v>202503</v>
      </c>
      <c r="C71" s="401" t="str">
        <f t="shared" ca="1" si="31"/>
        <v>v1</v>
      </c>
      <c r="D71" s="404" t="str">
        <f t="shared" ca="1" si="32"/>
        <v>01.04.</v>
      </c>
      <c r="E71" s="401">
        <f t="shared" si="33"/>
        <v>0</v>
      </c>
      <c r="F71" s="402">
        <f ca="1">OFFSET('Tabla II.'!$H$13,H71-1,I71-1)</f>
        <v>0</v>
      </c>
      <c r="G71" s="401" t="str">
        <f ca="1">OFFSET('Tabla II.'!$H$1,0,I71-1)</f>
        <v>07</v>
      </c>
      <c r="H71" s="403">
        <f t="shared" si="34"/>
        <v>10</v>
      </c>
      <c r="I71" s="403">
        <f t="shared" si="35"/>
        <v>7</v>
      </c>
      <c r="J71" s="403" t="str">
        <f ca="1">+'Tabla II.'!$C$9</f>
        <v>Tabla II.</v>
      </c>
      <c r="K71" s="403" t="s">
        <v>2266</v>
      </c>
      <c r="L71" s="401"/>
    </row>
    <row r="72" spans="1:12" s="410" customFormat="1">
      <c r="A72" s="406" t="s">
        <v>2944</v>
      </c>
      <c r="B72" s="406" t="str">
        <f t="shared" ca="1" si="30"/>
        <v>202502</v>
      </c>
      <c r="C72" s="406" t="str">
        <f t="shared" ca="1" si="31"/>
        <v>v2</v>
      </c>
      <c r="D72" s="407" t="str">
        <f ca="1">OFFSET('Tabla II.'!$F$13,H72-1,0)</f>
        <v>01.04.00.01.</v>
      </c>
      <c r="E72" s="406">
        <f t="shared" si="33"/>
        <v>0</v>
      </c>
      <c r="F72" s="408">
        <f ca="1">OFFSET('Tabla II.'!$H$13,H72-1,I72-1)</f>
        <v>0</v>
      </c>
      <c r="G72" s="406" t="str">
        <f ca="1">OFFSET('Tabla II.'!$H$1,0,I72-1)</f>
        <v>01</v>
      </c>
      <c r="H72" s="409">
        <f>+H65+1</f>
        <v>11</v>
      </c>
      <c r="I72" s="409">
        <v>1</v>
      </c>
      <c r="J72" s="409" t="str">
        <f ca="1">+'Tabla II.'!$C$9</f>
        <v>Tabla II.</v>
      </c>
      <c r="K72" s="409" t="s">
        <v>2266</v>
      </c>
      <c r="L72" s="406">
        <f>+L65+1</f>
        <v>11</v>
      </c>
    </row>
    <row r="73" spans="1:12" s="410" customFormat="1">
      <c r="A73" s="406" t="s">
        <v>2944</v>
      </c>
      <c r="B73" s="406" t="str">
        <f t="shared" ca="1" si="30"/>
        <v>202503</v>
      </c>
      <c r="C73" s="406" t="str">
        <f t="shared" ca="1" si="31"/>
        <v>v1</v>
      </c>
      <c r="D73" s="407" t="str">
        <f t="shared" ref="D73:D78" ca="1" si="36">+D72</f>
        <v>01.04.00.01.</v>
      </c>
      <c r="E73" s="406">
        <f t="shared" si="33"/>
        <v>0</v>
      </c>
      <c r="F73" s="408">
        <f ca="1">OFFSET('Tabla II.'!$H$13,H73-1,I73-1)</f>
        <v>0</v>
      </c>
      <c r="G73" s="406" t="str">
        <f ca="1">OFFSET('Tabla II.'!$H$1,0,I73-1)</f>
        <v>02</v>
      </c>
      <c r="H73" s="409">
        <f t="shared" ref="H73:H78" si="37">+H72</f>
        <v>11</v>
      </c>
      <c r="I73" s="409">
        <f t="shared" ref="I73:I78" si="38">+I72+1</f>
        <v>2</v>
      </c>
      <c r="J73" s="409" t="str">
        <f ca="1">+'Tabla II.'!$C$9</f>
        <v>Tabla II.</v>
      </c>
      <c r="K73" s="409" t="s">
        <v>2266</v>
      </c>
      <c r="L73" s="406"/>
    </row>
    <row r="74" spans="1:12" s="410" customFormat="1">
      <c r="A74" s="406" t="s">
        <v>2944</v>
      </c>
      <c r="B74" s="406" t="str">
        <f t="shared" ca="1" si="30"/>
        <v>202503</v>
      </c>
      <c r="C74" s="406" t="str">
        <f t="shared" ca="1" si="31"/>
        <v>v1</v>
      </c>
      <c r="D74" s="407" t="str">
        <f t="shared" ca="1" si="36"/>
        <v>01.04.00.01.</v>
      </c>
      <c r="E74" s="406">
        <f t="shared" si="33"/>
        <v>0</v>
      </c>
      <c r="F74" s="408">
        <f ca="1">OFFSET('Tabla II.'!$H$13,H74-1,I74-1)</f>
        <v>0</v>
      </c>
      <c r="G74" s="406" t="str">
        <f ca="1">OFFSET('Tabla II.'!$H$1,0,I74-1)</f>
        <v>03</v>
      </c>
      <c r="H74" s="409">
        <f t="shared" si="37"/>
        <v>11</v>
      </c>
      <c r="I74" s="409">
        <f t="shared" si="38"/>
        <v>3</v>
      </c>
      <c r="J74" s="409" t="str">
        <f ca="1">+'Tabla II.'!$C$9</f>
        <v>Tabla II.</v>
      </c>
      <c r="K74" s="409" t="s">
        <v>2266</v>
      </c>
      <c r="L74" s="406"/>
    </row>
    <row r="75" spans="1:12" s="410" customFormat="1">
      <c r="A75" s="406" t="s">
        <v>2944</v>
      </c>
      <c r="B75" s="406" t="str">
        <f t="shared" ca="1" si="30"/>
        <v>202503</v>
      </c>
      <c r="C75" s="406" t="str">
        <f t="shared" ca="1" si="31"/>
        <v>v1</v>
      </c>
      <c r="D75" s="407" t="str">
        <f t="shared" ca="1" si="36"/>
        <v>01.04.00.01.</v>
      </c>
      <c r="E75" s="406">
        <f t="shared" si="33"/>
        <v>0</v>
      </c>
      <c r="F75" s="408">
        <f ca="1">OFFSET('Tabla II.'!$H$13,H75-1,I75-1)</f>
        <v>0</v>
      </c>
      <c r="G75" s="406" t="str">
        <f ca="1">OFFSET('Tabla II.'!$H$1,0,I75-1)</f>
        <v>04</v>
      </c>
      <c r="H75" s="409">
        <f t="shared" si="37"/>
        <v>11</v>
      </c>
      <c r="I75" s="409">
        <f t="shared" si="38"/>
        <v>4</v>
      </c>
      <c r="J75" s="409" t="str">
        <f ca="1">+'Tabla II.'!$C$9</f>
        <v>Tabla II.</v>
      </c>
      <c r="K75" s="409" t="s">
        <v>2266</v>
      </c>
      <c r="L75" s="406"/>
    </row>
    <row r="76" spans="1:12" s="410" customFormat="1">
      <c r="A76" s="406" t="s">
        <v>2944</v>
      </c>
      <c r="B76" s="406" t="str">
        <f t="shared" ca="1" si="30"/>
        <v>202503</v>
      </c>
      <c r="C76" s="406" t="str">
        <f t="shared" ca="1" si="31"/>
        <v>v1</v>
      </c>
      <c r="D76" s="407" t="str">
        <f t="shared" ca="1" si="36"/>
        <v>01.04.00.01.</v>
      </c>
      <c r="E76" s="406">
        <f t="shared" si="33"/>
        <v>0</v>
      </c>
      <c r="F76" s="408">
        <f ca="1">OFFSET('Tabla II.'!$H$13,H76-1,I76-1)</f>
        <v>0</v>
      </c>
      <c r="G76" s="406" t="str">
        <f ca="1">OFFSET('Tabla II.'!$H$1,0,I76-1)</f>
        <v>05</v>
      </c>
      <c r="H76" s="409">
        <f t="shared" si="37"/>
        <v>11</v>
      </c>
      <c r="I76" s="409">
        <f t="shared" si="38"/>
        <v>5</v>
      </c>
      <c r="J76" s="409" t="str">
        <f ca="1">+'Tabla II.'!$C$9</f>
        <v>Tabla II.</v>
      </c>
      <c r="K76" s="409" t="s">
        <v>2266</v>
      </c>
      <c r="L76" s="406"/>
    </row>
    <row r="77" spans="1:12" s="410" customFormat="1">
      <c r="A77" s="406" t="s">
        <v>2944</v>
      </c>
      <c r="B77" s="406" t="str">
        <f t="shared" ca="1" si="30"/>
        <v>202503</v>
      </c>
      <c r="C77" s="406" t="str">
        <f t="shared" ca="1" si="31"/>
        <v>v1</v>
      </c>
      <c r="D77" s="407" t="str">
        <f t="shared" ca="1" si="36"/>
        <v>01.04.00.01.</v>
      </c>
      <c r="E77" s="406">
        <f t="shared" si="33"/>
        <v>0</v>
      </c>
      <c r="F77" s="408">
        <f ca="1">OFFSET('Tabla II.'!$H$13,H77-1,I77-1)</f>
        <v>0</v>
      </c>
      <c r="G77" s="406" t="str">
        <f ca="1">OFFSET('Tabla II.'!$H$1,0,I77-1)</f>
        <v>06</v>
      </c>
      <c r="H77" s="409">
        <f t="shared" si="37"/>
        <v>11</v>
      </c>
      <c r="I77" s="409">
        <f t="shared" si="38"/>
        <v>6</v>
      </c>
      <c r="J77" s="409" t="str">
        <f ca="1">+'Tabla II.'!$C$9</f>
        <v>Tabla II.</v>
      </c>
      <c r="K77" s="409" t="s">
        <v>2266</v>
      </c>
      <c r="L77" s="406"/>
    </row>
    <row r="78" spans="1:12" s="410" customFormat="1">
      <c r="A78" s="406" t="s">
        <v>2944</v>
      </c>
      <c r="B78" s="406" t="str">
        <f t="shared" ca="1" si="30"/>
        <v>202503</v>
      </c>
      <c r="C78" s="406" t="str">
        <f t="shared" ca="1" si="31"/>
        <v>v1</v>
      </c>
      <c r="D78" s="407" t="str">
        <f t="shared" ca="1" si="36"/>
        <v>01.04.00.01.</v>
      </c>
      <c r="E78" s="406">
        <f t="shared" si="33"/>
        <v>0</v>
      </c>
      <c r="F78" s="408">
        <f ca="1">OFFSET('Tabla II.'!$H$13,H78-1,I78-1)</f>
        <v>0</v>
      </c>
      <c r="G78" s="406" t="str">
        <f ca="1">OFFSET('Tabla II.'!$H$1,0,I78-1)</f>
        <v>07</v>
      </c>
      <c r="H78" s="409">
        <f t="shared" si="37"/>
        <v>11</v>
      </c>
      <c r="I78" s="409">
        <f t="shared" si="38"/>
        <v>7</v>
      </c>
      <c r="J78" s="409" t="str">
        <f ca="1">+'Tabla II.'!$C$9</f>
        <v>Tabla II.</v>
      </c>
      <c r="K78" s="409" t="s">
        <v>2266</v>
      </c>
      <c r="L78" s="406"/>
    </row>
    <row r="79" spans="1:12" s="103" customFormat="1">
      <c r="A79" s="401" t="s">
        <v>2944</v>
      </c>
      <c r="B79" s="401" t="str">
        <f t="shared" ca="1" si="30"/>
        <v>202502</v>
      </c>
      <c r="C79" s="401" t="str">
        <f t="shared" ca="1" si="31"/>
        <v>v2</v>
      </c>
      <c r="D79" s="404" t="str">
        <f ca="1">OFFSET('Tabla II.'!$F$13,H79-1,0)</f>
        <v>01.04.00.02.</v>
      </c>
      <c r="E79" s="401">
        <f t="shared" si="33"/>
        <v>0</v>
      </c>
      <c r="F79" s="402">
        <f ca="1">OFFSET('Tabla II.'!$H$13,H79-1,I79-1)</f>
        <v>0</v>
      </c>
      <c r="G79" s="401" t="str">
        <f ca="1">OFFSET('Tabla II.'!$H$1,0,I79-1)</f>
        <v>01</v>
      </c>
      <c r="H79" s="403">
        <f>+H72+1</f>
        <v>12</v>
      </c>
      <c r="I79" s="403">
        <v>1</v>
      </c>
      <c r="J79" s="403" t="str">
        <f ca="1">+'Tabla II.'!$C$9</f>
        <v>Tabla II.</v>
      </c>
      <c r="K79" s="403" t="s">
        <v>2266</v>
      </c>
      <c r="L79" s="401">
        <f>+L72+1</f>
        <v>12</v>
      </c>
    </row>
    <row r="80" spans="1:12" s="103" customFormat="1">
      <c r="A80" s="401" t="s">
        <v>2944</v>
      </c>
      <c r="B80" s="401" t="str">
        <f t="shared" ca="1" si="30"/>
        <v>202503</v>
      </c>
      <c r="C80" s="401" t="str">
        <f t="shared" ca="1" si="31"/>
        <v>v1</v>
      </c>
      <c r="D80" s="404" t="str">
        <f t="shared" ref="D80:D85" ca="1" si="39">+D79</f>
        <v>01.04.00.02.</v>
      </c>
      <c r="E80" s="401">
        <f t="shared" si="33"/>
        <v>0</v>
      </c>
      <c r="F80" s="402">
        <f ca="1">OFFSET('Tabla II.'!$H$13,H80-1,I80-1)</f>
        <v>0</v>
      </c>
      <c r="G80" s="401" t="str">
        <f ca="1">OFFSET('Tabla II.'!$H$1,0,I80-1)</f>
        <v>02</v>
      </c>
      <c r="H80" s="403">
        <f t="shared" ref="H80:H85" si="40">+H79</f>
        <v>12</v>
      </c>
      <c r="I80" s="403">
        <f t="shared" ref="I80:I85" si="41">+I79+1</f>
        <v>2</v>
      </c>
      <c r="J80" s="403" t="str">
        <f ca="1">+'Tabla II.'!$C$9</f>
        <v>Tabla II.</v>
      </c>
      <c r="K80" s="403" t="s">
        <v>2266</v>
      </c>
      <c r="L80" s="401"/>
    </row>
    <row r="81" spans="1:12" s="103" customFormat="1">
      <c r="A81" s="401" t="s">
        <v>2944</v>
      </c>
      <c r="B81" s="401" t="str">
        <f t="shared" ca="1" si="30"/>
        <v>202503</v>
      </c>
      <c r="C81" s="401" t="str">
        <f t="shared" ca="1" si="31"/>
        <v>v1</v>
      </c>
      <c r="D81" s="404" t="str">
        <f t="shared" ca="1" si="39"/>
        <v>01.04.00.02.</v>
      </c>
      <c r="E81" s="401">
        <f t="shared" si="33"/>
        <v>0</v>
      </c>
      <c r="F81" s="402">
        <f ca="1">OFFSET('Tabla II.'!$H$13,H81-1,I81-1)</f>
        <v>0</v>
      </c>
      <c r="G81" s="401" t="str">
        <f ca="1">OFFSET('Tabla II.'!$H$1,0,I81-1)</f>
        <v>03</v>
      </c>
      <c r="H81" s="403">
        <f t="shared" si="40"/>
        <v>12</v>
      </c>
      <c r="I81" s="403">
        <f t="shared" si="41"/>
        <v>3</v>
      </c>
      <c r="J81" s="403" t="str">
        <f ca="1">+'Tabla II.'!$C$9</f>
        <v>Tabla II.</v>
      </c>
      <c r="K81" s="403" t="s">
        <v>2266</v>
      </c>
      <c r="L81" s="401"/>
    </row>
    <row r="82" spans="1:12" s="103" customFormat="1">
      <c r="A82" s="401" t="s">
        <v>2944</v>
      </c>
      <c r="B82" s="401" t="str">
        <f t="shared" ca="1" si="30"/>
        <v>202503</v>
      </c>
      <c r="C82" s="401" t="str">
        <f t="shared" ca="1" si="31"/>
        <v>v1</v>
      </c>
      <c r="D82" s="404" t="str">
        <f t="shared" ca="1" si="39"/>
        <v>01.04.00.02.</v>
      </c>
      <c r="E82" s="401">
        <f t="shared" si="33"/>
        <v>0</v>
      </c>
      <c r="F82" s="402">
        <f ca="1">OFFSET('Tabla II.'!$H$13,H82-1,I82-1)</f>
        <v>0</v>
      </c>
      <c r="G82" s="401" t="str">
        <f ca="1">OFFSET('Tabla II.'!$H$1,0,I82-1)</f>
        <v>04</v>
      </c>
      <c r="H82" s="403">
        <f t="shared" si="40"/>
        <v>12</v>
      </c>
      <c r="I82" s="403">
        <f t="shared" si="41"/>
        <v>4</v>
      </c>
      <c r="J82" s="403" t="str">
        <f ca="1">+'Tabla II.'!$C$9</f>
        <v>Tabla II.</v>
      </c>
      <c r="K82" s="403" t="s">
        <v>2266</v>
      </c>
      <c r="L82" s="401"/>
    </row>
    <row r="83" spans="1:12" s="103" customFormat="1">
      <c r="A83" s="401" t="s">
        <v>2944</v>
      </c>
      <c r="B83" s="401" t="str">
        <f t="shared" ca="1" si="30"/>
        <v>202503</v>
      </c>
      <c r="C83" s="401" t="str">
        <f t="shared" ca="1" si="31"/>
        <v>v1</v>
      </c>
      <c r="D83" s="404" t="str">
        <f t="shared" ca="1" si="39"/>
        <v>01.04.00.02.</v>
      </c>
      <c r="E83" s="401">
        <f t="shared" si="33"/>
        <v>0</v>
      </c>
      <c r="F83" s="402">
        <f ca="1">OFFSET('Tabla II.'!$H$13,H83-1,I83-1)</f>
        <v>0</v>
      </c>
      <c r="G83" s="401" t="str">
        <f ca="1">OFFSET('Tabla II.'!$H$1,0,I83-1)</f>
        <v>05</v>
      </c>
      <c r="H83" s="403">
        <f t="shared" si="40"/>
        <v>12</v>
      </c>
      <c r="I83" s="403">
        <f t="shared" si="41"/>
        <v>5</v>
      </c>
      <c r="J83" s="403" t="str">
        <f ca="1">+'Tabla II.'!$C$9</f>
        <v>Tabla II.</v>
      </c>
      <c r="K83" s="403" t="s">
        <v>2266</v>
      </c>
      <c r="L83" s="401"/>
    </row>
    <row r="84" spans="1:12" s="103" customFormat="1">
      <c r="A84" s="401" t="s">
        <v>2944</v>
      </c>
      <c r="B84" s="401" t="str">
        <f t="shared" ca="1" si="30"/>
        <v>202503</v>
      </c>
      <c r="C84" s="401" t="str">
        <f t="shared" ca="1" si="31"/>
        <v>v1</v>
      </c>
      <c r="D84" s="404" t="str">
        <f t="shared" ca="1" si="39"/>
        <v>01.04.00.02.</v>
      </c>
      <c r="E84" s="401">
        <f t="shared" si="33"/>
        <v>0</v>
      </c>
      <c r="F84" s="402">
        <f ca="1">OFFSET('Tabla II.'!$H$13,H84-1,I84-1)</f>
        <v>0</v>
      </c>
      <c r="G84" s="401" t="str">
        <f ca="1">OFFSET('Tabla II.'!$H$1,0,I84-1)</f>
        <v>06</v>
      </c>
      <c r="H84" s="403">
        <f t="shared" si="40"/>
        <v>12</v>
      </c>
      <c r="I84" s="403">
        <f t="shared" si="41"/>
        <v>6</v>
      </c>
      <c r="J84" s="403" t="str">
        <f ca="1">+'Tabla II.'!$C$9</f>
        <v>Tabla II.</v>
      </c>
      <c r="K84" s="403" t="s">
        <v>2266</v>
      </c>
      <c r="L84" s="401"/>
    </row>
    <row r="85" spans="1:12" s="103" customFormat="1">
      <c r="A85" s="401" t="s">
        <v>2944</v>
      </c>
      <c r="B85" s="401" t="str">
        <f t="shared" ca="1" si="30"/>
        <v>202503</v>
      </c>
      <c r="C85" s="401" t="str">
        <f t="shared" ca="1" si="31"/>
        <v>v1</v>
      </c>
      <c r="D85" s="404" t="str">
        <f t="shared" ca="1" si="39"/>
        <v>01.04.00.02.</v>
      </c>
      <c r="E85" s="401">
        <f t="shared" si="33"/>
        <v>0</v>
      </c>
      <c r="F85" s="402">
        <f ca="1">OFFSET('Tabla II.'!$H$13,H85-1,I85-1)</f>
        <v>0</v>
      </c>
      <c r="G85" s="401" t="str">
        <f ca="1">OFFSET('Tabla II.'!$H$1,0,I85-1)</f>
        <v>07</v>
      </c>
      <c r="H85" s="403">
        <f t="shared" si="40"/>
        <v>12</v>
      </c>
      <c r="I85" s="403">
        <f t="shared" si="41"/>
        <v>7</v>
      </c>
      <c r="J85" s="403" t="str">
        <f ca="1">+'Tabla II.'!$C$9</f>
        <v>Tabla II.</v>
      </c>
      <c r="K85" s="403" t="s">
        <v>2266</v>
      </c>
      <c r="L85" s="401"/>
    </row>
    <row r="86" spans="1:12" s="410" customFormat="1">
      <c r="A86" s="406" t="s">
        <v>2944</v>
      </c>
      <c r="B86" s="406" t="str">
        <f t="shared" ca="1" si="30"/>
        <v>202502</v>
      </c>
      <c r="C86" s="406" t="str">
        <f t="shared" ca="1" si="31"/>
        <v>v2</v>
      </c>
      <c r="D86" s="407" t="str">
        <f ca="1">OFFSET('Tabla II.'!$F$13,H86-1,0)</f>
        <v>01.99.</v>
      </c>
      <c r="E86" s="406">
        <f t="shared" si="33"/>
        <v>0</v>
      </c>
      <c r="F86" s="408">
        <f ca="1">OFFSET('Tabla II.'!$H$13,H86-1,I86-1)</f>
        <v>0</v>
      </c>
      <c r="G86" s="406" t="str">
        <f ca="1">OFFSET('Tabla II.'!$H$1,0,I86-1)</f>
        <v>01</v>
      </c>
      <c r="H86" s="409">
        <f>+H79+1</f>
        <v>13</v>
      </c>
      <c r="I86" s="409">
        <v>1</v>
      </c>
      <c r="J86" s="409" t="str">
        <f ca="1">+'Tabla II.'!$C$9</f>
        <v>Tabla II.</v>
      </c>
      <c r="K86" s="409" t="s">
        <v>2266</v>
      </c>
      <c r="L86" s="406">
        <f>+L79+1</f>
        <v>13</v>
      </c>
    </row>
    <row r="87" spans="1:12" s="410" customFormat="1">
      <c r="A87" s="406" t="s">
        <v>2944</v>
      </c>
      <c r="B87" s="406" t="str">
        <f t="shared" ca="1" si="30"/>
        <v>202503</v>
      </c>
      <c r="C87" s="406" t="str">
        <f t="shared" ca="1" si="31"/>
        <v>v1</v>
      </c>
      <c r="D87" s="407" t="str">
        <f t="shared" ref="D87:D92" ca="1" si="42">+D86</f>
        <v>01.99.</v>
      </c>
      <c r="E87" s="406">
        <f t="shared" si="33"/>
        <v>0</v>
      </c>
      <c r="F87" s="408">
        <f ca="1">OFFSET('Tabla II.'!$H$13,H87-1,I87-1)</f>
        <v>0</v>
      </c>
      <c r="G87" s="406" t="str">
        <f ca="1">OFFSET('Tabla II.'!$H$1,0,I87-1)</f>
        <v>02</v>
      </c>
      <c r="H87" s="409">
        <f t="shared" ref="H87:H92" si="43">+H86</f>
        <v>13</v>
      </c>
      <c r="I87" s="409">
        <f t="shared" ref="I87:I92" si="44">+I86+1</f>
        <v>2</v>
      </c>
      <c r="J87" s="409" t="str">
        <f ca="1">+'Tabla II.'!$C$9</f>
        <v>Tabla II.</v>
      </c>
      <c r="K87" s="409" t="s">
        <v>2266</v>
      </c>
      <c r="L87" s="406"/>
    </row>
    <row r="88" spans="1:12" s="410" customFormat="1">
      <c r="A88" s="406" t="s">
        <v>2944</v>
      </c>
      <c r="B88" s="406" t="str">
        <f t="shared" ca="1" si="30"/>
        <v>202503</v>
      </c>
      <c r="C88" s="406" t="str">
        <f t="shared" ca="1" si="31"/>
        <v>v1</v>
      </c>
      <c r="D88" s="407" t="str">
        <f t="shared" ca="1" si="42"/>
        <v>01.99.</v>
      </c>
      <c r="E88" s="406">
        <f t="shared" si="33"/>
        <v>0</v>
      </c>
      <c r="F88" s="408">
        <f ca="1">OFFSET('Tabla II.'!$H$13,H88-1,I88-1)</f>
        <v>0</v>
      </c>
      <c r="G88" s="406" t="str">
        <f ca="1">OFFSET('Tabla II.'!$H$1,0,I88-1)</f>
        <v>03</v>
      </c>
      <c r="H88" s="409">
        <f t="shared" si="43"/>
        <v>13</v>
      </c>
      <c r="I88" s="409">
        <f t="shared" si="44"/>
        <v>3</v>
      </c>
      <c r="J88" s="409" t="str">
        <f ca="1">+'Tabla II.'!$C$9</f>
        <v>Tabla II.</v>
      </c>
      <c r="K88" s="409" t="s">
        <v>2266</v>
      </c>
      <c r="L88" s="406"/>
    </row>
    <row r="89" spans="1:12" s="410" customFormat="1">
      <c r="A89" s="406" t="s">
        <v>2944</v>
      </c>
      <c r="B89" s="406" t="str">
        <f t="shared" ca="1" si="30"/>
        <v>202503</v>
      </c>
      <c r="C89" s="406" t="str">
        <f t="shared" ca="1" si="31"/>
        <v>v1</v>
      </c>
      <c r="D89" s="407" t="str">
        <f t="shared" ca="1" si="42"/>
        <v>01.99.</v>
      </c>
      <c r="E89" s="406">
        <f t="shared" si="33"/>
        <v>0</v>
      </c>
      <c r="F89" s="408">
        <f ca="1">OFFSET('Tabla II.'!$H$13,H89-1,I89-1)</f>
        <v>0</v>
      </c>
      <c r="G89" s="406" t="str">
        <f ca="1">OFFSET('Tabla II.'!$H$1,0,I89-1)</f>
        <v>04</v>
      </c>
      <c r="H89" s="409">
        <f t="shared" si="43"/>
        <v>13</v>
      </c>
      <c r="I89" s="409">
        <f t="shared" si="44"/>
        <v>4</v>
      </c>
      <c r="J89" s="409" t="str">
        <f ca="1">+'Tabla II.'!$C$9</f>
        <v>Tabla II.</v>
      </c>
      <c r="K89" s="409" t="s">
        <v>2266</v>
      </c>
      <c r="L89" s="406"/>
    </row>
    <row r="90" spans="1:12" s="410" customFormat="1">
      <c r="A90" s="406" t="s">
        <v>2944</v>
      </c>
      <c r="B90" s="406" t="str">
        <f t="shared" ca="1" si="30"/>
        <v>202503</v>
      </c>
      <c r="C90" s="406" t="str">
        <f t="shared" ca="1" si="31"/>
        <v>v1</v>
      </c>
      <c r="D90" s="407" t="str">
        <f t="shared" ca="1" si="42"/>
        <v>01.99.</v>
      </c>
      <c r="E90" s="406">
        <f t="shared" si="33"/>
        <v>0</v>
      </c>
      <c r="F90" s="408">
        <f ca="1">OFFSET('Tabla II.'!$H$13,H90-1,I90-1)</f>
        <v>0</v>
      </c>
      <c r="G90" s="406" t="str">
        <f ca="1">OFFSET('Tabla II.'!$H$1,0,I90-1)</f>
        <v>05</v>
      </c>
      <c r="H90" s="409">
        <f t="shared" si="43"/>
        <v>13</v>
      </c>
      <c r="I90" s="409">
        <f t="shared" si="44"/>
        <v>5</v>
      </c>
      <c r="J90" s="409" t="str">
        <f ca="1">+'Tabla II.'!$C$9</f>
        <v>Tabla II.</v>
      </c>
      <c r="K90" s="409" t="s">
        <v>2266</v>
      </c>
      <c r="L90" s="406"/>
    </row>
    <row r="91" spans="1:12" s="410" customFormat="1">
      <c r="A91" s="406" t="s">
        <v>2944</v>
      </c>
      <c r="B91" s="406" t="str">
        <f t="shared" ca="1" si="30"/>
        <v>202503</v>
      </c>
      <c r="C91" s="406" t="str">
        <f t="shared" ca="1" si="31"/>
        <v>v1</v>
      </c>
      <c r="D91" s="407" t="str">
        <f t="shared" ca="1" si="42"/>
        <v>01.99.</v>
      </c>
      <c r="E91" s="406">
        <f t="shared" si="33"/>
        <v>0</v>
      </c>
      <c r="F91" s="408">
        <f ca="1">OFFSET('Tabla II.'!$H$13,H91-1,I91-1)</f>
        <v>0</v>
      </c>
      <c r="G91" s="406" t="str">
        <f ca="1">OFFSET('Tabla II.'!$H$1,0,I91-1)</f>
        <v>06</v>
      </c>
      <c r="H91" s="409">
        <f t="shared" si="43"/>
        <v>13</v>
      </c>
      <c r="I91" s="409">
        <f t="shared" si="44"/>
        <v>6</v>
      </c>
      <c r="J91" s="409" t="str">
        <f ca="1">+'Tabla II.'!$C$9</f>
        <v>Tabla II.</v>
      </c>
      <c r="K91" s="409" t="s">
        <v>2266</v>
      </c>
      <c r="L91" s="406"/>
    </row>
    <row r="92" spans="1:12" s="410" customFormat="1">
      <c r="A92" s="406" t="s">
        <v>2944</v>
      </c>
      <c r="B92" s="406" t="str">
        <f t="shared" ca="1" si="30"/>
        <v>202503</v>
      </c>
      <c r="C92" s="406" t="str">
        <f t="shared" ca="1" si="31"/>
        <v>v1</v>
      </c>
      <c r="D92" s="407" t="str">
        <f t="shared" ca="1" si="42"/>
        <v>01.99.</v>
      </c>
      <c r="E92" s="406">
        <f t="shared" si="33"/>
        <v>0</v>
      </c>
      <c r="F92" s="408">
        <f ca="1">OFFSET('Tabla II.'!$H$13,H92-1,I92-1)</f>
        <v>0</v>
      </c>
      <c r="G92" s="406" t="str">
        <f ca="1">OFFSET('Tabla II.'!$H$1,0,I92-1)</f>
        <v>07</v>
      </c>
      <c r="H92" s="409">
        <f t="shared" si="43"/>
        <v>13</v>
      </c>
      <c r="I92" s="409">
        <f t="shared" si="44"/>
        <v>7</v>
      </c>
      <c r="J92" s="409" t="str">
        <f ca="1">+'Tabla II.'!$C$9</f>
        <v>Tabla II.</v>
      </c>
      <c r="K92" s="409" t="s">
        <v>2266</v>
      </c>
      <c r="L92" s="406"/>
    </row>
    <row r="93" spans="1:12" s="103" customFormat="1">
      <c r="A93" s="401" t="s">
        <v>2944</v>
      </c>
      <c r="B93" s="401" t="str">
        <f t="shared" ca="1" si="30"/>
        <v>202502</v>
      </c>
      <c r="C93" s="401" t="str">
        <f t="shared" ca="1" si="31"/>
        <v>v2</v>
      </c>
      <c r="D93" s="404" t="str">
        <f ca="1">OFFSET('Tabla II.'!$F$44,H93-1,0)</f>
        <v>02.01.</v>
      </c>
      <c r="E93" s="401">
        <f t="shared" si="33"/>
        <v>0</v>
      </c>
      <c r="F93" s="402">
        <f ca="1">OFFSET('Tabla II.'!$H$44,H93-1,I93-1)</f>
        <v>0</v>
      </c>
      <c r="G93" s="401" t="str">
        <f ca="1">OFFSET('Tabla II.'!$H$1,0,I93-1)</f>
        <v>01</v>
      </c>
      <c r="H93" s="403">
        <v>1</v>
      </c>
      <c r="I93" s="403">
        <v>1</v>
      </c>
      <c r="J93" s="403" t="str">
        <f ca="1">+'Tabla II.'!$C$9</f>
        <v>Tabla II.</v>
      </c>
      <c r="K93" s="403" t="s">
        <v>2267</v>
      </c>
      <c r="L93" s="401">
        <v>1</v>
      </c>
    </row>
    <row r="94" spans="1:12" s="103" customFormat="1">
      <c r="A94" s="401" t="s">
        <v>2944</v>
      </c>
      <c r="B94" s="401" t="str">
        <f t="shared" ca="1" si="30"/>
        <v>202503</v>
      </c>
      <c r="C94" s="401" t="str">
        <f t="shared" ca="1" si="31"/>
        <v>v1</v>
      </c>
      <c r="D94" s="404" t="str">
        <f t="shared" ref="D94:D99" ca="1" si="45">+D93</f>
        <v>02.01.</v>
      </c>
      <c r="E94" s="401">
        <f t="shared" si="33"/>
        <v>0</v>
      </c>
      <c r="F94" s="402">
        <f ca="1">OFFSET('Tabla II.'!$H$44,H94-1,I94-1)</f>
        <v>0</v>
      </c>
      <c r="G94" s="401" t="str">
        <f ca="1">OFFSET('Tabla II.'!$H$1,0,I94-1)</f>
        <v>02</v>
      </c>
      <c r="H94" s="403">
        <f t="shared" ref="H94:H99" si="46">+H93</f>
        <v>1</v>
      </c>
      <c r="I94" s="403">
        <f t="shared" ref="I94:I99" si="47">+I93+1</f>
        <v>2</v>
      </c>
      <c r="J94" s="403" t="str">
        <f ca="1">+'Tabla II.'!$C$9</f>
        <v>Tabla II.</v>
      </c>
      <c r="K94" s="403" t="str">
        <f>+K93</f>
        <v>B</v>
      </c>
      <c r="L94" s="401"/>
    </row>
    <row r="95" spans="1:12" s="103" customFormat="1">
      <c r="A95" s="401" t="s">
        <v>2944</v>
      </c>
      <c r="B95" s="401" t="str">
        <f t="shared" ca="1" si="30"/>
        <v>202503</v>
      </c>
      <c r="C95" s="401" t="str">
        <f t="shared" ca="1" si="31"/>
        <v>v1</v>
      </c>
      <c r="D95" s="404" t="str">
        <f t="shared" ca="1" si="45"/>
        <v>02.01.</v>
      </c>
      <c r="E95" s="401">
        <f t="shared" si="33"/>
        <v>0</v>
      </c>
      <c r="F95" s="402">
        <f ca="1">OFFSET('Tabla II.'!$H$44,H95-1,I95-1)</f>
        <v>0</v>
      </c>
      <c r="G95" s="401" t="str">
        <f ca="1">OFFSET('Tabla II.'!$H$1,0,I95-1)</f>
        <v>03</v>
      </c>
      <c r="H95" s="403">
        <f t="shared" si="46"/>
        <v>1</v>
      </c>
      <c r="I95" s="403">
        <f t="shared" si="47"/>
        <v>3</v>
      </c>
      <c r="J95" s="403" t="str">
        <f ca="1">+'Tabla II.'!$C$9</f>
        <v>Tabla II.</v>
      </c>
      <c r="K95" s="403" t="str">
        <f t="shared" ref="K95:K106" si="48">+K94</f>
        <v>B</v>
      </c>
      <c r="L95" s="401"/>
    </row>
    <row r="96" spans="1:12" s="103" customFormat="1">
      <c r="A96" s="401" t="s">
        <v>2944</v>
      </c>
      <c r="B96" s="401" t="str">
        <f t="shared" ca="1" si="30"/>
        <v>202503</v>
      </c>
      <c r="C96" s="401" t="str">
        <f t="shared" ca="1" si="31"/>
        <v>v1</v>
      </c>
      <c r="D96" s="404" t="str">
        <f t="shared" ca="1" si="45"/>
        <v>02.01.</v>
      </c>
      <c r="E96" s="401">
        <f t="shared" si="33"/>
        <v>0</v>
      </c>
      <c r="F96" s="402">
        <f ca="1">OFFSET('Tabla II.'!$H$44,H96-1,I96-1)</f>
        <v>0</v>
      </c>
      <c r="G96" s="401" t="str">
        <f ca="1">OFFSET('Tabla II.'!$H$1,0,I96-1)</f>
        <v>04</v>
      </c>
      <c r="H96" s="403">
        <f t="shared" si="46"/>
        <v>1</v>
      </c>
      <c r="I96" s="403">
        <f t="shared" si="47"/>
        <v>4</v>
      </c>
      <c r="J96" s="403" t="str">
        <f ca="1">+'Tabla II.'!$C$9</f>
        <v>Tabla II.</v>
      </c>
      <c r="K96" s="403" t="str">
        <f t="shared" si="48"/>
        <v>B</v>
      </c>
      <c r="L96" s="401"/>
    </row>
    <row r="97" spans="1:12" s="103" customFormat="1">
      <c r="A97" s="401" t="s">
        <v>2944</v>
      </c>
      <c r="B97" s="401" t="str">
        <f t="shared" ca="1" si="30"/>
        <v>202503</v>
      </c>
      <c r="C97" s="401" t="str">
        <f t="shared" ca="1" si="31"/>
        <v>v1</v>
      </c>
      <c r="D97" s="404" t="str">
        <f t="shared" ca="1" si="45"/>
        <v>02.01.</v>
      </c>
      <c r="E97" s="401">
        <f t="shared" si="33"/>
        <v>0</v>
      </c>
      <c r="F97" s="402">
        <f ca="1">OFFSET('Tabla II.'!$H$44,H97-1,I97-1)</f>
        <v>0</v>
      </c>
      <c r="G97" s="401" t="str">
        <f ca="1">OFFSET('Tabla II.'!$H$1,0,I97-1)</f>
        <v>05</v>
      </c>
      <c r="H97" s="403">
        <f t="shared" si="46"/>
        <v>1</v>
      </c>
      <c r="I97" s="403">
        <f t="shared" si="47"/>
        <v>5</v>
      </c>
      <c r="J97" s="403" t="str">
        <f ca="1">+'Tabla II.'!$C$9</f>
        <v>Tabla II.</v>
      </c>
      <c r="K97" s="403" t="str">
        <f t="shared" si="48"/>
        <v>B</v>
      </c>
      <c r="L97" s="401"/>
    </row>
    <row r="98" spans="1:12" s="103" customFormat="1">
      <c r="A98" s="401" t="s">
        <v>2944</v>
      </c>
      <c r="B98" s="401" t="str">
        <f t="shared" ca="1" si="30"/>
        <v>202503</v>
      </c>
      <c r="C98" s="401" t="str">
        <f t="shared" ca="1" si="31"/>
        <v>v1</v>
      </c>
      <c r="D98" s="404" t="str">
        <f t="shared" ca="1" si="45"/>
        <v>02.01.</v>
      </c>
      <c r="E98" s="401">
        <f t="shared" si="33"/>
        <v>0</v>
      </c>
      <c r="F98" s="402">
        <f ca="1">OFFSET('Tabla II.'!$H$44,H98-1,I98-1)</f>
        <v>0</v>
      </c>
      <c r="G98" s="401" t="str">
        <f ca="1">OFFSET('Tabla II.'!$H$1,0,I98-1)</f>
        <v>06</v>
      </c>
      <c r="H98" s="403">
        <f t="shared" si="46"/>
        <v>1</v>
      </c>
      <c r="I98" s="403">
        <f t="shared" si="47"/>
        <v>6</v>
      </c>
      <c r="J98" s="403" t="str">
        <f ca="1">+'Tabla II.'!$C$9</f>
        <v>Tabla II.</v>
      </c>
      <c r="K98" s="403" t="str">
        <f t="shared" si="48"/>
        <v>B</v>
      </c>
      <c r="L98" s="401"/>
    </row>
    <row r="99" spans="1:12" s="103" customFormat="1">
      <c r="A99" s="401" t="s">
        <v>2944</v>
      </c>
      <c r="B99" s="401" t="str">
        <f t="shared" ca="1" si="30"/>
        <v>202503</v>
      </c>
      <c r="C99" s="401" t="str">
        <f t="shared" ca="1" si="31"/>
        <v>v1</v>
      </c>
      <c r="D99" s="404" t="str">
        <f t="shared" ca="1" si="45"/>
        <v>02.01.</v>
      </c>
      <c r="E99" s="401">
        <f t="shared" si="33"/>
        <v>0</v>
      </c>
      <c r="F99" s="402">
        <f ca="1">OFFSET('Tabla II.'!$H$44,H99-1,I99-1)</f>
        <v>0</v>
      </c>
      <c r="G99" s="401" t="str">
        <f ca="1">OFFSET('Tabla II.'!$H$1,0,I99-1)</f>
        <v>07</v>
      </c>
      <c r="H99" s="403">
        <f t="shared" si="46"/>
        <v>1</v>
      </c>
      <c r="I99" s="403">
        <f t="shared" si="47"/>
        <v>7</v>
      </c>
      <c r="J99" s="403" t="str">
        <f ca="1">+'Tabla II.'!$C$9</f>
        <v>Tabla II.</v>
      </c>
      <c r="K99" s="403" t="str">
        <f t="shared" si="48"/>
        <v>B</v>
      </c>
      <c r="L99" s="401"/>
    </row>
    <row r="100" spans="1:12" s="410" customFormat="1">
      <c r="A100" s="406" t="s">
        <v>2944</v>
      </c>
      <c r="B100" s="406" t="str">
        <f t="shared" ca="1" si="30"/>
        <v>202502</v>
      </c>
      <c r="C100" s="406" t="str">
        <f t="shared" ca="1" si="31"/>
        <v>v2</v>
      </c>
      <c r="D100" s="407" t="str">
        <f ca="1">OFFSET('Tabla II.'!$F$44,H100-1,0)</f>
        <v>02.01.01.</v>
      </c>
      <c r="E100" s="406">
        <f t="shared" si="33"/>
        <v>0</v>
      </c>
      <c r="F100" s="408">
        <f ca="1">OFFSET('Tabla II.'!$H$44,H100-1,I100-1)</f>
        <v>0</v>
      </c>
      <c r="G100" s="406" t="str">
        <f ca="1">OFFSET('Tabla II.'!$H$1,0,I100-1)</f>
        <v>01</v>
      </c>
      <c r="H100" s="409">
        <f>+H93+1</f>
        <v>2</v>
      </c>
      <c r="I100" s="409">
        <v>1</v>
      </c>
      <c r="J100" s="409" t="str">
        <f ca="1">+'Tabla II.'!$C$9</f>
        <v>Tabla II.</v>
      </c>
      <c r="K100" s="409" t="str">
        <f t="shared" si="48"/>
        <v>B</v>
      </c>
      <c r="L100" s="406">
        <f>+L93+1</f>
        <v>2</v>
      </c>
    </row>
    <row r="101" spans="1:12" s="410" customFormat="1">
      <c r="A101" s="406" t="s">
        <v>2944</v>
      </c>
      <c r="B101" s="406" t="str">
        <f t="shared" ca="1" si="30"/>
        <v>202503</v>
      </c>
      <c r="C101" s="406" t="str">
        <f t="shared" ca="1" si="31"/>
        <v>v1</v>
      </c>
      <c r="D101" s="407" t="str">
        <f t="shared" ref="D101:D106" ca="1" si="49">+D100</f>
        <v>02.01.01.</v>
      </c>
      <c r="E101" s="406">
        <f t="shared" si="33"/>
        <v>0</v>
      </c>
      <c r="F101" s="408">
        <f ca="1">OFFSET('Tabla II.'!$H$44,H101-1,I101-1)</f>
        <v>0</v>
      </c>
      <c r="G101" s="406" t="str">
        <f ca="1">OFFSET('Tabla II.'!$H$1,0,I101-1)</f>
        <v>02</v>
      </c>
      <c r="H101" s="409">
        <f t="shared" ref="H101:H106" si="50">+H100</f>
        <v>2</v>
      </c>
      <c r="I101" s="409">
        <f t="shared" ref="I101:I106" si="51">+I100+1</f>
        <v>2</v>
      </c>
      <c r="J101" s="409" t="str">
        <f ca="1">+'Tabla II.'!$C$9</f>
        <v>Tabla II.</v>
      </c>
      <c r="K101" s="409" t="str">
        <f t="shared" si="48"/>
        <v>B</v>
      </c>
      <c r="L101" s="406"/>
    </row>
    <row r="102" spans="1:12" s="410" customFormat="1">
      <c r="A102" s="406" t="s">
        <v>2944</v>
      </c>
      <c r="B102" s="406" t="str">
        <f t="shared" ca="1" si="30"/>
        <v>202503</v>
      </c>
      <c r="C102" s="406" t="str">
        <f t="shared" ca="1" si="31"/>
        <v>v1</v>
      </c>
      <c r="D102" s="407" t="str">
        <f t="shared" ca="1" si="49"/>
        <v>02.01.01.</v>
      </c>
      <c r="E102" s="406">
        <f t="shared" si="33"/>
        <v>0</v>
      </c>
      <c r="F102" s="408">
        <f ca="1">OFFSET('Tabla II.'!$H$44,H102-1,I102-1)</f>
        <v>0</v>
      </c>
      <c r="G102" s="406" t="str">
        <f ca="1">OFFSET('Tabla II.'!$H$1,0,I102-1)</f>
        <v>03</v>
      </c>
      <c r="H102" s="409">
        <f t="shared" si="50"/>
        <v>2</v>
      </c>
      <c r="I102" s="409">
        <f t="shared" si="51"/>
        <v>3</v>
      </c>
      <c r="J102" s="409" t="str">
        <f ca="1">+'Tabla II.'!$C$9</f>
        <v>Tabla II.</v>
      </c>
      <c r="K102" s="409" t="str">
        <f t="shared" si="48"/>
        <v>B</v>
      </c>
      <c r="L102" s="406"/>
    </row>
    <row r="103" spans="1:12" s="410" customFormat="1">
      <c r="A103" s="406" t="s">
        <v>2944</v>
      </c>
      <c r="B103" s="406" t="str">
        <f t="shared" ca="1" si="30"/>
        <v>202503</v>
      </c>
      <c r="C103" s="406" t="str">
        <f t="shared" ca="1" si="31"/>
        <v>v1</v>
      </c>
      <c r="D103" s="407" t="str">
        <f t="shared" ca="1" si="49"/>
        <v>02.01.01.</v>
      </c>
      <c r="E103" s="406">
        <f t="shared" si="33"/>
        <v>0</v>
      </c>
      <c r="F103" s="408">
        <f ca="1">OFFSET('Tabla II.'!$H$44,H103-1,I103-1)</f>
        <v>0</v>
      </c>
      <c r="G103" s="406" t="str">
        <f ca="1">OFFSET('Tabla II.'!$H$1,0,I103-1)</f>
        <v>04</v>
      </c>
      <c r="H103" s="409">
        <f t="shared" si="50"/>
        <v>2</v>
      </c>
      <c r="I103" s="409">
        <f t="shared" si="51"/>
        <v>4</v>
      </c>
      <c r="J103" s="409" t="str">
        <f ca="1">+'Tabla II.'!$C$9</f>
        <v>Tabla II.</v>
      </c>
      <c r="K103" s="409" t="str">
        <f t="shared" si="48"/>
        <v>B</v>
      </c>
      <c r="L103" s="406"/>
    </row>
    <row r="104" spans="1:12" s="410" customFormat="1">
      <c r="A104" s="406" t="s">
        <v>2944</v>
      </c>
      <c r="B104" s="406" t="str">
        <f t="shared" ca="1" si="30"/>
        <v>202503</v>
      </c>
      <c r="C104" s="406" t="str">
        <f t="shared" ca="1" si="31"/>
        <v>v1</v>
      </c>
      <c r="D104" s="407" t="str">
        <f t="shared" ca="1" si="49"/>
        <v>02.01.01.</v>
      </c>
      <c r="E104" s="406">
        <f t="shared" si="33"/>
        <v>0</v>
      </c>
      <c r="F104" s="408">
        <f ca="1">OFFSET('Tabla II.'!$H$44,H104-1,I104-1)</f>
        <v>0</v>
      </c>
      <c r="G104" s="406" t="str">
        <f ca="1">OFFSET('Tabla II.'!$H$1,0,I104-1)</f>
        <v>05</v>
      </c>
      <c r="H104" s="409">
        <f t="shared" si="50"/>
        <v>2</v>
      </c>
      <c r="I104" s="409">
        <f t="shared" si="51"/>
        <v>5</v>
      </c>
      <c r="J104" s="409" t="str">
        <f ca="1">+'Tabla II.'!$C$9</f>
        <v>Tabla II.</v>
      </c>
      <c r="K104" s="409" t="str">
        <f t="shared" si="48"/>
        <v>B</v>
      </c>
      <c r="L104" s="406"/>
    </row>
    <row r="105" spans="1:12" s="410" customFormat="1">
      <c r="A105" s="406" t="s">
        <v>2944</v>
      </c>
      <c r="B105" s="406" t="str">
        <f t="shared" ca="1" si="30"/>
        <v>202503</v>
      </c>
      <c r="C105" s="406" t="str">
        <f t="shared" ca="1" si="31"/>
        <v>v1</v>
      </c>
      <c r="D105" s="407" t="str">
        <f t="shared" ca="1" si="49"/>
        <v>02.01.01.</v>
      </c>
      <c r="E105" s="406">
        <f t="shared" si="33"/>
        <v>0</v>
      </c>
      <c r="F105" s="408">
        <f ca="1">OFFSET('Tabla II.'!$H$44,H105-1,I105-1)</f>
        <v>0</v>
      </c>
      <c r="G105" s="406" t="str">
        <f ca="1">OFFSET('Tabla II.'!$H$1,0,I105-1)</f>
        <v>06</v>
      </c>
      <c r="H105" s="409">
        <f t="shared" si="50"/>
        <v>2</v>
      </c>
      <c r="I105" s="409">
        <f t="shared" si="51"/>
        <v>6</v>
      </c>
      <c r="J105" s="409" t="str">
        <f ca="1">+'Tabla II.'!$C$9</f>
        <v>Tabla II.</v>
      </c>
      <c r="K105" s="409" t="str">
        <f t="shared" si="48"/>
        <v>B</v>
      </c>
      <c r="L105" s="406"/>
    </row>
    <row r="106" spans="1:12" s="410" customFormat="1">
      <c r="A106" s="406" t="s">
        <v>2944</v>
      </c>
      <c r="B106" s="406" t="str">
        <f t="shared" ca="1" si="30"/>
        <v>202503</v>
      </c>
      <c r="C106" s="406" t="str">
        <f t="shared" ca="1" si="31"/>
        <v>v1</v>
      </c>
      <c r="D106" s="407" t="str">
        <f t="shared" ca="1" si="49"/>
        <v>02.01.01.</v>
      </c>
      <c r="E106" s="406">
        <f t="shared" si="33"/>
        <v>0</v>
      </c>
      <c r="F106" s="408">
        <f ca="1">OFFSET('Tabla II.'!$H$44,H106-1,I106-1)</f>
        <v>0</v>
      </c>
      <c r="G106" s="406" t="str">
        <f ca="1">OFFSET('Tabla II.'!$H$1,0,I106-1)</f>
        <v>07</v>
      </c>
      <c r="H106" s="409">
        <f t="shared" si="50"/>
        <v>2</v>
      </c>
      <c r="I106" s="409">
        <f t="shared" si="51"/>
        <v>7</v>
      </c>
      <c r="J106" s="409" t="str">
        <f ca="1">+'Tabla II.'!$C$9</f>
        <v>Tabla II.</v>
      </c>
      <c r="K106" s="409" t="str">
        <f t="shared" si="48"/>
        <v>B</v>
      </c>
      <c r="L106" s="406"/>
    </row>
    <row r="107" spans="1:12" s="405" customFormat="1">
      <c r="A107" s="401" t="s">
        <v>2944</v>
      </c>
      <c r="B107" s="401" t="str">
        <f t="shared" ca="1" si="30"/>
        <v>202502</v>
      </c>
      <c r="C107" s="401" t="str">
        <f t="shared" ca="1" si="31"/>
        <v>v2</v>
      </c>
      <c r="D107" s="404" t="str">
        <f ca="1">OFFSET('Tabla II.'!$F$44,H107-1,0)</f>
        <v>02.01.01.01.</v>
      </c>
      <c r="E107" s="401">
        <f t="shared" si="33"/>
        <v>0</v>
      </c>
      <c r="F107" s="402">
        <f ca="1">OFFSET('Tabla II.'!$H$44,H107-1,I107-1)</f>
        <v>0</v>
      </c>
      <c r="G107" s="401" t="str">
        <f ca="1">OFFSET('Tabla II.'!$H$1,0,I107-1)</f>
        <v>01</v>
      </c>
      <c r="H107" s="403">
        <f>+H100+1</f>
        <v>3</v>
      </c>
      <c r="I107" s="403">
        <v>1</v>
      </c>
      <c r="J107" s="403" t="str">
        <f ca="1">+'Tabla II.'!$C$9</f>
        <v>Tabla II.</v>
      </c>
      <c r="K107" s="403" t="str">
        <f t="shared" ref="K107:K113" si="52">+K106</f>
        <v>B</v>
      </c>
      <c r="L107" s="401">
        <f>+L100+1</f>
        <v>3</v>
      </c>
    </row>
    <row r="108" spans="1:12" s="405" customFormat="1">
      <c r="A108" s="401" t="s">
        <v>2944</v>
      </c>
      <c r="B108" s="401" t="str">
        <f t="shared" ca="1" si="30"/>
        <v>202503</v>
      </c>
      <c r="C108" s="401" t="str">
        <f t="shared" ca="1" si="31"/>
        <v>v1</v>
      </c>
      <c r="D108" s="404" t="str">
        <f t="shared" ref="D108:D113" ca="1" si="53">+D107</f>
        <v>02.01.01.01.</v>
      </c>
      <c r="E108" s="401">
        <f t="shared" si="33"/>
        <v>0</v>
      </c>
      <c r="F108" s="402">
        <f ca="1">OFFSET('Tabla II.'!$H$44,H108-1,I108-1)</f>
        <v>0</v>
      </c>
      <c r="G108" s="401" t="str">
        <f ca="1">OFFSET('Tabla II.'!$H$1,0,I108-1)</f>
        <v>02</v>
      </c>
      <c r="H108" s="403">
        <f t="shared" ref="H108:H113" si="54">+H107</f>
        <v>3</v>
      </c>
      <c r="I108" s="403">
        <f t="shared" ref="I108:I113" si="55">+I107+1</f>
        <v>2</v>
      </c>
      <c r="J108" s="403" t="str">
        <f ca="1">+'Tabla II.'!$C$9</f>
        <v>Tabla II.</v>
      </c>
      <c r="K108" s="403" t="str">
        <f t="shared" si="52"/>
        <v>B</v>
      </c>
      <c r="L108" s="401"/>
    </row>
    <row r="109" spans="1:12" s="405" customFormat="1">
      <c r="A109" s="401" t="s">
        <v>2944</v>
      </c>
      <c r="B109" s="401" t="str">
        <f t="shared" ca="1" si="30"/>
        <v>202503</v>
      </c>
      <c r="C109" s="401" t="str">
        <f t="shared" ca="1" si="31"/>
        <v>v1</v>
      </c>
      <c r="D109" s="404" t="str">
        <f t="shared" ca="1" si="53"/>
        <v>02.01.01.01.</v>
      </c>
      <c r="E109" s="401">
        <f t="shared" si="33"/>
        <v>0</v>
      </c>
      <c r="F109" s="402">
        <f ca="1">OFFSET('Tabla II.'!$H$44,H109-1,I109-1)</f>
        <v>0</v>
      </c>
      <c r="G109" s="401" t="str">
        <f ca="1">OFFSET('Tabla II.'!$H$1,0,I109-1)</f>
        <v>03</v>
      </c>
      <c r="H109" s="403">
        <f t="shared" si="54"/>
        <v>3</v>
      </c>
      <c r="I109" s="403">
        <f t="shared" si="55"/>
        <v>3</v>
      </c>
      <c r="J109" s="403" t="str">
        <f ca="1">+'Tabla II.'!$C$9</f>
        <v>Tabla II.</v>
      </c>
      <c r="K109" s="403" t="str">
        <f t="shared" si="52"/>
        <v>B</v>
      </c>
      <c r="L109" s="401"/>
    </row>
    <row r="110" spans="1:12" s="405" customFormat="1">
      <c r="A110" s="401" t="s">
        <v>2944</v>
      </c>
      <c r="B110" s="401" t="str">
        <f t="shared" ca="1" si="30"/>
        <v>202503</v>
      </c>
      <c r="C110" s="401" t="str">
        <f t="shared" ca="1" si="31"/>
        <v>v1</v>
      </c>
      <c r="D110" s="404" t="str">
        <f t="shared" ca="1" si="53"/>
        <v>02.01.01.01.</v>
      </c>
      <c r="E110" s="401">
        <f t="shared" si="33"/>
        <v>0</v>
      </c>
      <c r="F110" s="402">
        <f ca="1">OFFSET('Tabla II.'!$H$44,H110-1,I110-1)</f>
        <v>0</v>
      </c>
      <c r="G110" s="401" t="str">
        <f ca="1">OFFSET('Tabla II.'!$H$1,0,I110-1)</f>
        <v>04</v>
      </c>
      <c r="H110" s="403">
        <f t="shared" si="54"/>
        <v>3</v>
      </c>
      <c r="I110" s="403">
        <f t="shared" si="55"/>
        <v>4</v>
      </c>
      <c r="J110" s="403" t="str">
        <f ca="1">+'Tabla II.'!$C$9</f>
        <v>Tabla II.</v>
      </c>
      <c r="K110" s="403" t="str">
        <f t="shared" si="52"/>
        <v>B</v>
      </c>
      <c r="L110" s="401"/>
    </row>
    <row r="111" spans="1:12" s="405" customFormat="1">
      <c r="A111" s="401" t="s">
        <v>2944</v>
      </c>
      <c r="B111" s="401" t="str">
        <f t="shared" ca="1" si="30"/>
        <v>202503</v>
      </c>
      <c r="C111" s="401" t="str">
        <f t="shared" ca="1" si="31"/>
        <v>v1</v>
      </c>
      <c r="D111" s="404" t="str">
        <f t="shared" ca="1" si="53"/>
        <v>02.01.01.01.</v>
      </c>
      <c r="E111" s="401">
        <f t="shared" si="33"/>
        <v>0</v>
      </c>
      <c r="F111" s="402">
        <f ca="1">OFFSET('Tabla II.'!$H$44,H111-1,I111-1)</f>
        <v>0</v>
      </c>
      <c r="G111" s="401" t="str">
        <f ca="1">OFFSET('Tabla II.'!$H$1,0,I111-1)</f>
        <v>05</v>
      </c>
      <c r="H111" s="403">
        <f t="shared" si="54"/>
        <v>3</v>
      </c>
      <c r="I111" s="403">
        <f t="shared" si="55"/>
        <v>5</v>
      </c>
      <c r="J111" s="403" t="str">
        <f ca="1">+'Tabla II.'!$C$9</f>
        <v>Tabla II.</v>
      </c>
      <c r="K111" s="403" t="str">
        <f t="shared" si="52"/>
        <v>B</v>
      </c>
      <c r="L111" s="401"/>
    </row>
    <row r="112" spans="1:12" s="405" customFormat="1">
      <c r="A112" s="401" t="s">
        <v>2944</v>
      </c>
      <c r="B112" s="401" t="str">
        <f t="shared" ca="1" si="30"/>
        <v>202503</v>
      </c>
      <c r="C112" s="401" t="str">
        <f t="shared" ca="1" si="31"/>
        <v>v1</v>
      </c>
      <c r="D112" s="404" t="str">
        <f t="shared" ca="1" si="53"/>
        <v>02.01.01.01.</v>
      </c>
      <c r="E112" s="401">
        <f t="shared" si="33"/>
        <v>0</v>
      </c>
      <c r="F112" s="402">
        <f ca="1">OFFSET('Tabla II.'!$H$44,H112-1,I112-1)</f>
        <v>0</v>
      </c>
      <c r="G112" s="401" t="str">
        <f ca="1">OFFSET('Tabla II.'!$H$1,0,I112-1)</f>
        <v>06</v>
      </c>
      <c r="H112" s="403">
        <f t="shared" si="54"/>
        <v>3</v>
      </c>
      <c r="I112" s="403">
        <f t="shared" si="55"/>
        <v>6</v>
      </c>
      <c r="J112" s="403" t="str">
        <f ca="1">+'Tabla II.'!$C$9</f>
        <v>Tabla II.</v>
      </c>
      <c r="K112" s="403" t="str">
        <f t="shared" si="52"/>
        <v>B</v>
      </c>
      <c r="L112" s="401"/>
    </row>
    <row r="113" spans="1:12" s="405" customFormat="1">
      <c r="A113" s="401" t="s">
        <v>2944</v>
      </c>
      <c r="B113" s="401" t="str">
        <f t="shared" ca="1" si="30"/>
        <v>202503</v>
      </c>
      <c r="C113" s="401" t="str">
        <f t="shared" ca="1" si="31"/>
        <v>v1</v>
      </c>
      <c r="D113" s="404" t="str">
        <f t="shared" ca="1" si="53"/>
        <v>02.01.01.01.</v>
      </c>
      <c r="E113" s="401">
        <f t="shared" si="33"/>
        <v>0</v>
      </c>
      <c r="F113" s="402">
        <f ca="1">OFFSET('Tabla II.'!$H$44,H113-1,I113-1)</f>
        <v>0</v>
      </c>
      <c r="G113" s="401" t="str">
        <f ca="1">OFFSET('Tabla II.'!$H$1,0,I113-1)</f>
        <v>07</v>
      </c>
      <c r="H113" s="403">
        <f t="shared" si="54"/>
        <v>3</v>
      </c>
      <c r="I113" s="403">
        <f t="shared" si="55"/>
        <v>7</v>
      </c>
      <c r="J113" s="403" t="str">
        <f ca="1">+'Tabla II.'!$C$9</f>
        <v>Tabla II.</v>
      </c>
      <c r="K113" s="403" t="str">
        <f t="shared" si="52"/>
        <v>B</v>
      </c>
      <c r="L113" s="401"/>
    </row>
    <row r="114" spans="1:12" s="410" customFormat="1">
      <c r="A114" s="406" t="s">
        <v>2944</v>
      </c>
      <c r="B114" s="406" t="str">
        <f t="shared" ca="1" si="30"/>
        <v>202502</v>
      </c>
      <c r="C114" s="406" t="str">
        <f t="shared" ca="1" si="31"/>
        <v>v2</v>
      </c>
      <c r="D114" s="407" t="str">
        <f ca="1">OFFSET('Tabla II.'!$F$44,H114-1,0)</f>
        <v>02.01.01.02.</v>
      </c>
      <c r="E114" s="406">
        <f t="shared" si="33"/>
        <v>0</v>
      </c>
      <c r="F114" s="408">
        <f ca="1">OFFSET('Tabla II.'!$H$44,H114-1,I114-1)</f>
        <v>0</v>
      </c>
      <c r="G114" s="406" t="str">
        <f ca="1">OFFSET('Tabla II.'!$H$1,0,I114-1)</f>
        <v>01</v>
      </c>
      <c r="H114" s="409">
        <f>+H107+1</f>
        <v>4</v>
      </c>
      <c r="I114" s="409">
        <v>1</v>
      </c>
      <c r="J114" s="409" t="str">
        <f ca="1">+'Tabla II.'!$C$9</f>
        <v>Tabla II.</v>
      </c>
      <c r="K114" s="409" t="str">
        <f t="shared" ref="K114:K120" si="56">+K113</f>
        <v>B</v>
      </c>
      <c r="L114" s="406">
        <f>+L107+1</f>
        <v>4</v>
      </c>
    </row>
    <row r="115" spans="1:12" s="410" customFormat="1">
      <c r="A115" s="406" t="s">
        <v>2944</v>
      </c>
      <c r="B115" s="406" t="str">
        <f t="shared" ca="1" si="30"/>
        <v>202503</v>
      </c>
      <c r="C115" s="406" t="str">
        <f t="shared" ca="1" si="31"/>
        <v>v1</v>
      </c>
      <c r="D115" s="407" t="str">
        <f t="shared" ref="D115:D120" ca="1" si="57">+D114</f>
        <v>02.01.01.02.</v>
      </c>
      <c r="E115" s="406">
        <f t="shared" si="33"/>
        <v>0</v>
      </c>
      <c r="F115" s="408">
        <f ca="1">OFFSET('Tabla II.'!$H$44,H115-1,I115-1)</f>
        <v>0</v>
      </c>
      <c r="G115" s="406" t="str">
        <f ca="1">OFFSET('Tabla II.'!$H$1,0,I115-1)</f>
        <v>02</v>
      </c>
      <c r="H115" s="409">
        <f t="shared" ref="H115:H120" si="58">+H114</f>
        <v>4</v>
      </c>
      <c r="I115" s="409">
        <f t="shared" ref="I115:I120" si="59">+I114+1</f>
        <v>2</v>
      </c>
      <c r="J115" s="409" t="str">
        <f ca="1">+'Tabla II.'!$C$9</f>
        <v>Tabla II.</v>
      </c>
      <c r="K115" s="409" t="str">
        <f t="shared" si="56"/>
        <v>B</v>
      </c>
      <c r="L115" s="406"/>
    </row>
    <row r="116" spans="1:12" s="410" customFormat="1">
      <c r="A116" s="406" t="s">
        <v>2944</v>
      </c>
      <c r="B116" s="406" t="str">
        <f t="shared" ca="1" si="30"/>
        <v>202503</v>
      </c>
      <c r="C116" s="406" t="str">
        <f t="shared" ca="1" si="31"/>
        <v>v1</v>
      </c>
      <c r="D116" s="407" t="str">
        <f t="shared" ca="1" si="57"/>
        <v>02.01.01.02.</v>
      </c>
      <c r="E116" s="406">
        <f t="shared" si="33"/>
        <v>0</v>
      </c>
      <c r="F116" s="408">
        <f ca="1">OFFSET('Tabla II.'!$H$44,H116-1,I116-1)</f>
        <v>0</v>
      </c>
      <c r="G116" s="406" t="str">
        <f ca="1">OFFSET('Tabla II.'!$H$1,0,I116-1)</f>
        <v>03</v>
      </c>
      <c r="H116" s="409">
        <f t="shared" si="58"/>
        <v>4</v>
      </c>
      <c r="I116" s="409">
        <f t="shared" si="59"/>
        <v>3</v>
      </c>
      <c r="J116" s="409" t="str">
        <f ca="1">+'Tabla II.'!$C$9</f>
        <v>Tabla II.</v>
      </c>
      <c r="K116" s="409" t="str">
        <f t="shared" si="56"/>
        <v>B</v>
      </c>
      <c r="L116" s="406"/>
    </row>
    <row r="117" spans="1:12" s="410" customFormat="1">
      <c r="A117" s="406" t="s">
        <v>2944</v>
      </c>
      <c r="B117" s="406" t="str">
        <f t="shared" ca="1" si="30"/>
        <v>202503</v>
      </c>
      <c r="C117" s="406" t="str">
        <f t="shared" ca="1" si="31"/>
        <v>v1</v>
      </c>
      <c r="D117" s="407" t="str">
        <f t="shared" ca="1" si="57"/>
        <v>02.01.01.02.</v>
      </c>
      <c r="E117" s="406">
        <f t="shared" si="33"/>
        <v>0</v>
      </c>
      <c r="F117" s="408">
        <f ca="1">OFFSET('Tabla II.'!$H$44,H117-1,I117-1)</f>
        <v>0</v>
      </c>
      <c r="G117" s="406" t="str">
        <f ca="1">OFFSET('Tabla II.'!$H$1,0,I117-1)</f>
        <v>04</v>
      </c>
      <c r="H117" s="409">
        <f t="shared" si="58"/>
        <v>4</v>
      </c>
      <c r="I117" s="409">
        <f t="shared" si="59"/>
        <v>4</v>
      </c>
      <c r="J117" s="409" t="str">
        <f ca="1">+'Tabla II.'!$C$9</f>
        <v>Tabla II.</v>
      </c>
      <c r="K117" s="409" t="str">
        <f t="shared" si="56"/>
        <v>B</v>
      </c>
      <c r="L117" s="406"/>
    </row>
    <row r="118" spans="1:12" s="410" customFormat="1">
      <c r="A118" s="406" t="s">
        <v>2944</v>
      </c>
      <c r="B118" s="406" t="str">
        <f t="shared" ca="1" si="30"/>
        <v>202503</v>
      </c>
      <c r="C118" s="406" t="str">
        <f t="shared" ca="1" si="31"/>
        <v>v1</v>
      </c>
      <c r="D118" s="407" t="str">
        <f t="shared" ca="1" si="57"/>
        <v>02.01.01.02.</v>
      </c>
      <c r="E118" s="406">
        <f t="shared" si="33"/>
        <v>0</v>
      </c>
      <c r="F118" s="408">
        <f ca="1">OFFSET('Tabla II.'!$H$44,H118-1,I118-1)</f>
        <v>0</v>
      </c>
      <c r="G118" s="406" t="str">
        <f ca="1">OFFSET('Tabla II.'!$H$1,0,I118-1)</f>
        <v>05</v>
      </c>
      <c r="H118" s="409">
        <f t="shared" si="58"/>
        <v>4</v>
      </c>
      <c r="I118" s="409">
        <f t="shared" si="59"/>
        <v>5</v>
      </c>
      <c r="J118" s="409" t="str">
        <f ca="1">+'Tabla II.'!$C$9</f>
        <v>Tabla II.</v>
      </c>
      <c r="K118" s="409" t="str">
        <f t="shared" si="56"/>
        <v>B</v>
      </c>
      <c r="L118" s="406"/>
    </row>
    <row r="119" spans="1:12" s="410" customFormat="1">
      <c r="A119" s="406" t="s">
        <v>2944</v>
      </c>
      <c r="B119" s="406" t="str">
        <f t="shared" ca="1" si="30"/>
        <v>202503</v>
      </c>
      <c r="C119" s="406" t="str">
        <f t="shared" ca="1" si="31"/>
        <v>v1</v>
      </c>
      <c r="D119" s="407" t="str">
        <f t="shared" ca="1" si="57"/>
        <v>02.01.01.02.</v>
      </c>
      <c r="E119" s="406">
        <f t="shared" si="33"/>
        <v>0</v>
      </c>
      <c r="F119" s="408">
        <f ca="1">OFFSET('Tabla II.'!$H$44,H119-1,I119-1)</f>
        <v>0</v>
      </c>
      <c r="G119" s="406" t="str">
        <f ca="1">OFFSET('Tabla II.'!$H$1,0,I119-1)</f>
        <v>06</v>
      </c>
      <c r="H119" s="409">
        <f t="shared" si="58"/>
        <v>4</v>
      </c>
      <c r="I119" s="409">
        <f t="shared" si="59"/>
        <v>6</v>
      </c>
      <c r="J119" s="409" t="str">
        <f ca="1">+'Tabla II.'!$C$9</f>
        <v>Tabla II.</v>
      </c>
      <c r="K119" s="409" t="str">
        <f t="shared" si="56"/>
        <v>B</v>
      </c>
      <c r="L119" s="406"/>
    </row>
    <row r="120" spans="1:12" s="410" customFormat="1">
      <c r="A120" s="406" t="s">
        <v>2944</v>
      </c>
      <c r="B120" s="406" t="str">
        <f t="shared" ca="1" si="30"/>
        <v>202503</v>
      </c>
      <c r="C120" s="406" t="str">
        <f t="shared" ca="1" si="31"/>
        <v>v1</v>
      </c>
      <c r="D120" s="407" t="str">
        <f t="shared" ca="1" si="57"/>
        <v>02.01.01.02.</v>
      </c>
      <c r="E120" s="406">
        <f t="shared" si="33"/>
        <v>0</v>
      </c>
      <c r="F120" s="408">
        <f ca="1">OFFSET('Tabla II.'!$H$44,H120-1,I120-1)</f>
        <v>0</v>
      </c>
      <c r="G120" s="406" t="str">
        <f ca="1">OFFSET('Tabla II.'!$H$1,0,I120-1)</f>
        <v>07</v>
      </c>
      <c r="H120" s="409">
        <f t="shared" si="58"/>
        <v>4</v>
      </c>
      <c r="I120" s="409">
        <f t="shared" si="59"/>
        <v>7</v>
      </c>
      <c r="J120" s="409" t="str">
        <f ca="1">+'Tabla II.'!$C$9</f>
        <v>Tabla II.</v>
      </c>
      <c r="K120" s="409" t="str">
        <f t="shared" si="56"/>
        <v>B</v>
      </c>
      <c r="L120" s="406"/>
    </row>
    <row r="121" spans="1:12" s="415" customFormat="1">
      <c r="A121" s="412" t="s">
        <v>2944</v>
      </c>
      <c r="B121" s="412" t="str">
        <f t="shared" ca="1" si="30"/>
        <v>202502</v>
      </c>
      <c r="C121" s="412" t="str">
        <f t="shared" ca="1" si="31"/>
        <v>v2</v>
      </c>
      <c r="D121" s="413" t="str">
        <f ca="1">OFFSET('Tabla II.'!$F$44,H121-1,0)</f>
        <v>02.01.02.</v>
      </c>
      <c r="E121" s="412">
        <f t="shared" si="33"/>
        <v>0</v>
      </c>
      <c r="F121" s="414">
        <f ca="1">OFFSET('Tabla II.'!$H$44,H121-1,I121-1)</f>
        <v>0</v>
      </c>
      <c r="G121" s="412" t="str">
        <f ca="1">OFFSET('Tabla II.'!$H$1,0,I121-1)</f>
        <v>01</v>
      </c>
      <c r="H121" s="111">
        <f>+H114+1</f>
        <v>5</v>
      </c>
      <c r="I121" s="111">
        <v>1</v>
      </c>
      <c r="J121" s="111" t="str">
        <f ca="1">+'Tabla II.'!$C$9</f>
        <v>Tabla II.</v>
      </c>
      <c r="K121" s="111" t="str">
        <f t="shared" ref="K121:K134" si="60">+K120</f>
        <v>B</v>
      </c>
      <c r="L121" s="412">
        <f>+L114+1</f>
        <v>5</v>
      </c>
    </row>
    <row r="122" spans="1:12" s="415" customFormat="1">
      <c r="A122" s="412" t="s">
        <v>2944</v>
      </c>
      <c r="B122" s="412" t="str">
        <f t="shared" ca="1" si="30"/>
        <v>202503</v>
      </c>
      <c r="C122" s="412" t="str">
        <f t="shared" ca="1" si="31"/>
        <v>v1</v>
      </c>
      <c r="D122" s="413" t="str">
        <f t="shared" ref="D122:D127" ca="1" si="61">+D121</f>
        <v>02.01.02.</v>
      </c>
      <c r="E122" s="412">
        <f t="shared" si="33"/>
        <v>0</v>
      </c>
      <c r="F122" s="414">
        <f ca="1">OFFSET('Tabla II.'!$H$44,H122-1,I122-1)</f>
        <v>0</v>
      </c>
      <c r="G122" s="412" t="str">
        <f ca="1">OFFSET('Tabla II.'!$H$1,0,I122-1)</f>
        <v>02</v>
      </c>
      <c r="H122" s="111">
        <f t="shared" ref="H122:H127" si="62">+H121</f>
        <v>5</v>
      </c>
      <c r="I122" s="111">
        <f t="shared" ref="I122:I127" si="63">+I121+1</f>
        <v>2</v>
      </c>
      <c r="J122" s="111" t="str">
        <f ca="1">+'Tabla II.'!$C$9</f>
        <v>Tabla II.</v>
      </c>
      <c r="K122" s="111" t="str">
        <f t="shared" si="60"/>
        <v>B</v>
      </c>
      <c r="L122" s="412"/>
    </row>
    <row r="123" spans="1:12" s="415" customFormat="1">
      <c r="A123" s="412" t="s">
        <v>2944</v>
      </c>
      <c r="B123" s="412" t="str">
        <f t="shared" ca="1" si="30"/>
        <v>202503</v>
      </c>
      <c r="C123" s="412" t="str">
        <f t="shared" ca="1" si="31"/>
        <v>v1</v>
      </c>
      <c r="D123" s="413" t="str">
        <f t="shared" ca="1" si="61"/>
        <v>02.01.02.</v>
      </c>
      <c r="E123" s="412">
        <f t="shared" si="33"/>
        <v>0</v>
      </c>
      <c r="F123" s="414">
        <f ca="1">OFFSET('Tabla II.'!$H$44,H123-1,I123-1)</f>
        <v>0</v>
      </c>
      <c r="G123" s="412" t="str">
        <f ca="1">OFFSET('Tabla II.'!$H$1,0,I123-1)</f>
        <v>03</v>
      </c>
      <c r="H123" s="111">
        <f t="shared" si="62"/>
        <v>5</v>
      </c>
      <c r="I123" s="111">
        <f t="shared" si="63"/>
        <v>3</v>
      </c>
      <c r="J123" s="111" t="str">
        <f ca="1">+'Tabla II.'!$C$9</f>
        <v>Tabla II.</v>
      </c>
      <c r="K123" s="111" t="str">
        <f t="shared" si="60"/>
        <v>B</v>
      </c>
      <c r="L123" s="412"/>
    </row>
    <row r="124" spans="1:12" s="415" customFormat="1">
      <c r="A124" s="412" t="s">
        <v>2944</v>
      </c>
      <c r="B124" s="412" t="str">
        <f t="shared" ca="1" si="30"/>
        <v>202503</v>
      </c>
      <c r="C124" s="412" t="str">
        <f t="shared" ca="1" si="31"/>
        <v>v1</v>
      </c>
      <c r="D124" s="413" t="str">
        <f t="shared" ca="1" si="61"/>
        <v>02.01.02.</v>
      </c>
      <c r="E124" s="412">
        <f t="shared" si="33"/>
        <v>0</v>
      </c>
      <c r="F124" s="414">
        <f ca="1">OFFSET('Tabla II.'!$H$44,H124-1,I124-1)</f>
        <v>0</v>
      </c>
      <c r="G124" s="412" t="str">
        <f ca="1">OFFSET('Tabla II.'!$H$1,0,I124-1)</f>
        <v>04</v>
      </c>
      <c r="H124" s="111">
        <f t="shared" si="62"/>
        <v>5</v>
      </c>
      <c r="I124" s="111">
        <f t="shared" si="63"/>
        <v>4</v>
      </c>
      <c r="J124" s="111" t="str">
        <f ca="1">+'Tabla II.'!$C$9</f>
        <v>Tabla II.</v>
      </c>
      <c r="K124" s="111" t="str">
        <f t="shared" si="60"/>
        <v>B</v>
      </c>
      <c r="L124" s="412"/>
    </row>
    <row r="125" spans="1:12" s="415" customFormat="1">
      <c r="A125" s="412" t="s">
        <v>2944</v>
      </c>
      <c r="B125" s="412" t="str">
        <f t="shared" ca="1" si="30"/>
        <v>202503</v>
      </c>
      <c r="C125" s="412" t="str">
        <f t="shared" ca="1" si="31"/>
        <v>v1</v>
      </c>
      <c r="D125" s="413" t="str">
        <f t="shared" ca="1" si="61"/>
        <v>02.01.02.</v>
      </c>
      <c r="E125" s="412">
        <f t="shared" si="33"/>
        <v>0</v>
      </c>
      <c r="F125" s="414">
        <f ca="1">OFFSET('Tabla II.'!$H$44,H125-1,I125-1)</f>
        <v>0</v>
      </c>
      <c r="G125" s="412" t="str">
        <f ca="1">OFFSET('Tabla II.'!$H$1,0,I125-1)</f>
        <v>05</v>
      </c>
      <c r="H125" s="111">
        <f t="shared" si="62"/>
        <v>5</v>
      </c>
      <c r="I125" s="111">
        <f t="shared" si="63"/>
        <v>5</v>
      </c>
      <c r="J125" s="111" t="str">
        <f ca="1">+'Tabla II.'!$C$9</f>
        <v>Tabla II.</v>
      </c>
      <c r="K125" s="111" t="str">
        <f t="shared" si="60"/>
        <v>B</v>
      </c>
      <c r="L125" s="412"/>
    </row>
    <row r="126" spans="1:12" s="415" customFormat="1">
      <c r="A126" s="412" t="s">
        <v>2944</v>
      </c>
      <c r="B126" s="412" t="str">
        <f t="shared" ca="1" si="30"/>
        <v>202503</v>
      </c>
      <c r="C126" s="412" t="str">
        <f t="shared" ca="1" si="31"/>
        <v>v1</v>
      </c>
      <c r="D126" s="413" t="str">
        <f t="shared" ca="1" si="61"/>
        <v>02.01.02.</v>
      </c>
      <c r="E126" s="412">
        <f t="shared" si="33"/>
        <v>0</v>
      </c>
      <c r="F126" s="414">
        <f ca="1">OFFSET('Tabla II.'!$H$44,H126-1,I126-1)</f>
        <v>0</v>
      </c>
      <c r="G126" s="412" t="str">
        <f ca="1">OFFSET('Tabla II.'!$H$1,0,I126-1)</f>
        <v>06</v>
      </c>
      <c r="H126" s="111">
        <f t="shared" si="62"/>
        <v>5</v>
      </c>
      <c r="I126" s="111">
        <f t="shared" si="63"/>
        <v>6</v>
      </c>
      <c r="J126" s="111" t="str">
        <f ca="1">+'Tabla II.'!$C$9</f>
        <v>Tabla II.</v>
      </c>
      <c r="K126" s="111" t="str">
        <f t="shared" si="60"/>
        <v>B</v>
      </c>
      <c r="L126" s="412"/>
    </row>
    <row r="127" spans="1:12" s="415" customFormat="1">
      <c r="A127" s="412" t="s">
        <v>2944</v>
      </c>
      <c r="B127" s="412" t="str">
        <f t="shared" ca="1" si="30"/>
        <v>202503</v>
      </c>
      <c r="C127" s="412" t="str">
        <f t="shared" ca="1" si="31"/>
        <v>v1</v>
      </c>
      <c r="D127" s="413" t="str">
        <f t="shared" ca="1" si="61"/>
        <v>02.01.02.</v>
      </c>
      <c r="E127" s="412">
        <f t="shared" si="33"/>
        <v>0</v>
      </c>
      <c r="F127" s="414">
        <f ca="1">OFFSET('Tabla II.'!$H$44,H127-1,I127-1)</f>
        <v>0</v>
      </c>
      <c r="G127" s="412" t="str">
        <f ca="1">OFFSET('Tabla II.'!$H$1,0,I127-1)</f>
        <v>07</v>
      </c>
      <c r="H127" s="111">
        <f t="shared" si="62"/>
        <v>5</v>
      </c>
      <c r="I127" s="111">
        <f t="shared" si="63"/>
        <v>7</v>
      </c>
      <c r="J127" s="111" t="str">
        <f ca="1">+'Tabla II.'!$C$9</f>
        <v>Tabla II.</v>
      </c>
      <c r="K127" s="111" t="str">
        <f t="shared" si="60"/>
        <v>B</v>
      </c>
      <c r="L127" s="412"/>
    </row>
    <row r="128" spans="1:12" s="410" customFormat="1">
      <c r="A128" s="406" t="s">
        <v>2944</v>
      </c>
      <c r="B128" s="406" t="str">
        <f t="shared" ca="1" si="30"/>
        <v>202502</v>
      </c>
      <c r="C128" s="406" t="str">
        <f t="shared" ca="1" si="31"/>
        <v>v2</v>
      </c>
      <c r="D128" s="407" t="str">
        <f ca="1">OFFSET('Tabla II.'!$F$44,H128-1,0)</f>
        <v>02.01.02.01.</v>
      </c>
      <c r="E128" s="406">
        <f t="shared" si="33"/>
        <v>0</v>
      </c>
      <c r="F128" s="408">
        <f ca="1">OFFSET('Tabla II.'!$H$44,H128-1,I128-1)</f>
        <v>0</v>
      </c>
      <c r="G128" s="406" t="str">
        <f ca="1">OFFSET('Tabla II.'!$H$1,0,I128-1)</f>
        <v>01</v>
      </c>
      <c r="H128" s="409">
        <f>+H121+1</f>
        <v>6</v>
      </c>
      <c r="I128" s="409">
        <v>1</v>
      </c>
      <c r="J128" s="409" t="str">
        <f ca="1">+'Tabla II.'!$C$9</f>
        <v>Tabla II.</v>
      </c>
      <c r="K128" s="409" t="str">
        <f t="shared" si="60"/>
        <v>B</v>
      </c>
      <c r="L128" s="406">
        <f>+L121+1</f>
        <v>6</v>
      </c>
    </row>
    <row r="129" spans="1:12" s="410" customFormat="1">
      <c r="A129" s="406" t="s">
        <v>2944</v>
      </c>
      <c r="B129" s="406" t="str">
        <f t="shared" ca="1" si="30"/>
        <v>202503</v>
      </c>
      <c r="C129" s="406" t="str">
        <f t="shared" ca="1" si="31"/>
        <v>v1</v>
      </c>
      <c r="D129" s="407" t="str">
        <f t="shared" ref="D129:D134" ca="1" si="64">+D128</f>
        <v>02.01.02.01.</v>
      </c>
      <c r="E129" s="406">
        <f t="shared" si="33"/>
        <v>0</v>
      </c>
      <c r="F129" s="408">
        <f ca="1">OFFSET('Tabla II.'!$H$44,H129-1,I129-1)</f>
        <v>0</v>
      </c>
      <c r="G129" s="406" t="str">
        <f ca="1">OFFSET('Tabla II.'!$H$1,0,I129-1)</f>
        <v>02</v>
      </c>
      <c r="H129" s="409">
        <f t="shared" ref="H129:H134" si="65">+H128</f>
        <v>6</v>
      </c>
      <c r="I129" s="409">
        <f t="shared" ref="I129:I134" si="66">+I128+1</f>
        <v>2</v>
      </c>
      <c r="J129" s="409" t="str">
        <f ca="1">+'Tabla II.'!$C$9</f>
        <v>Tabla II.</v>
      </c>
      <c r="K129" s="409" t="str">
        <f t="shared" si="60"/>
        <v>B</v>
      </c>
      <c r="L129" s="406"/>
    </row>
    <row r="130" spans="1:12" s="410" customFormat="1">
      <c r="A130" s="406" t="s">
        <v>2944</v>
      </c>
      <c r="B130" s="406" t="str">
        <f t="shared" ref="B130:B193" ca="1" si="67">IF(G130="01",(IF(TRIM&gt;1,CONCATENATE(ANUAL,"0",TRIM-1),CONCATENATE(ANUAL-1,"04"))),PERIODO)</f>
        <v>202503</v>
      </c>
      <c r="C130" s="406" t="str">
        <f t="shared" ref="C130:C193" ca="1" si="68">IF(G130="01","v2","v1")</f>
        <v>v1</v>
      </c>
      <c r="D130" s="407" t="str">
        <f t="shared" ca="1" si="64"/>
        <v>02.01.02.01.</v>
      </c>
      <c r="E130" s="406">
        <f t="shared" ref="E130:E193" si="69">RUC</f>
        <v>0</v>
      </c>
      <c r="F130" s="408">
        <f ca="1">OFFSET('Tabla II.'!$H$44,H130-1,I130-1)</f>
        <v>0</v>
      </c>
      <c r="G130" s="406" t="str">
        <f ca="1">OFFSET('Tabla II.'!$H$1,0,I130-1)</f>
        <v>03</v>
      </c>
      <c r="H130" s="409">
        <f t="shared" si="65"/>
        <v>6</v>
      </c>
      <c r="I130" s="409">
        <f t="shared" si="66"/>
        <v>3</v>
      </c>
      <c r="J130" s="409" t="str">
        <f ca="1">+'Tabla II.'!$C$9</f>
        <v>Tabla II.</v>
      </c>
      <c r="K130" s="409" t="str">
        <f t="shared" si="60"/>
        <v>B</v>
      </c>
      <c r="L130" s="406"/>
    </row>
    <row r="131" spans="1:12" s="410" customFormat="1">
      <c r="A131" s="406" t="s">
        <v>2944</v>
      </c>
      <c r="B131" s="406" t="str">
        <f t="shared" ca="1" si="67"/>
        <v>202503</v>
      </c>
      <c r="C131" s="406" t="str">
        <f t="shared" ca="1" si="68"/>
        <v>v1</v>
      </c>
      <c r="D131" s="407" t="str">
        <f t="shared" ca="1" si="64"/>
        <v>02.01.02.01.</v>
      </c>
      <c r="E131" s="406">
        <f t="shared" si="69"/>
        <v>0</v>
      </c>
      <c r="F131" s="408">
        <f ca="1">OFFSET('Tabla II.'!$H$44,H131-1,I131-1)</f>
        <v>0</v>
      </c>
      <c r="G131" s="406" t="str">
        <f ca="1">OFFSET('Tabla II.'!$H$1,0,I131-1)</f>
        <v>04</v>
      </c>
      <c r="H131" s="409">
        <f t="shared" si="65"/>
        <v>6</v>
      </c>
      <c r="I131" s="409">
        <f t="shared" si="66"/>
        <v>4</v>
      </c>
      <c r="J131" s="409" t="str">
        <f ca="1">+'Tabla II.'!$C$9</f>
        <v>Tabla II.</v>
      </c>
      <c r="K131" s="409" t="str">
        <f t="shared" si="60"/>
        <v>B</v>
      </c>
      <c r="L131" s="406"/>
    </row>
    <row r="132" spans="1:12" s="410" customFormat="1">
      <c r="A132" s="406" t="s">
        <v>2944</v>
      </c>
      <c r="B132" s="406" t="str">
        <f t="shared" ca="1" si="67"/>
        <v>202503</v>
      </c>
      <c r="C132" s="406" t="str">
        <f t="shared" ca="1" si="68"/>
        <v>v1</v>
      </c>
      <c r="D132" s="407" t="str">
        <f t="shared" ca="1" si="64"/>
        <v>02.01.02.01.</v>
      </c>
      <c r="E132" s="406">
        <f t="shared" si="69"/>
        <v>0</v>
      </c>
      <c r="F132" s="408">
        <f ca="1">OFFSET('Tabla II.'!$H$44,H132-1,I132-1)</f>
        <v>0</v>
      </c>
      <c r="G132" s="406" t="str">
        <f ca="1">OFFSET('Tabla II.'!$H$1,0,I132-1)</f>
        <v>05</v>
      </c>
      <c r="H132" s="409">
        <f t="shared" si="65"/>
        <v>6</v>
      </c>
      <c r="I132" s="409">
        <f t="shared" si="66"/>
        <v>5</v>
      </c>
      <c r="J132" s="409" t="str">
        <f ca="1">+'Tabla II.'!$C$9</f>
        <v>Tabla II.</v>
      </c>
      <c r="K132" s="409" t="str">
        <f t="shared" si="60"/>
        <v>B</v>
      </c>
      <c r="L132" s="406"/>
    </row>
    <row r="133" spans="1:12" s="410" customFormat="1">
      <c r="A133" s="406" t="s">
        <v>2944</v>
      </c>
      <c r="B133" s="406" t="str">
        <f t="shared" ca="1" si="67"/>
        <v>202503</v>
      </c>
      <c r="C133" s="406" t="str">
        <f t="shared" ca="1" si="68"/>
        <v>v1</v>
      </c>
      <c r="D133" s="407" t="str">
        <f t="shared" ca="1" si="64"/>
        <v>02.01.02.01.</v>
      </c>
      <c r="E133" s="406">
        <f t="shared" si="69"/>
        <v>0</v>
      </c>
      <c r="F133" s="408">
        <f ca="1">OFFSET('Tabla II.'!$H$44,H133-1,I133-1)</f>
        <v>0</v>
      </c>
      <c r="G133" s="406" t="str">
        <f ca="1">OFFSET('Tabla II.'!$H$1,0,I133-1)</f>
        <v>06</v>
      </c>
      <c r="H133" s="409">
        <f t="shared" si="65"/>
        <v>6</v>
      </c>
      <c r="I133" s="409">
        <f t="shared" si="66"/>
        <v>6</v>
      </c>
      <c r="J133" s="409" t="str">
        <f ca="1">+'Tabla II.'!$C$9</f>
        <v>Tabla II.</v>
      </c>
      <c r="K133" s="409" t="str">
        <f t="shared" si="60"/>
        <v>B</v>
      </c>
      <c r="L133" s="406"/>
    </row>
    <row r="134" spans="1:12" s="410" customFormat="1">
      <c r="A134" s="406" t="s">
        <v>2944</v>
      </c>
      <c r="B134" s="406" t="str">
        <f t="shared" ca="1" si="67"/>
        <v>202503</v>
      </c>
      <c r="C134" s="406" t="str">
        <f t="shared" ca="1" si="68"/>
        <v>v1</v>
      </c>
      <c r="D134" s="407" t="str">
        <f t="shared" ca="1" si="64"/>
        <v>02.01.02.01.</v>
      </c>
      <c r="E134" s="406">
        <f t="shared" si="69"/>
        <v>0</v>
      </c>
      <c r="F134" s="408">
        <f ca="1">OFFSET('Tabla II.'!$H$44,H134-1,I134-1)</f>
        <v>0</v>
      </c>
      <c r="G134" s="406" t="str">
        <f ca="1">OFFSET('Tabla II.'!$H$1,0,I134-1)</f>
        <v>07</v>
      </c>
      <c r="H134" s="409">
        <f t="shared" si="65"/>
        <v>6</v>
      </c>
      <c r="I134" s="409">
        <f t="shared" si="66"/>
        <v>7</v>
      </c>
      <c r="J134" s="409" t="str">
        <f ca="1">+'Tabla II.'!$C$9</f>
        <v>Tabla II.</v>
      </c>
      <c r="K134" s="409" t="str">
        <f t="shared" si="60"/>
        <v>B</v>
      </c>
      <c r="L134" s="406"/>
    </row>
    <row r="135" spans="1:12" s="415" customFormat="1">
      <c r="A135" s="412" t="s">
        <v>2944</v>
      </c>
      <c r="B135" s="412" t="str">
        <f t="shared" ca="1" si="67"/>
        <v>202502</v>
      </c>
      <c r="C135" s="412" t="str">
        <f t="shared" ca="1" si="68"/>
        <v>v2</v>
      </c>
      <c r="D135" s="413" t="str">
        <f ca="1">OFFSET('Tabla II.'!$F$44,H135-1,0)</f>
        <v>02.01.02.02.</v>
      </c>
      <c r="E135" s="412">
        <f t="shared" si="69"/>
        <v>0</v>
      </c>
      <c r="F135" s="414">
        <f ca="1">OFFSET('Tabla II.'!$H$44,H135-1,I135-1)</f>
        <v>0</v>
      </c>
      <c r="G135" s="412" t="str">
        <f ca="1">OFFSET('Tabla II.'!$H$1,0,I135-1)</f>
        <v>01</v>
      </c>
      <c r="H135" s="111">
        <f>+H128+1</f>
        <v>7</v>
      </c>
      <c r="I135" s="111">
        <v>1</v>
      </c>
      <c r="J135" s="111" t="str">
        <f ca="1">+'Tabla II.'!$C$9</f>
        <v>Tabla II.</v>
      </c>
      <c r="K135" s="111" t="str">
        <f t="shared" ref="K135:K148" si="70">+K134</f>
        <v>B</v>
      </c>
      <c r="L135" s="412">
        <f>+L128+1</f>
        <v>7</v>
      </c>
    </row>
    <row r="136" spans="1:12" s="415" customFormat="1">
      <c r="A136" s="412" t="s">
        <v>2944</v>
      </c>
      <c r="B136" s="412" t="str">
        <f t="shared" ca="1" si="67"/>
        <v>202503</v>
      </c>
      <c r="C136" s="412" t="str">
        <f t="shared" ca="1" si="68"/>
        <v>v1</v>
      </c>
      <c r="D136" s="413" t="str">
        <f t="shared" ref="D136:D141" ca="1" si="71">+D135</f>
        <v>02.01.02.02.</v>
      </c>
      <c r="E136" s="412">
        <f t="shared" si="69"/>
        <v>0</v>
      </c>
      <c r="F136" s="414">
        <f ca="1">OFFSET('Tabla II.'!$H$44,H136-1,I136-1)</f>
        <v>0</v>
      </c>
      <c r="G136" s="412" t="str">
        <f ca="1">OFFSET('Tabla II.'!$H$1,0,I136-1)</f>
        <v>02</v>
      </c>
      <c r="H136" s="111">
        <f t="shared" ref="H136:H141" si="72">+H135</f>
        <v>7</v>
      </c>
      <c r="I136" s="111">
        <f t="shared" ref="I136:I141" si="73">+I135+1</f>
        <v>2</v>
      </c>
      <c r="J136" s="111" t="str">
        <f ca="1">+'Tabla II.'!$C$9</f>
        <v>Tabla II.</v>
      </c>
      <c r="K136" s="111" t="str">
        <f t="shared" si="70"/>
        <v>B</v>
      </c>
      <c r="L136" s="412"/>
    </row>
    <row r="137" spans="1:12" s="415" customFormat="1">
      <c r="A137" s="412" t="s">
        <v>2944</v>
      </c>
      <c r="B137" s="412" t="str">
        <f t="shared" ca="1" si="67"/>
        <v>202503</v>
      </c>
      <c r="C137" s="412" t="str">
        <f t="shared" ca="1" si="68"/>
        <v>v1</v>
      </c>
      <c r="D137" s="413" t="str">
        <f t="shared" ca="1" si="71"/>
        <v>02.01.02.02.</v>
      </c>
      <c r="E137" s="412">
        <f t="shared" si="69"/>
        <v>0</v>
      </c>
      <c r="F137" s="414">
        <f ca="1">OFFSET('Tabla II.'!$H$44,H137-1,I137-1)</f>
        <v>0</v>
      </c>
      <c r="G137" s="412" t="str">
        <f ca="1">OFFSET('Tabla II.'!$H$1,0,I137-1)</f>
        <v>03</v>
      </c>
      <c r="H137" s="111">
        <f t="shared" si="72"/>
        <v>7</v>
      </c>
      <c r="I137" s="111">
        <f t="shared" si="73"/>
        <v>3</v>
      </c>
      <c r="J137" s="111" t="str">
        <f ca="1">+'Tabla II.'!$C$9</f>
        <v>Tabla II.</v>
      </c>
      <c r="K137" s="111" t="str">
        <f t="shared" si="70"/>
        <v>B</v>
      </c>
      <c r="L137" s="412"/>
    </row>
    <row r="138" spans="1:12" s="415" customFormat="1">
      <c r="A138" s="412" t="s">
        <v>2944</v>
      </c>
      <c r="B138" s="412" t="str">
        <f t="shared" ca="1" si="67"/>
        <v>202503</v>
      </c>
      <c r="C138" s="412" t="str">
        <f t="shared" ca="1" si="68"/>
        <v>v1</v>
      </c>
      <c r="D138" s="413" t="str">
        <f t="shared" ca="1" si="71"/>
        <v>02.01.02.02.</v>
      </c>
      <c r="E138" s="412">
        <f t="shared" si="69"/>
        <v>0</v>
      </c>
      <c r="F138" s="414">
        <f ca="1">OFFSET('Tabla II.'!$H$44,H138-1,I138-1)</f>
        <v>0</v>
      </c>
      <c r="G138" s="412" t="str">
        <f ca="1">OFFSET('Tabla II.'!$H$1,0,I138-1)</f>
        <v>04</v>
      </c>
      <c r="H138" s="111">
        <f t="shared" si="72"/>
        <v>7</v>
      </c>
      <c r="I138" s="111">
        <f t="shared" si="73"/>
        <v>4</v>
      </c>
      <c r="J138" s="111" t="str">
        <f ca="1">+'Tabla II.'!$C$9</f>
        <v>Tabla II.</v>
      </c>
      <c r="K138" s="111" t="str">
        <f t="shared" si="70"/>
        <v>B</v>
      </c>
      <c r="L138" s="412"/>
    </row>
    <row r="139" spans="1:12" s="415" customFormat="1">
      <c r="A139" s="412" t="s">
        <v>2944</v>
      </c>
      <c r="B139" s="412" t="str">
        <f t="shared" ca="1" si="67"/>
        <v>202503</v>
      </c>
      <c r="C139" s="412" t="str">
        <f t="shared" ca="1" si="68"/>
        <v>v1</v>
      </c>
      <c r="D139" s="413" t="str">
        <f t="shared" ca="1" si="71"/>
        <v>02.01.02.02.</v>
      </c>
      <c r="E139" s="412">
        <f t="shared" si="69"/>
        <v>0</v>
      </c>
      <c r="F139" s="414">
        <f ca="1">OFFSET('Tabla II.'!$H$44,H139-1,I139-1)</f>
        <v>0</v>
      </c>
      <c r="G139" s="412" t="str">
        <f ca="1">OFFSET('Tabla II.'!$H$1,0,I139-1)</f>
        <v>05</v>
      </c>
      <c r="H139" s="111">
        <f t="shared" si="72"/>
        <v>7</v>
      </c>
      <c r="I139" s="111">
        <f t="shared" si="73"/>
        <v>5</v>
      </c>
      <c r="J139" s="111" t="str">
        <f ca="1">+'Tabla II.'!$C$9</f>
        <v>Tabla II.</v>
      </c>
      <c r="K139" s="111" t="str">
        <f t="shared" si="70"/>
        <v>B</v>
      </c>
      <c r="L139" s="412"/>
    </row>
    <row r="140" spans="1:12" s="415" customFormat="1">
      <c r="A140" s="412" t="s">
        <v>2944</v>
      </c>
      <c r="B140" s="412" t="str">
        <f t="shared" ca="1" si="67"/>
        <v>202503</v>
      </c>
      <c r="C140" s="412" t="str">
        <f t="shared" ca="1" si="68"/>
        <v>v1</v>
      </c>
      <c r="D140" s="413" t="str">
        <f t="shared" ca="1" si="71"/>
        <v>02.01.02.02.</v>
      </c>
      <c r="E140" s="412">
        <f t="shared" si="69"/>
        <v>0</v>
      </c>
      <c r="F140" s="414">
        <f ca="1">OFFSET('Tabla II.'!$H$44,H140-1,I140-1)</f>
        <v>0</v>
      </c>
      <c r="G140" s="412" t="str">
        <f ca="1">OFFSET('Tabla II.'!$H$1,0,I140-1)</f>
        <v>06</v>
      </c>
      <c r="H140" s="111">
        <f t="shared" si="72"/>
        <v>7</v>
      </c>
      <c r="I140" s="111">
        <f t="shared" si="73"/>
        <v>6</v>
      </c>
      <c r="J140" s="111" t="str">
        <f ca="1">+'Tabla II.'!$C$9</f>
        <v>Tabla II.</v>
      </c>
      <c r="K140" s="111" t="str">
        <f t="shared" si="70"/>
        <v>B</v>
      </c>
      <c r="L140" s="412"/>
    </row>
    <row r="141" spans="1:12" s="415" customFormat="1">
      <c r="A141" s="412" t="s">
        <v>2944</v>
      </c>
      <c r="B141" s="412" t="str">
        <f t="shared" ca="1" si="67"/>
        <v>202503</v>
      </c>
      <c r="C141" s="412" t="str">
        <f t="shared" ca="1" si="68"/>
        <v>v1</v>
      </c>
      <c r="D141" s="413" t="str">
        <f t="shared" ca="1" si="71"/>
        <v>02.01.02.02.</v>
      </c>
      <c r="E141" s="412">
        <f t="shared" si="69"/>
        <v>0</v>
      </c>
      <c r="F141" s="414">
        <f ca="1">OFFSET('Tabla II.'!$H$44,H141-1,I141-1)</f>
        <v>0</v>
      </c>
      <c r="G141" s="412" t="str">
        <f ca="1">OFFSET('Tabla II.'!$H$1,0,I141-1)</f>
        <v>07</v>
      </c>
      <c r="H141" s="111">
        <f t="shared" si="72"/>
        <v>7</v>
      </c>
      <c r="I141" s="111">
        <f t="shared" si="73"/>
        <v>7</v>
      </c>
      <c r="J141" s="111" t="str">
        <f ca="1">+'Tabla II.'!$C$9</f>
        <v>Tabla II.</v>
      </c>
      <c r="K141" s="111" t="str">
        <f t="shared" si="70"/>
        <v>B</v>
      </c>
      <c r="L141" s="412"/>
    </row>
    <row r="142" spans="1:12" s="410" customFormat="1">
      <c r="A142" s="406" t="s">
        <v>2944</v>
      </c>
      <c r="B142" s="406" t="str">
        <f t="shared" ca="1" si="67"/>
        <v>202502</v>
      </c>
      <c r="C142" s="406" t="str">
        <f t="shared" ca="1" si="68"/>
        <v>v2</v>
      </c>
      <c r="D142" s="407" t="str">
        <f ca="1">OFFSET('Tabla II.'!$F$44,H142-1,0)</f>
        <v>02.01.03.</v>
      </c>
      <c r="E142" s="406">
        <f t="shared" si="69"/>
        <v>0</v>
      </c>
      <c r="F142" s="408">
        <f ca="1">OFFSET('Tabla II.'!$H$44,H142-1,I142-1)</f>
        <v>0</v>
      </c>
      <c r="G142" s="406" t="str">
        <f ca="1">OFFSET('Tabla II.'!$H$1,0,I142-1)</f>
        <v>01</v>
      </c>
      <c r="H142" s="409">
        <f>+H135+1</f>
        <v>8</v>
      </c>
      <c r="I142" s="409">
        <v>1</v>
      </c>
      <c r="J142" s="409" t="str">
        <f ca="1">+'Tabla II.'!$C$9</f>
        <v>Tabla II.</v>
      </c>
      <c r="K142" s="409" t="str">
        <f t="shared" si="70"/>
        <v>B</v>
      </c>
      <c r="L142" s="406">
        <f>+L135+1</f>
        <v>8</v>
      </c>
    </row>
    <row r="143" spans="1:12" s="410" customFormat="1">
      <c r="A143" s="406" t="s">
        <v>2944</v>
      </c>
      <c r="B143" s="406" t="str">
        <f t="shared" ca="1" si="67"/>
        <v>202503</v>
      </c>
      <c r="C143" s="406" t="str">
        <f t="shared" ca="1" si="68"/>
        <v>v1</v>
      </c>
      <c r="D143" s="407" t="str">
        <f t="shared" ref="D143:D148" ca="1" si="74">+D142</f>
        <v>02.01.03.</v>
      </c>
      <c r="E143" s="406">
        <f t="shared" si="69"/>
        <v>0</v>
      </c>
      <c r="F143" s="408">
        <f ca="1">OFFSET('Tabla II.'!$H$44,H143-1,I143-1)</f>
        <v>0</v>
      </c>
      <c r="G143" s="406" t="str">
        <f ca="1">OFFSET('Tabla II.'!$H$1,0,I143-1)</f>
        <v>02</v>
      </c>
      <c r="H143" s="409">
        <f t="shared" ref="H143:H148" si="75">+H142</f>
        <v>8</v>
      </c>
      <c r="I143" s="409">
        <f t="shared" ref="I143:I148" si="76">+I142+1</f>
        <v>2</v>
      </c>
      <c r="J143" s="409" t="str">
        <f ca="1">+'Tabla II.'!$C$9</f>
        <v>Tabla II.</v>
      </c>
      <c r="K143" s="409" t="str">
        <f t="shared" si="70"/>
        <v>B</v>
      </c>
      <c r="L143" s="406"/>
    </row>
    <row r="144" spans="1:12" s="410" customFormat="1">
      <c r="A144" s="406" t="s">
        <v>2944</v>
      </c>
      <c r="B144" s="406" t="str">
        <f t="shared" ca="1" si="67"/>
        <v>202503</v>
      </c>
      <c r="C144" s="406" t="str">
        <f t="shared" ca="1" si="68"/>
        <v>v1</v>
      </c>
      <c r="D144" s="407" t="str">
        <f t="shared" ca="1" si="74"/>
        <v>02.01.03.</v>
      </c>
      <c r="E144" s="406">
        <f t="shared" si="69"/>
        <v>0</v>
      </c>
      <c r="F144" s="408">
        <f ca="1">OFFSET('Tabla II.'!$H$44,H144-1,I144-1)</f>
        <v>0</v>
      </c>
      <c r="G144" s="406" t="str">
        <f ca="1">OFFSET('Tabla II.'!$H$1,0,I144-1)</f>
        <v>03</v>
      </c>
      <c r="H144" s="409">
        <f t="shared" si="75"/>
        <v>8</v>
      </c>
      <c r="I144" s="409">
        <f t="shared" si="76"/>
        <v>3</v>
      </c>
      <c r="J144" s="409" t="str">
        <f ca="1">+'Tabla II.'!$C$9</f>
        <v>Tabla II.</v>
      </c>
      <c r="K144" s="409" t="str">
        <f t="shared" si="70"/>
        <v>B</v>
      </c>
      <c r="L144" s="406"/>
    </row>
    <row r="145" spans="1:12" s="410" customFormat="1">
      <c r="A145" s="406" t="s">
        <v>2944</v>
      </c>
      <c r="B145" s="406" t="str">
        <f t="shared" ca="1" si="67"/>
        <v>202503</v>
      </c>
      <c r="C145" s="406" t="str">
        <f t="shared" ca="1" si="68"/>
        <v>v1</v>
      </c>
      <c r="D145" s="407" t="str">
        <f t="shared" ca="1" si="74"/>
        <v>02.01.03.</v>
      </c>
      <c r="E145" s="406">
        <f t="shared" si="69"/>
        <v>0</v>
      </c>
      <c r="F145" s="408">
        <f ca="1">OFFSET('Tabla II.'!$H$44,H145-1,I145-1)</f>
        <v>0</v>
      </c>
      <c r="G145" s="406" t="str">
        <f ca="1">OFFSET('Tabla II.'!$H$1,0,I145-1)</f>
        <v>04</v>
      </c>
      <c r="H145" s="409">
        <f t="shared" si="75"/>
        <v>8</v>
      </c>
      <c r="I145" s="409">
        <f t="shared" si="76"/>
        <v>4</v>
      </c>
      <c r="J145" s="409" t="str">
        <f ca="1">+'Tabla II.'!$C$9</f>
        <v>Tabla II.</v>
      </c>
      <c r="K145" s="409" t="str">
        <f t="shared" si="70"/>
        <v>B</v>
      </c>
      <c r="L145" s="406"/>
    </row>
    <row r="146" spans="1:12" s="410" customFormat="1">
      <c r="A146" s="406" t="s">
        <v>2944</v>
      </c>
      <c r="B146" s="406" t="str">
        <f t="shared" ca="1" si="67"/>
        <v>202503</v>
      </c>
      <c r="C146" s="406" t="str">
        <f t="shared" ca="1" si="68"/>
        <v>v1</v>
      </c>
      <c r="D146" s="407" t="str">
        <f t="shared" ca="1" si="74"/>
        <v>02.01.03.</v>
      </c>
      <c r="E146" s="406">
        <f t="shared" si="69"/>
        <v>0</v>
      </c>
      <c r="F146" s="408">
        <f ca="1">OFFSET('Tabla II.'!$H$44,H146-1,I146-1)</f>
        <v>0</v>
      </c>
      <c r="G146" s="406" t="str">
        <f ca="1">OFFSET('Tabla II.'!$H$1,0,I146-1)</f>
        <v>05</v>
      </c>
      <c r="H146" s="409">
        <f t="shared" si="75"/>
        <v>8</v>
      </c>
      <c r="I146" s="409">
        <f t="shared" si="76"/>
        <v>5</v>
      </c>
      <c r="J146" s="409" t="str">
        <f ca="1">+'Tabla II.'!$C$9</f>
        <v>Tabla II.</v>
      </c>
      <c r="K146" s="409" t="str">
        <f t="shared" si="70"/>
        <v>B</v>
      </c>
      <c r="L146" s="406"/>
    </row>
    <row r="147" spans="1:12" s="410" customFormat="1">
      <c r="A147" s="406" t="s">
        <v>2944</v>
      </c>
      <c r="B147" s="406" t="str">
        <f t="shared" ca="1" si="67"/>
        <v>202503</v>
      </c>
      <c r="C147" s="406" t="str">
        <f t="shared" ca="1" si="68"/>
        <v>v1</v>
      </c>
      <c r="D147" s="407" t="str">
        <f t="shared" ca="1" si="74"/>
        <v>02.01.03.</v>
      </c>
      <c r="E147" s="406">
        <f t="shared" si="69"/>
        <v>0</v>
      </c>
      <c r="F147" s="408">
        <f ca="1">OFFSET('Tabla II.'!$H$44,H147-1,I147-1)</f>
        <v>0</v>
      </c>
      <c r="G147" s="406" t="str">
        <f ca="1">OFFSET('Tabla II.'!$H$1,0,I147-1)</f>
        <v>06</v>
      </c>
      <c r="H147" s="409">
        <f t="shared" si="75"/>
        <v>8</v>
      </c>
      <c r="I147" s="409">
        <f t="shared" si="76"/>
        <v>6</v>
      </c>
      <c r="J147" s="409" t="str">
        <f ca="1">+'Tabla II.'!$C$9</f>
        <v>Tabla II.</v>
      </c>
      <c r="K147" s="409" t="str">
        <f t="shared" si="70"/>
        <v>B</v>
      </c>
      <c r="L147" s="406"/>
    </row>
    <row r="148" spans="1:12" s="410" customFormat="1">
      <c r="A148" s="406" t="s">
        <v>2944</v>
      </c>
      <c r="B148" s="406" t="str">
        <f t="shared" ca="1" si="67"/>
        <v>202503</v>
      </c>
      <c r="C148" s="406" t="str">
        <f t="shared" ca="1" si="68"/>
        <v>v1</v>
      </c>
      <c r="D148" s="407" t="str">
        <f t="shared" ca="1" si="74"/>
        <v>02.01.03.</v>
      </c>
      <c r="E148" s="406">
        <f t="shared" si="69"/>
        <v>0</v>
      </c>
      <c r="F148" s="408">
        <f ca="1">OFFSET('Tabla II.'!$H$44,H148-1,I148-1)</f>
        <v>0</v>
      </c>
      <c r="G148" s="406" t="str">
        <f ca="1">OFFSET('Tabla II.'!$H$1,0,I148-1)</f>
        <v>07</v>
      </c>
      <c r="H148" s="409">
        <f t="shared" si="75"/>
        <v>8</v>
      </c>
      <c r="I148" s="409">
        <f t="shared" si="76"/>
        <v>7</v>
      </c>
      <c r="J148" s="409" t="str">
        <f ca="1">+'Tabla II.'!$C$9</f>
        <v>Tabla II.</v>
      </c>
      <c r="K148" s="409" t="str">
        <f t="shared" si="70"/>
        <v>B</v>
      </c>
      <c r="L148" s="406"/>
    </row>
    <row r="149" spans="1:12" s="415" customFormat="1">
      <c r="A149" s="412" t="s">
        <v>2944</v>
      </c>
      <c r="B149" s="412" t="str">
        <f t="shared" ca="1" si="67"/>
        <v>202502</v>
      </c>
      <c r="C149" s="412" t="str">
        <f t="shared" ca="1" si="68"/>
        <v>v2</v>
      </c>
      <c r="D149" s="413" t="str">
        <f ca="1">OFFSET('Tabla II.'!$F$44,H149-1,0)</f>
        <v>02.01.03.01.</v>
      </c>
      <c r="E149" s="412">
        <f t="shared" si="69"/>
        <v>0</v>
      </c>
      <c r="F149" s="414">
        <f ca="1">OFFSET('Tabla II.'!$H$44,H149-1,I149-1)</f>
        <v>0</v>
      </c>
      <c r="G149" s="412" t="str">
        <f ca="1">OFFSET('Tabla II.'!$H$1,0,I149-1)</f>
        <v>01</v>
      </c>
      <c r="H149" s="111">
        <f>+H142+1</f>
        <v>9</v>
      </c>
      <c r="I149" s="111">
        <v>1</v>
      </c>
      <c r="J149" s="111" t="str">
        <f ca="1">+'Tabla II.'!$C$9</f>
        <v>Tabla II.</v>
      </c>
      <c r="K149" s="111" t="str">
        <f t="shared" ref="K149:K162" si="77">+K148</f>
        <v>B</v>
      </c>
      <c r="L149" s="412">
        <f>+L142+1</f>
        <v>9</v>
      </c>
    </row>
    <row r="150" spans="1:12" s="415" customFormat="1">
      <c r="A150" s="412" t="s">
        <v>2944</v>
      </c>
      <c r="B150" s="412" t="str">
        <f t="shared" ca="1" si="67"/>
        <v>202503</v>
      </c>
      <c r="C150" s="412" t="str">
        <f t="shared" ca="1" si="68"/>
        <v>v1</v>
      </c>
      <c r="D150" s="413" t="str">
        <f t="shared" ref="D150:D155" ca="1" si="78">+D149</f>
        <v>02.01.03.01.</v>
      </c>
      <c r="E150" s="412">
        <f t="shared" si="69"/>
        <v>0</v>
      </c>
      <c r="F150" s="414">
        <f ca="1">OFFSET('Tabla II.'!$H$44,H150-1,I150-1)</f>
        <v>0</v>
      </c>
      <c r="G150" s="412" t="str">
        <f ca="1">OFFSET('Tabla II.'!$H$1,0,I150-1)</f>
        <v>02</v>
      </c>
      <c r="H150" s="111">
        <f t="shared" ref="H150:H155" si="79">+H149</f>
        <v>9</v>
      </c>
      <c r="I150" s="111">
        <f t="shared" ref="I150:I155" si="80">+I149+1</f>
        <v>2</v>
      </c>
      <c r="J150" s="111" t="str">
        <f ca="1">+'Tabla II.'!$C$9</f>
        <v>Tabla II.</v>
      </c>
      <c r="K150" s="111" t="str">
        <f t="shared" si="77"/>
        <v>B</v>
      </c>
      <c r="L150" s="412"/>
    </row>
    <row r="151" spans="1:12" s="415" customFormat="1">
      <c r="A151" s="412" t="s">
        <v>2944</v>
      </c>
      <c r="B151" s="412" t="str">
        <f t="shared" ca="1" si="67"/>
        <v>202503</v>
      </c>
      <c r="C151" s="412" t="str">
        <f t="shared" ca="1" si="68"/>
        <v>v1</v>
      </c>
      <c r="D151" s="413" t="str">
        <f t="shared" ca="1" si="78"/>
        <v>02.01.03.01.</v>
      </c>
      <c r="E151" s="412">
        <f t="shared" si="69"/>
        <v>0</v>
      </c>
      <c r="F151" s="414">
        <f ca="1">OFFSET('Tabla II.'!$H$44,H151-1,I151-1)</f>
        <v>0</v>
      </c>
      <c r="G151" s="412" t="str">
        <f ca="1">OFFSET('Tabla II.'!$H$1,0,I151-1)</f>
        <v>03</v>
      </c>
      <c r="H151" s="111">
        <f t="shared" si="79"/>
        <v>9</v>
      </c>
      <c r="I151" s="111">
        <f t="shared" si="80"/>
        <v>3</v>
      </c>
      <c r="J151" s="111" t="str">
        <f ca="1">+'Tabla II.'!$C$9</f>
        <v>Tabla II.</v>
      </c>
      <c r="K151" s="111" t="str">
        <f t="shared" si="77"/>
        <v>B</v>
      </c>
      <c r="L151" s="412"/>
    </row>
    <row r="152" spans="1:12" s="415" customFormat="1">
      <c r="A152" s="412" t="s">
        <v>2944</v>
      </c>
      <c r="B152" s="412" t="str">
        <f t="shared" ca="1" si="67"/>
        <v>202503</v>
      </c>
      <c r="C152" s="412" t="str">
        <f t="shared" ca="1" si="68"/>
        <v>v1</v>
      </c>
      <c r="D152" s="413" t="str">
        <f t="shared" ca="1" si="78"/>
        <v>02.01.03.01.</v>
      </c>
      <c r="E152" s="412">
        <f t="shared" si="69"/>
        <v>0</v>
      </c>
      <c r="F152" s="414">
        <f ca="1">OFFSET('Tabla II.'!$H$44,H152-1,I152-1)</f>
        <v>0</v>
      </c>
      <c r="G152" s="412" t="str">
        <f ca="1">OFFSET('Tabla II.'!$H$1,0,I152-1)</f>
        <v>04</v>
      </c>
      <c r="H152" s="111">
        <f t="shared" si="79"/>
        <v>9</v>
      </c>
      <c r="I152" s="111">
        <f t="shared" si="80"/>
        <v>4</v>
      </c>
      <c r="J152" s="111" t="str">
        <f ca="1">+'Tabla II.'!$C$9</f>
        <v>Tabla II.</v>
      </c>
      <c r="K152" s="111" t="str">
        <f t="shared" si="77"/>
        <v>B</v>
      </c>
      <c r="L152" s="412"/>
    </row>
    <row r="153" spans="1:12" s="415" customFormat="1">
      <c r="A153" s="412" t="s">
        <v>2944</v>
      </c>
      <c r="B153" s="412" t="str">
        <f t="shared" ca="1" si="67"/>
        <v>202503</v>
      </c>
      <c r="C153" s="412" t="str">
        <f t="shared" ca="1" si="68"/>
        <v>v1</v>
      </c>
      <c r="D153" s="413" t="str">
        <f t="shared" ca="1" si="78"/>
        <v>02.01.03.01.</v>
      </c>
      <c r="E153" s="412">
        <f t="shared" si="69"/>
        <v>0</v>
      </c>
      <c r="F153" s="414">
        <f ca="1">OFFSET('Tabla II.'!$H$44,H153-1,I153-1)</f>
        <v>0</v>
      </c>
      <c r="G153" s="412" t="str">
        <f ca="1">OFFSET('Tabla II.'!$H$1,0,I153-1)</f>
        <v>05</v>
      </c>
      <c r="H153" s="111">
        <f t="shared" si="79"/>
        <v>9</v>
      </c>
      <c r="I153" s="111">
        <f t="shared" si="80"/>
        <v>5</v>
      </c>
      <c r="J153" s="111" t="str">
        <f ca="1">+'Tabla II.'!$C$9</f>
        <v>Tabla II.</v>
      </c>
      <c r="K153" s="111" t="str">
        <f t="shared" si="77"/>
        <v>B</v>
      </c>
      <c r="L153" s="412"/>
    </row>
    <row r="154" spans="1:12" s="415" customFormat="1">
      <c r="A154" s="412" t="s">
        <v>2944</v>
      </c>
      <c r="B154" s="412" t="str">
        <f t="shared" ca="1" si="67"/>
        <v>202503</v>
      </c>
      <c r="C154" s="412" t="str">
        <f t="shared" ca="1" si="68"/>
        <v>v1</v>
      </c>
      <c r="D154" s="413" t="str">
        <f t="shared" ca="1" si="78"/>
        <v>02.01.03.01.</v>
      </c>
      <c r="E154" s="412">
        <f t="shared" si="69"/>
        <v>0</v>
      </c>
      <c r="F154" s="414">
        <f ca="1">OFFSET('Tabla II.'!$H$44,H154-1,I154-1)</f>
        <v>0</v>
      </c>
      <c r="G154" s="412" t="str">
        <f ca="1">OFFSET('Tabla II.'!$H$1,0,I154-1)</f>
        <v>06</v>
      </c>
      <c r="H154" s="111">
        <f t="shared" si="79"/>
        <v>9</v>
      </c>
      <c r="I154" s="111">
        <f t="shared" si="80"/>
        <v>6</v>
      </c>
      <c r="J154" s="111" t="str">
        <f ca="1">+'Tabla II.'!$C$9</f>
        <v>Tabla II.</v>
      </c>
      <c r="K154" s="111" t="str">
        <f t="shared" si="77"/>
        <v>B</v>
      </c>
      <c r="L154" s="412"/>
    </row>
    <row r="155" spans="1:12" s="415" customFormat="1">
      <c r="A155" s="412" t="s">
        <v>2944</v>
      </c>
      <c r="B155" s="412" t="str">
        <f t="shared" ca="1" si="67"/>
        <v>202503</v>
      </c>
      <c r="C155" s="412" t="str">
        <f t="shared" ca="1" si="68"/>
        <v>v1</v>
      </c>
      <c r="D155" s="413" t="str">
        <f t="shared" ca="1" si="78"/>
        <v>02.01.03.01.</v>
      </c>
      <c r="E155" s="412">
        <f t="shared" si="69"/>
        <v>0</v>
      </c>
      <c r="F155" s="414">
        <f ca="1">OFFSET('Tabla II.'!$H$44,H155-1,I155-1)</f>
        <v>0</v>
      </c>
      <c r="G155" s="412" t="str">
        <f ca="1">OFFSET('Tabla II.'!$H$1,0,I155-1)</f>
        <v>07</v>
      </c>
      <c r="H155" s="111">
        <f t="shared" si="79"/>
        <v>9</v>
      </c>
      <c r="I155" s="111">
        <f t="shared" si="80"/>
        <v>7</v>
      </c>
      <c r="J155" s="111" t="str">
        <f ca="1">+'Tabla II.'!$C$9</f>
        <v>Tabla II.</v>
      </c>
      <c r="K155" s="111" t="str">
        <f t="shared" si="77"/>
        <v>B</v>
      </c>
      <c r="L155" s="412"/>
    </row>
    <row r="156" spans="1:12" s="410" customFormat="1">
      <c r="A156" s="406" t="s">
        <v>2944</v>
      </c>
      <c r="B156" s="406" t="str">
        <f t="shared" ca="1" si="67"/>
        <v>202502</v>
      </c>
      <c r="C156" s="406" t="str">
        <f t="shared" ca="1" si="68"/>
        <v>v2</v>
      </c>
      <c r="D156" s="407" t="str">
        <f ca="1">OFFSET('Tabla II.'!$F$44,H156-1,0)</f>
        <v>02.01.03.02.</v>
      </c>
      <c r="E156" s="406">
        <f t="shared" si="69"/>
        <v>0</v>
      </c>
      <c r="F156" s="408">
        <f ca="1">OFFSET('Tabla II.'!$H$44,H156-1,I156-1)</f>
        <v>0</v>
      </c>
      <c r="G156" s="406" t="str">
        <f ca="1">OFFSET('Tabla II.'!$H$1,0,I156-1)</f>
        <v>01</v>
      </c>
      <c r="H156" s="409">
        <f>+H149+1</f>
        <v>10</v>
      </c>
      <c r="I156" s="409">
        <v>1</v>
      </c>
      <c r="J156" s="409" t="str">
        <f ca="1">+'Tabla II.'!$C$9</f>
        <v>Tabla II.</v>
      </c>
      <c r="K156" s="409" t="str">
        <f t="shared" si="77"/>
        <v>B</v>
      </c>
      <c r="L156" s="406">
        <f>+L149+1</f>
        <v>10</v>
      </c>
    </row>
    <row r="157" spans="1:12" s="410" customFormat="1">
      <c r="A157" s="406" t="s">
        <v>2944</v>
      </c>
      <c r="B157" s="406" t="str">
        <f t="shared" ca="1" si="67"/>
        <v>202503</v>
      </c>
      <c r="C157" s="406" t="str">
        <f t="shared" ca="1" si="68"/>
        <v>v1</v>
      </c>
      <c r="D157" s="407" t="str">
        <f t="shared" ref="D157:D162" ca="1" si="81">+D156</f>
        <v>02.01.03.02.</v>
      </c>
      <c r="E157" s="406">
        <f t="shared" si="69"/>
        <v>0</v>
      </c>
      <c r="F157" s="408">
        <f ca="1">OFFSET('Tabla II.'!$H$44,H157-1,I157-1)</f>
        <v>0</v>
      </c>
      <c r="G157" s="406" t="str">
        <f ca="1">OFFSET('Tabla II.'!$H$1,0,I157-1)</f>
        <v>02</v>
      </c>
      <c r="H157" s="409">
        <f t="shared" ref="H157:H162" si="82">+H156</f>
        <v>10</v>
      </c>
      <c r="I157" s="409">
        <f t="shared" ref="I157:I162" si="83">+I156+1</f>
        <v>2</v>
      </c>
      <c r="J157" s="409" t="str">
        <f ca="1">+'Tabla II.'!$C$9</f>
        <v>Tabla II.</v>
      </c>
      <c r="K157" s="409" t="str">
        <f t="shared" si="77"/>
        <v>B</v>
      </c>
      <c r="L157" s="406"/>
    </row>
    <row r="158" spans="1:12" s="410" customFormat="1">
      <c r="A158" s="406" t="s">
        <v>2944</v>
      </c>
      <c r="B158" s="406" t="str">
        <f t="shared" ca="1" si="67"/>
        <v>202503</v>
      </c>
      <c r="C158" s="406" t="str">
        <f t="shared" ca="1" si="68"/>
        <v>v1</v>
      </c>
      <c r="D158" s="407" t="str">
        <f t="shared" ca="1" si="81"/>
        <v>02.01.03.02.</v>
      </c>
      <c r="E158" s="406">
        <f t="shared" si="69"/>
        <v>0</v>
      </c>
      <c r="F158" s="408">
        <f ca="1">OFFSET('Tabla II.'!$H$44,H158-1,I158-1)</f>
        <v>0</v>
      </c>
      <c r="G158" s="406" t="str">
        <f ca="1">OFFSET('Tabla II.'!$H$1,0,I158-1)</f>
        <v>03</v>
      </c>
      <c r="H158" s="409">
        <f t="shared" si="82"/>
        <v>10</v>
      </c>
      <c r="I158" s="409">
        <f t="shared" si="83"/>
        <v>3</v>
      </c>
      <c r="J158" s="409" t="str">
        <f ca="1">+'Tabla II.'!$C$9</f>
        <v>Tabla II.</v>
      </c>
      <c r="K158" s="409" t="str">
        <f t="shared" si="77"/>
        <v>B</v>
      </c>
      <c r="L158" s="406"/>
    </row>
    <row r="159" spans="1:12" s="410" customFormat="1">
      <c r="A159" s="406" t="s">
        <v>2944</v>
      </c>
      <c r="B159" s="406" t="str">
        <f t="shared" ca="1" si="67"/>
        <v>202503</v>
      </c>
      <c r="C159" s="406" t="str">
        <f t="shared" ca="1" si="68"/>
        <v>v1</v>
      </c>
      <c r="D159" s="407" t="str">
        <f t="shared" ca="1" si="81"/>
        <v>02.01.03.02.</v>
      </c>
      <c r="E159" s="406">
        <f t="shared" si="69"/>
        <v>0</v>
      </c>
      <c r="F159" s="408">
        <f ca="1">OFFSET('Tabla II.'!$H$44,H159-1,I159-1)</f>
        <v>0</v>
      </c>
      <c r="G159" s="406" t="str">
        <f ca="1">OFFSET('Tabla II.'!$H$1,0,I159-1)</f>
        <v>04</v>
      </c>
      <c r="H159" s="409">
        <f t="shared" si="82"/>
        <v>10</v>
      </c>
      <c r="I159" s="409">
        <f t="shared" si="83"/>
        <v>4</v>
      </c>
      <c r="J159" s="409" t="str">
        <f ca="1">+'Tabla II.'!$C$9</f>
        <v>Tabla II.</v>
      </c>
      <c r="K159" s="409" t="str">
        <f t="shared" si="77"/>
        <v>B</v>
      </c>
      <c r="L159" s="406"/>
    </row>
    <row r="160" spans="1:12" s="410" customFormat="1">
      <c r="A160" s="406" t="s">
        <v>2944</v>
      </c>
      <c r="B160" s="406" t="str">
        <f t="shared" ca="1" si="67"/>
        <v>202503</v>
      </c>
      <c r="C160" s="406" t="str">
        <f t="shared" ca="1" si="68"/>
        <v>v1</v>
      </c>
      <c r="D160" s="407" t="str">
        <f t="shared" ca="1" si="81"/>
        <v>02.01.03.02.</v>
      </c>
      <c r="E160" s="406">
        <f t="shared" si="69"/>
        <v>0</v>
      </c>
      <c r="F160" s="408">
        <f ca="1">OFFSET('Tabla II.'!$H$44,H160-1,I160-1)</f>
        <v>0</v>
      </c>
      <c r="G160" s="406" t="str">
        <f ca="1">OFFSET('Tabla II.'!$H$1,0,I160-1)</f>
        <v>05</v>
      </c>
      <c r="H160" s="409">
        <f t="shared" si="82"/>
        <v>10</v>
      </c>
      <c r="I160" s="409">
        <f t="shared" si="83"/>
        <v>5</v>
      </c>
      <c r="J160" s="409" t="str">
        <f ca="1">+'Tabla II.'!$C$9</f>
        <v>Tabla II.</v>
      </c>
      <c r="K160" s="409" t="str">
        <f t="shared" si="77"/>
        <v>B</v>
      </c>
      <c r="L160" s="406"/>
    </row>
    <row r="161" spans="1:12" s="410" customFormat="1">
      <c r="A161" s="406" t="s">
        <v>2944</v>
      </c>
      <c r="B161" s="406" t="str">
        <f t="shared" ca="1" si="67"/>
        <v>202503</v>
      </c>
      <c r="C161" s="406" t="str">
        <f t="shared" ca="1" si="68"/>
        <v>v1</v>
      </c>
      <c r="D161" s="407" t="str">
        <f t="shared" ca="1" si="81"/>
        <v>02.01.03.02.</v>
      </c>
      <c r="E161" s="406">
        <f t="shared" si="69"/>
        <v>0</v>
      </c>
      <c r="F161" s="408">
        <f ca="1">OFFSET('Tabla II.'!$H$44,H161-1,I161-1)</f>
        <v>0</v>
      </c>
      <c r="G161" s="406" t="str">
        <f ca="1">OFFSET('Tabla II.'!$H$1,0,I161-1)</f>
        <v>06</v>
      </c>
      <c r="H161" s="409">
        <f t="shared" si="82"/>
        <v>10</v>
      </c>
      <c r="I161" s="409">
        <f t="shared" si="83"/>
        <v>6</v>
      </c>
      <c r="J161" s="409" t="str">
        <f ca="1">+'Tabla II.'!$C$9</f>
        <v>Tabla II.</v>
      </c>
      <c r="K161" s="409" t="str">
        <f t="shared" si="77"/>
        <v>B</v>
      </c>
      <c r="L161" s="406"/>
    </row>
    <row r="162" spans="1:12" s="410" customFormat="1">
      <c r="A162" s="406" t="s">
        <v>2944</v>
      </c>
      <c r="B162" s="406" t="str">
        <f t="shared" ca="1" si="67"/>
        <v>202503</v>
      </c>
      <c r="C162" s="406" t="str">
        <f t="shared" ca="1" si="68"/>
        <v>v1</v>
      </c>
      <c r="D162" s="407" t="str">
        <f t="shared" ca="1" si="81"/>
        <v>02.01.03.02.</v>
      </c>
      <c r="E162" s="406">
        <f t="shared" si="69"/>
        <v>0</v>
      </c>
      <c r="F162" s="408">
        <f ca="1">OFFSET('Tabla II.'!$H$44,H162-1,I162-1)</f>
        <v>0</v>
      </c>
      <c r="G162" s="406" t="str">
        <f ca="1">OFFSET('Tabla II.'!$H$1,0,I162-1)</f>
        <v>07</v>
      </c>
      <c r="H162" s="409">
        <f t="shared" si="82"/>
        <v>10</v>
      </c>
      <c r="I162" s="409">
        <f t="shared" si="83"/>
        <v>7</v>
      </c>
      <c r="J162" s="409" t="str">
        <f ca="1">+'Tabla II.'!$C$9</f>
        <v>Tabla II.</v>
      </c>
      <c r="K162" s="409" t="str">
        <f t="shared" si="77"/>
        <v>B</v>
      </c>
      <c r="L162" s="406"/>
    </row>
    <row r="163" spans="1:12" s="415" customFormat="1">
      <c r="A163" s="412" t="s">
        <v>2944</v>
      </c>
      <c r="B163" s="412" t="str">
        <f t="shared" ca="1" si="67"/>
        <v>202502</v>
      </c>
      <c r="C163" s="412" t="str">
        <f t="shared" ca="1" si="68"/>
        <v>v2</v>
      </c>
      <c r="D163" s="413" t="str">
        <f ca="1">OFFSET('Tabla II.'!$F$44,H163-1,0)</f>
        <v>02.02.01.</v>
      </c>
      <c r="E163" s="412">
        <f t="shared" si="69"/>
        <v>0</v>
      </c>
      <c r="F163" s="414">
        <f ca="1">OFFSET('Tabla II.'!$H$44,H163-1,I163-1)</f>
        <v>0</v>
      </c>
      <c r="G163" s="412" t="str">
        <f ca="1">OFFSET('Tabla II.'!$H$1,0,I163-1)</f>
        <v>01</v>
      </c>
      <c r="H163" s="111">
        <f>+H156+1</f>
        <v>11</v>
      </c>
      <c r="I163" s="111">
        <v>1</v>
      </c>
      <c r="J163" s="111" t="str">
        <f ca="1">+'Tabla II.'!$C$9</f>
        <v>Tabla II.</v>
      </c>
      <c r="K163" s="111" t="str">
        <f t="shared" ref="K163:K176" si="84">+K162</f>
        <v>B</v>
      </c>
      <c r="L163" s="412">
        <f>+L156+1</f>
        <v>11</v>
      </c>
    </row>
    <row r="164" spans="1:12" s="415" customFormat="1">
      <c r="A164" s="412" t="s">
        <v>2944</v>
      </c>
      <c r="B164" s="412" t="str">
        <f t="shared" ca="1" si="67"/>
        <v>202503</v>
      </c>
      <c r="C164" s="412" t="str">
        <f t="shared" ca="1" si="68"/>
        <v>v1</v>
      </c>
      <c r="D164" s="413" t="str">
        <f t="shared" ref="D164:D169" ca="1" si="85">+D163</f>
        <v>02.02.01.</v>
      </c>
      <c r="E164" s="412">
        <f t="shared" si="69"/>
        <v>0</v>
      </c>
      <c r="F164" s="414">
        <f ca="1">OFFSET('Tabla II.'!$H$44,H164-1,I164-1)</f>
        <v>0</v>
      </c>
      <c r="G164" s="412" t="str">
        <f ca="1">OFFSET('Tabla II.'!$H$1,0,I164-1)</f>
        <v>02</v>
      </c>
      <c r="H164" s="111">
        <f t="shared" ref="H164:H169" si="86">+H163</f>
        <v>11</v>
      </c>
      <c r="I164" s="111">
        <f t="shared" ref="I164:I169" si="87">+I163+1</f>
        <v>2</v>
      </c>
      <c r="J164" s="111" t="str">
        <f ca="1">+'Tabla II.'!$C$9</f>
        <v>Tabla II.</v>
      </c>
      <c r="K164" s="111" t="str">
        <f t="shared" si="84"/>
        <v>B</v>
      </c>
      <c r="L164" s="412"/>
    </row>
    <row r="165" spans="1:12" s="415" customFormat="1">
      <c r="A165" s="412" t="s">
        <v>2944</v>
      </c>
      <c r="B165" s="412" t="str">
        <f t="shared" ca="1" si="67"/>
        <v>202503</v>
      </c>
      <c r="C165" s="412" t="str">
        <f t="shared" ca="1" si="68"/>
        <v>v1</v>
      </c>
      <c r="D165" s="413" t="str">
        <f t="shared" ca="1" si="85"/>
        <v>02.02.01.</v>
      </c>
      <c r="E165" s="412">
        <f t="shared" si="69"/>
        <v>0</v>
      </c>
      <c r="F165" s="414">
        <f ca="1">OFFSET('Tabla II.'!$H$44,H165-1,I165-1)</f>
        <v>0</v>
      </c>
      <c r="G165" s="412" t="str">
        <f ca="1">OFFSET('Tabla II.'!$H$1,0,I165-1)</f>
        <v>03</v>
      </c>
      <c r="H165" s="111">
        <f t="shared" si="86"/>
        <v>11</v>
      </c>
      <c r="I165" s="111">
        <f t="shared" si="87"/>
        <v>3</v>
      </c>
      <c r="J165" s="111" t="str">
        <f ca="1">+'Tabla II.'!$C$9</f>
        <v>Tabla II.</v>
      </c>
      <c r="K165" s="111" t="str">
        <f t="shared" si="84"/>
        <v>B</v>
      </c>
      <c r="L165" s="412"/>
    </row>
    <row r="166" spans="1:12" s="415" customFormat="1">
      <c r="A166" s="412" t="s">
        <v>2944</v>
      </c>
      <c r="B166" s="412" t="str">
        <f t="shared" ca="1" si="67"/>
        <v>202503</v>
      </c>
      <c r="C166" s="412" t="str">
        <f t="shared" ca="1" si="68"/>
        <v>v1</v>
      </c>
      <c r="D166" s="413" t="str">
        <f t="shared" ca="1" si="85"/>
        <v>02.02.01.</v>
      </c>
      <c r="E166" s="412">
        <f t="shared" si="69"/>
        <v>0</v>
      </c>
      <c r="F166" s="414">
        <f ca="1">OFFSET('Tabla II.'!$H$44,H166-1,I166-1)</f>
        <v>0</v>
      </c>
      <c r="G166" s="412" t="str">
        <f ca="1">OFFSET('Tabla II.'!$H$1,0,I166-1)</f>
        <v>04</v>
      </c>
      <c r="H166" s="111">
        <f t="shared" si="86"/>
        <v>11</v>
      </c>
      <c r="I166" s="111">
        <f t="shared" si="87"/>
        <v>4</v>
      </c>
      <c r="J166" s="111" t="str">
        <f ca="1">+'Tabla II.'!$C$9</f>
        <v>Tabla II.</v>
      </c>
      <c r="K166" s="111" t="str">
        <f t="shared" si="84"/>
        <v>B</v>
      </c>
      <c r="L166" s="412"/>
    </row>
    <row r="167" spans="1:12" s="415" customFormat="1">
      <c r="A167" s="412" t="s">
        <v>2944</v>
      </c>
      <c r="B167" s="412" t="str">
        <f t="shared" ca="1" si="67"/>
        <v>202503</v>
      </c>
      <c r="C167" s="412" t="str">
        <f t="shared" ca="1" si="68"/>
        <v>v1</v>
      </c>
      <c r="D167" s="413" t="str">
        <f t="shared" ca="1" si="85"/>
        <v>02.02.01.</v>
      </c>
      <c r="E167" s="412">
        <f t="shared" si="69"/>
        <v>0</v>
      </c>
      <c r="F167" s="414">
        <f ca="1">OFFSET('Tabla II.'!$H$44,H167-1,I167-1)</f>
        <v>0</v>
      </c>
      <c r="G167" s="412" t="str">
        <f ca="1">OFFSET('Tabla II.'!$H$1,0,I167-1)</f>
        <v>05</v>
      </c>
      <c r="H167" s="111">
        <f t="shared" si="86"/>
        <v>11</v>
      </c>
      <c r="I167" s="111">
        <f t="shared" si="87"/>
        <v>5</v>
      </c>
      <c r="J167" s="111" t="str">
        <f ca="1">+'Tabla II.'!$C$9</f>
        <v>Tabla II.</v>
      </c>
      <c r="K167" s="111" t="str">
        <f t="shared" si="84"/>
        <v>B</v>
      </c>
      <c r="L167" s="412"/>
    </row>
    <row r="168" spans="1:12" s="415" customFormat="1">
      <c r="A168" s="412" t="s">
        <v>2944</v>
      </c>
      <c r="B168" s="412" t="str">
        <f t="shared" ca="1" si="67"/>
        <v>202503</v>
      </c>
      <c r="C168" s="412" t="str">
        <f t="shared" ca="1" si="68"/>
        <v>v1</v>
      </c>
      <c r="D168" s="413" t="str">
        <f t="shared" ca="1" si="85"/>
        <v>02.02.01.</v>
      </c>
      <c r="E168" s="412">
        <f t="shared" si="69"/>
        <v>0</v>
      </c>
      <c r="F168" s="414">
        <f ca="1">OFFSET('Tabla II.'!$H$44,H168-1,I168-1)</f>
        <v>0</v>
      </c>
      <c r="G168" s="412" t="str">
        <f ca="1">OFFSET('Tabla II.'!$H$1,0,I168-1)</f>
        <v>06</v>
      </c>
      <c r="H168" s="111">
        <f t="shared" si="86"/>
        <v>11</v>
      </c>
      <c r="I168" s="111">
        <f t="shared" si="87"/>
        <v>6</v>
      </c>
      <c r="J168" s="111" t="str">
        <f ca="1">+'Tabla II.'!$C$9</f>
        <v>Tabla II.</v>
      </c>
      <c r="K168" s="111" t="str">
        <f t="shared" si="84"/>
        <v>B</v>
      </c>
      <c r="L168" s="412"/>
    </row>
    <row r="169" spans="1:12" s="415" customFormat="1">
      <c r="A169" s="412" t="s">
        <v>2944</v>
      </c>
      <c r="B169" s="412" t="str">
        <f t="shared" ca="1" si="67"/>
        <v>202503</v>
      </c>
      <c r="C169" s="412" t="str">
        <f t="shared" ca="1" si="68"/>
        <v>v1</v>
      </c>
      <c r="D169" s="413" t="str">
        <f t="shared" ca="1" si="85"/>
        <v>02.02.01.</v>
      </c>
      <c r="E169" s="412">
        <f t="shared" si="69"/>
        <v>0</v>
      </c>
      <c r="F169" s="414">
        <f ca="1">OFFSET('Tabla II.'!$H$44,H169-1,I169-1)</f>
        <v>0</v>
      </c>
      <c r="G169" s="412" t="str">
        <f ca="1">OFFSET('Tabla II.'!$H$1,0,I169-1)</f>
        <v>07</v>
      </c>
      <c r="H169" s="111">
        <f t="shared" si="86"/>
        <v>11</v>
      </c>
      <c r="I169" s="111">
        <f t="shared" si="87"/>
        <v>7</v>
      </c>
      <c r="J169" s="111" t="str">
        <f ca="1">+'Tabla II.'!$C$9</f>
        <v>Tabla II.</v>
      </c>
      <c r="K169" s="111" t="str">
        <f t="shared" si="84"/>
        <v>B</v>
      </c>
      <c r="L169" s="412"/>
    </row>
    <row r="170" spans="1:12" s="410" customFormat="1">
      <c r="A170" s="406" t="s">
        <v>2944</v>
      </c>
      <c r="B170" s="406" t="str">
        <f t="shared" ca="1" si="67"/>
        <v>202502</v>
      </c>
      <c r="C170" s="406" t="str">
        <f t="shared" ca="1" si="68"/>
        <v>v2</v>
      </c>
      <c r="D170" s="407" t="str">
        <f ca="1">OFFSET('Tabla II.'!$F$44,H170-1,0)</f>
        <v>02.02.01.01.</v>
      </c>
      <c r="E170" s="406">
        <f t="shared" si="69"/>
        <v>0</v>
      </c>
      <c r="F170" s="408">
        <f ca="1">OFFSET('Tabla II.'!$H$44,H170-1,I170-1)</f>
        <v>0</v>
      </c>
      <c r="G170" s="406" t="str">
        <f ca="1">OFFSET('Tabla II.'!$H$1,0,I170-1)</f>
        <v>01</v>
      </c>
      <c r="H170" s="409">
        <f>+H163+1</f>
        <v>12</v>
      </c>
      <c r="I170" s="409">
        <v>1</v>
      </c>
      <c r="J170" s="409" t="str">
        <f ca="1">+'Tabla II.'!$C$9</f>
        <v>Tabla II.</v>
      </c>
      <c r="K170" s="409" t="str">
        <f t="shared" si="84"/>
        <v>B</v>
      </c>
      <c r="L170" s="406">
        <f>+L163+1</f>
        <v>12</v>
      </c>
    </row>
    <row r="171" spans="1:12" s="410" customFormat="1">
      <c r="A171" s="406" t="s">
        <v>2944</v>
      </c>
      <c r="B171" s="406" t="str">
        <f t="shared" ca="1" si="67"/>
        <v>202503</v>
      </c>
      <c r="C171" s="406" t="str">
        <f t="shared" ca="1" si="68"/>
        <v>v1</v>
      </c>
      <c r="D171" s="407" t="str">
        <f t="shared" ref="D171:D176" ca="1" si="88">+D170</f>
        <v>02.02.01.01.</v>
      </c>
      <c r="E171" s="406">
        <f t="shared" si="69"/>
        <v>0</v>
      </c>
      <c r="F171" s="408">
        <f ca="1">OFFSET('Tabla II.'!$H$44,H171-1,I171-1)</f>
        <v>0</v>
      </c>
      <c r="G171" s="406" t="str">
        <f ca="1">OFFSET('Tabla II.'!$H$1,0,I171-1)</f>
        <v>02</v>
      </c>
      <c r="H171" s="409">
        <f t="shared" ref="H171:H176" si="89">+H170</f>
        <v>12</v>
      </c>
      <c r="I171" s="409">
        <f t="shared" ref="I171:I176" si="90">+I170+1</f>
        <v>2</v>
      </c>
      <c r="J171" s="409" t="str">
        <f ca="1">+'Tabla II.'!$C$9</f>
        <v>Tabla II.</v>
      </c>
      <c r="K171" s="409" t="str">
        <f t="shared" si="84"/>
        <v>B</v>
      </c>
      <c r="L171" s="406"/>
    </row>
    <row r="172" spans="1:12" s="410" customFormat="1">
      <c r="A172" s="406" t="s">
        <v>2944</v>
      </c>
      <c r="B172" s="406" t="str">
        <f t="shared" ca="1" si="67"/>
        <v>202503</v>
      </c>
      <c r="C172" s="406" t="str">
        <f t="shared" ca="1" si="68"/>
        <v>v1</v>
      </c>
      <c r="D172" s="407" t="str">
        <f t="shared" ca="1" si="88"/>
        <v>02.02.01.01.</v>
      </c>
      <c r="E172" s="406">
        <f t="shared" si="69"/>
        <v>0</v>
      </c>
      <c r="F172" s="408">
        <f ca="1">OFFSET('Tabla II.'!$H$44,H172-1,I172-1)</f>
        <v>0</v>
      </c>
      <c r="G172" s="406" t="str">
        <f ca="1">OFFSET('Tabla II.'!$H$1,0,I172-1)</f>
        <v>03</v>
      </c>
      <c r="H172" s="409">
        <f t="shared" si="89"/>
        <v>12</v>
      </c>
      <c r="I172" s="409">
        <f t="shared" si="90"/>
        <v>3</v>
      </c>
      <c r="J172" s="409" t="str">
        <f ca="1">+'Tabla II.'!$C$9</f>
        <v>Tabla II.</v>
      </c>
      <c r="K172" s="409" t="str">
        <f t="shared" si="84"/>
        <v>B</v>
      </c>
      <c r="L172" s="406"/>
    </row>
    <row r="173" spans="1:12" s="410" customFormat="1">
      <c r="A173" s="406" t="s">
        <v>2944</v>
      </c>
      <c r="B173" s="406" t="str">
        <f t="shared" ca="1" si="67"/>
        <v>202503</v>
      </c>
      <c r="C173" s="406" t="str">
        <f t="shared" ca="1" si="68"/>
        <v>v1</v>
      </c>
      <c r="D173" s="407" t="str">
        <f t="shared" ca="1" si="88"/>
        <v>02.02.01.01.</v>
      </c>
      <c r="E173" s="406">
        <f t="shared" si="69"/>
        <v>0</v>
      </c>
      <c r="F173" s="408">
        <f ca="1">OFFSET('Tabla II.'!$H$44,H173-1,I173-1)</f>
        <v>0</v>
      </c>
      <c r="G173" s="406" t="str">
        <f ca="1">OFFSET('Tabla II.'!$H$1,0,I173-1)</f>
        <v>04</v>
      </c>
      <c r="H173" s="409">
        <f t="shared" si="89"/>
        <v>12</v>
      </c>
      <c r="I173" s="409">
        <f t="shared" si="90"/>
        <v>4</v>
      </c>
      <c r="J173" s="409" t="str">
        <f ca="1">+'Tabla II.'!$C$9</f>
        <v>Tabla II.</v>
      </c>
      <c r="K173" s="409" t="str">
        <f t="shared" si="84"/>
        <v>B</v>
      </c>
      <c r="L173" s="406"/>
    </row>
    <row r="174" spans="1:12" s="410" customFormat="1">
      <c r="A174" s="406" t="s">
        <v>2944</v>
      </c>
      <c r="B174" s="406" t="str">
        <f t="shared" ca="1" si="67"/>
        <v>202503</v>
      </c>
      <c r="C174" s="406" t="str">
        <f t="shared" ca="1" si="68"/>
        <v>v1</v>
      </c>
      <c r="D174" s="407" t="str">
        <f t="shared" ca="1" si="88"/>
        <v>02.02.01.01.</v>
      </c>
      <c r="E174" s="406">
        <f t="shared" si="69"/>
        <v>0</v>
      </c>
      <c r="F174" s="408">
        <f ca="1">OFFSET('Tabla II.'!$H$44,H174-1,I174-1)</f>
        <v>0</v>
      </c>
      <c r="G174" s="406" t="str">
        <f ca="1">OFFSET('Tabla II.'!$H$1,0,I174-1)</f>
        <v>05</v>
      </c>
      <c r="H174" s="409">
        <f t="shared" si="89"/>
        <v>12</v>
      </c>
      <c r="I174" s="409">
        <f t="shared" si="90"/>
        <v>5</v>
      </c>
      <c r="J174" s="409" t="str">
        <f ca="1">+'Tabla II.'!$C$9</f>
        <v>Tabla II.</v>
      </c>
      <c r="K174" s="409" t="str">
        <f t="shared" si="84"/>
        <v>B</v>
      </c>
      <c r="L174" s="406"/>
    </row>
    <row r="175" spans="1:12" s="410" customFormat="1">
      <c r="A175" s="406" t="s">
        <v>2944</v>
      </c>
      <c r="B175" s="406" t="str">
        <f t="shared" ca="1" si="67"/>
        <v>202503</v>
      </c>
      <c r="C175" s="406" t="str">
        <f t="shared" ca="1" si="68"/>
        <v>v1</v>
      </c>
      <c r="D175" s="407" t="str">
        <f t="shared" ca="1" si="88"/>
        <v>02.02.01.01.</v>
      </c>
      <c r="E175" s="406">
        <f t="shared" si="69"/>
        <v>0</v>
      </c>
      <c r="F175" s="408">
        <f ca="1">OFFSET('Tabla II.'!$H$44,H175-1,I175-1)</f>
        <v>0</v>
      </c>
      <c r="G175" s="406" t="str">
        <f ca="1">OFFSET('Tabla II.'!$H$1,0,I175-1)</f>
        <v>06</v>
      </c>
      <c r="H175" s="409">
        <f t="shared" si="89"/>
        <v>12</v>
      </c>
      <c r="I175" s="409">
        <f t="shared" si="90"/>
        <v>6</v>
      </c>
      <c r="J175" s="409" t="str">
        <f ca="1">+'Tabla II.'!$C$9</f>
        <v>Tabla II.</v>
      </c>
      <c r="K175" s="409" t="str">
        <f t="shared" si="84"/>
        <v>B</v>
      </c>
      <c r="L175" s="406"/>
    </row>
    <row r="176" spans="1:12" s="410" customFormat="1">
      <c r="A176" s="406" t="s">
        <v>2944</v>
      </c>
      <c r="B176" s="406" t="str">
        <f t="shared" ca="1" si="67"/>
        <v>202503</v>
      </c>
      <c r="C176" s="406" t="str">
        <f t="shared" ca="1" si="68"/>
        <v>v1</v>
      </c>
      <c r="D176" s="407" t="str">
        <f t="shared" ca="1" si="88"/>
        <v>02.02.01.01.</v>
      </c>
      <c r="E176" s="406">
        <f t="shared" si="69"/>
        <v>0</v>
      </c>
      <c r="F176" s="408">
        <f ca="1">OFFSET('Tabla II.'!$H$44,H176-1,I176-1)</f>
        <v>0</v>
      </c>
      <c r="G176" s="406" t="str">
        <f ca="1">OFFSET('Tabla II.'!$H$1,0,I176-1)</f>
        <v>07</v>
      </c>
      <c r="H176" s="409">
        <f t="shared" si="89"/>
        <v>12</v>
      </c>
      <c r="I176" s="409">
        <f t="shared" si="90"/>
        <v>7</v>
      </c>
      <c r="J176" s="409" t="str">
        <f ca="1">+'Tabla II.'!$C$9</f>
        <v>Tabla II.</v>
      </c>
      <c r="K176" s="409" t="str">
        <f t="shared" si="84"/>
        <v>B</v>
      </c>
      <c r="L176" s="406"/>
    </row>
    <row r="177" spans="1:12" s="415" customFormat="1">
      <c r="A177" s="412" t="s">
        <v>2944</v>
      </c>
      <c r="B177" s="412" t="str">
        <f t="shared" ca="1" si="67"/>
        <v>202502</v>
      </c>
      <c r="C177" s="412" t="str">
        <f t="shared" ca="1" si="68"/>
        <v>v2</v>
      </c>
      <c r="D177" s="413" t="str">
        <f ca="1">OFFSET('Tabla II.'!$F$44,H177-1,0)</f>
        <v>02.02.01.02.</v>
      </c>
      <c r="E177" s="412">
        <f t="shared" si="69"/>
        <v>0</v>
      </c>
      <c r="F177" s="414">
        <f ca="1">OFFSET('Tabla II.'!$H$44,H177-1,I177-1)</f>
        <v>0</v>
      </c>
      <c r="G177" s="412" t="str">
        <f ca="1">OFFSET('Tabla II.'!$H$1,0,I177-1)</f>
        <v>01</v>
      </c>
      <c r="H177" s="111">
        <f>+H170+1</f>
        <v>13</v>
      </c>
      <c r="I177" s="111">
        <v>1</v>
      </c>
      <c r="J177" s="111" t="str">
        <f ca="1">+'Tabla II.'!$C$9</f>
        <v>Tabla II.</v>
      </c>
      <c r="K177" s="111" t="str">
        <f t="shared" ref="K177:K190" si="91">+K176</f>
        <v>B</v>
      </c>
      <c r="L177" s="412">
        <f>+L170+1</f>
        <v>13</v>
      </c>
    </row>
    <row r="178" spans="1:12" s="415" customFormat="1">
      <c r="A178" s="412" t="s">
        <v>2944</v>
      </c>
      <c r="B178" s="412" t="str">
        <f t="shared" ca="1" si="67"/>
        <v>202503</v>
      </c>
      <c r="C178" s="412" t="str">
        <f t="shared" ca="1" si="68"/>
        <v>v1</v>
      </c>
      <c r="D178" s="413" t="str">
        <f t="shared" ref="D178:D183" ca="1" si="92">+D177</f>
        <v>02.02.01.02.</v>
      </c>
      <c r="E178" s="412">
        <f t="shared" si="69"/>
        <v>0</v>
      </c>
      <c r="F178" s="414">
        <f ca="1">OFFSET('Tabla II.'!$H$44,H178-1,I178-1)</f>
        <v>0</v>
      </c>
      <c r="G178" s="412" t="str">
        <f ca="1">OFFSET('Tabla II.'!$H$1,0,I178-1)</f>
        <v>02</v>
      </c>
      <c r="H178" s="111">
        <f t="shared" ref="H178:H183" si="93">+H177</f>
        <v>13</v>
      </c>
      <c r="I178" s="111">
        <f t="shared" ref="I178:I183" si="94">+I177+1</f>
        <v>2</v>
      </c>
      <c r="J178" s="111" t="str">
        <f ca="1">+'Tabla II.'!$C$9</f>
        <v>Tabla II.</v>
      </c>
      <c r="K178" s="111" t="str">
        <f t="shared" si="91"/>
        <v>B</v>
      </c>
      <c r="L178" s="412"/>
    </row>
    <row r="179" spans="1:12" s="415" customFormat="1">
      <c r="A179" s="412" t="s">
        <v>2944</v>
      </c>
      <c r="B179" s="412" t="str">
        <f t="shared" ca="1" si="67"/>
        <v>202503</v>
      </c>
      <c r="C179" s="412" t="str">
        <f t="shared" ca="1" si="68"/>
        <v>v1</v>
      </c>
      <c r="D179" s="413" t="str">
        <f t="shared" ca="1" si="92"/>
        <v>02.02.01.02.</v>
      </c>
      <c r="E179" s="412">
        <f t="shared" si="69"/>
        <v>0</v>
      </c>
      <c r="F179" s="414">
        <f ca="1">OFFSET('Tabla II.'!$H$44,H179-1,I179-1)</f>
        <v>0</v>
      </c>
      <c r="G179" s="412" t="str">
        <f ca="1">OFFSET('Tabla II.'!$H$1,0,I179-1)</f>
        <v>03</v>
      </c>
      <c r="H179" s="111">
        <f t="shared" si="93"/>
        <v>13</v>
      </c>
      <c r="I179" s="111">
        <f t="shared" si="94"/>
        <v>3</v>
      </c>
      <c r="J179" s="111" t="str">
        <f ca="1">+'Tabla II.'!$C$9</f>
        <v>Tabla II.</v>
      </c>
      <c r="K179" s="111" t="str">
        <f t="shared" si="91"/>
        <v>B</v>
      </c>
      <c r="L179" s="412"/>
    </row>
    <row r="180" spans="1:12" s="415" customFormat="1">
      <c r="A180" s="412" t="s">
        <v>2944</v>
      </c>
      <c r="B180" s="412" t="str">
        <f t="shared" ca="1" si="67"/>
        <v>202503</v>
      </c>
      <c r="C180" s="412" t="str">
        <f t="shared" ca="1" si="68"/>
        <v>v1</v>
      </c>
      <c r="D180" s="413" t="str">
        <f t="shared" ca="1" si="92"/>
        <v>02.02.01.02.</v>
      </c>
      <c r="E180" s="412">
        <f t="shared" si="69"/>
        <v>0</v>
      </c>
      <c r="F180" s="414">
        <f ca="1">OFFSET('Tabla II.'!$H$44,H180-1,I180-1)</f>
        <v>0</v>
      </c>
      <c r="G180" s="412" t="str">
        <f ca="1">OFFSET('Tabla II.'!$H$1,0,I180-1)</f>
        <v>04</v>
      </c>
      <c r="H180" s="111">
        <f t="shared" si="93"/>
        <v>13</v>
      </c>
      <c r="I180" s="111">
        <f t="shared" si="94"/>
        <v>4</v>
      </c>
      <c r="J180" s="111" t="str">
        <f ca="1">+'Tabla II.'!$C$9</f>
        <v>Tabla II.</v>
      </c>
      <c r="K180" s="111" t="str">
        <f t="shared" si="91"/>
        <v>B</v>
      </c>
      <c r="L180" s="412"/>
    </row>
    <row r="181" spans="1:12" s="415" customFormat="1">
      <c r="A181" s="412" t="s">
        <v>2944</v>
      </c>
      <c r="B181" s="412" t="str">
        <f t="shared" ca="1" si="67"/>
        <v>202503</v>
      </c>
      <c r="C181" s="412" t="str">
        <f t="shared" ca="1" si="68"/>
        <v>v1</v>
      </c>
      <c r="D181" s="413" t="str">
        <f t="shared" ca="1" si="92"/>
        <v>02.02.01.02.</v>
      </c>
      <c r="E181" s="412">
        <f t="shared" si="69"/>
        <v>0</v>
      </c>
      <c r="F181" s="414">
        <f ca="1">OFFSET('Tabla II.'!$H$44,H181-1,I181-1)</f>
        <v>0</v>
      </c>
      <c r="G181" s="412" t="str">
        <f ca="1">OFFSET('Tabla II.'!$H$1,0,I181-1)</f>
        <v>05</v>
      </c>
      <c r="H181" s="111">
        <f t="shared" si="93"/>
        <v>13</v>
      </c>
      <c r="I181" s="111">
        <f t="shared" si="94"/>
        <v>5</v>
      </c>
      <c r="J181" s="111" t="str">
        <f ca="1">+'Tabla II.'!$C$9</f>
        <v>Tabla II.</v>
      </c>
      <c r="K181" s="111" t="str">
        <f t="shared" si="91"/>
        <v>B</v>
      </c>
      <c r="L181" s="412"/>
    </row>
    <row r="182" spans="1:12" s="415" customFormat="1">
      <c r="A182" s="412" t="s">
        <v>2944</v>
      </c>
      <c r="B182" s="412" t="str">
        <f t="shared" ca="1" si="67"/>
        <v>202503</v>
      </c>
      <c r="C182" s="412" t="str">
        <f t="shared" ca="1" si="68"/>
        <v>v1</v>
      </c>
      <c r="D182" s="413" t="str">
        <f t="shared" ca="1" si="92"/>
        <v>02.02.01.02.</v>
      </c>
      <c r="E182" s="412">
        <f t="shared" si="69"/>
        <v>0</v>
      </c>
      <c r="F182" s="414">
        <f ca="1">OFFSET('Tabla II.'!$H$44,H182-1,I182-1)</f>
        <v>0</v>
      </c>
      <c r="G182" s="412" t="str">
        <f ca="1">OFFSET('Tabla II.'!$H$1,0,I182-1)</f>
        <v>06</v>
      </c>
      <c r="H182" s="111">
        <f t="shared" si="93"/>
        <v>13</v>
      </c>
      <c r="I182" s="111">
        <f t="shared" si="94"/>
        <v>6</v>
      </c>
      <c r="J182" s="111" t="str">
        <f ca="1">+'Tabla II.'!$C$9</f>
        <v>Tabla II.</v>
      </c>
      <c r="K182" s="111" t="str">
        <f t="shared" si="91"/>
        <v>B</v>
      </c>
      <c r="L182" s="412"/>
    </row>
    <row r="183" spans="1:12" s="415" customFormat="1">
      <c r="A183" s="412" t="s">
        <v>2944</v>
      </c>
      <c r="B183" s="412" t="str">
        <f t="shared" ca="1" si="67"/>
        <v>202503</v>
      </c>
      <c r="C183" s="412" t="str">
        <f t="shared" ca="1" si="68"/>
        <v>v1</v>
      </c>
      <c r="D183" s="413" t="str">
        <f t="shared" ca="1" si="92"/>
        <v>02.02.01.02.</v>
      </c>
      <c r="E183" s="412">
        <f t="shared" si="69"/>
        <v>0</v>
      </c>
      <c r="F183" s="414">
        <f ca="1">OFFSET('Tabla II.'!$H$44,H183-1,I183-1)</f>
        <v>0</v>
      </c>
      <c r="G183" s="412" t="str">
        <f ca="1">OFFSET('Tabla II.'!$H$1,0,I183-1)</f>
        <v>07</v>
      </c>
      <c r="H183" s="111">
        <f t="shared" si="93"/>
        <v>13</v>
      </c>
      <c r="I183" s="111">
        <f t="shared" si="94"/>
        <v>7</v>
      </c>
      <c r="J183" s="111" t="str">
        <f ca="1">+'Tabla II.'!$C$9</f>
        <v>Tabla II.</v>
      </c>
      <c r="K183" s="111" t="str">
        <f t="shared" si="91"/>
        <v>B</v>
      </c>
      <c r="L183" s="412"/>
    </row>
    <row r="184" spans="1:12" s="410" customFormat="1">
      <c r="A184" s="406" t="s">
        <v>2944</v>
      </c>
      <c r="B184" s="406" t="str">
        <f t="shared" ca="1" si="67"/>
        <v>202502</v>
      </c>
      <c r="C184" s="406" t="str">
        <f t="shared" ca="1" si="68"/>
        <v>v2</v>
      </c>
      <c r="D184" s="407" t="str">
        <f ca="1">OFFSET('Tabla II.'!$F$44,H184-1,0)</f>
        <v>02.03.01.</v>
      </c>
      <c r="E184" s="406">
        <f t="shared" si="69"/>
        <v>0</v>
      </c>
      <c r="F184" s="408">
        <f ca="1">OFFSET('Tabla II.'!$H$44,H184-1,I184-1)</f>
        <v>0</v>
      </c>
      <c r="G184" s="406" t="str">
        <f ca="1">OFFSET('Tabla II.'!$H$1,0,I184-1)</f>
        <v>01</v>
      </c>
      <c r="H184" s="409">
        <f>+H177+1</f>
        <v>14</v>
      </c>
      <c r="I184" s="409">
        <v>1</v>
      </c>
      <c r="J184" s="409" t="str">
        <f ca="1">+'Tabla II.'!$C$9</f>
        <v>Tabla II.</v>
      </c>
      <c r="K184" s="409" t="str">
        <f t="shared" si="91"/>
        <v>B</v>
      </c>
      <c r="L184" s="406">
        <f>+L177+1</f>
        <v>14</v>
      </c>
    </row>
    <row r="185" spans="1:12" s="410" customFormat="1">
      <c r="A185" s="406" t="s">
        <v>2944</v>
      </c>
      <c r="B185" s="406" t="str">
        <f t="shared" ca="1" si="67"/>
        <v>202503</v>
      </c>
      <c r="C185" s="406" t="str">
        <f t="shared" ca="1" si="68"/>
        <v>v1</v>
      </c>
      <c r="D185" s="407" t="str">
        <f t="shared" ref="D185:D190" ca="1" si="95">+D184</f>
        <v>02.03.01.</v>
      </c>
      <c r="E185" s="406">
        <f t="shared" si="69"/>
        <v>0</v>
      </c>
      <c r="F185" s="408">
        <f ca="1">OFFSET('Tabla II.'!$H$44,H185-1,I185-1)</f>
        <v>0</v>
      </c>
      <c r="G185" s="406" t="str">
        <f ca="1">OFFSET('Tabla II.'!$H$1,0,I185-1)</f>
        <v>02</v>
      </c>
      <c r="H185" s="409">
        <f t="shared" ref="H185:H190" si="96">+H184</f>
        <v>14</v>
      </c>
      <c r="I185" s="409">
        <f t="shared" ref="I185:I190" si="97">+I184+1</f>
        <v>2</v>
      </c>
      <c r="J185" s="409" t="str">
        <f ca="1">+'Tabla II.'!$C$9</f>
        <v>Tabla II.</v>
      </c>
      <c r="K185" s="409" t="str">
        <f t="shared" si="91"/>
        <v>B</v>
      </c>
      <c r="L185" s="406"/>
    </row>
    <row r="186" spans="1:12" s="410" customFormat="1">
      <c r="A186" s="406" t="s">
        <v>2944</v>
      </c>
      <c r="B186" s="406" t="str">
        <f t="shared" ca="1" si="67"/>
        <v>202503</v>
      </c>
      <c r="C186" s="406" t="str">
        <f t="shared" ca="1" si="68"/>
        <v>v1</v>
      </c>
      <c r="D186" s="407" t="str">
        <f t="shared" ca="1" si="95"/>
        <v>02.03.01.</v>
      </c>
      <c r="E186" s="406">
        <f t="shared" si="69"/>
        <v>0</v>
      </c>
      <c r="F186" s="408">
        <f ca="1">OFFSET('Tabla II.'!$H$44,H186-1,I186-1)</f>
        <v>0</v>
      </c>
      <c r="G186" s="406" t="str">
        <f ca="1">OFFSET('Tabla II.'!$H$1,0,I186-1)</f>
        <v>03</v>
      </c>
      <c r="H186" s="409">
        <f t="shared" si="96"/>
        <v>14</v>
      </c>
      <c r="I186" s="409">
        <f t="shared" si="97"/>
        <v>3</v>
      </c>
      <c r="J186" s="409" t="str">
        <f ca="1">+'Tabla II.'!$C$9</f>
        <v>Tabla II.</v>
      </c>
      <c r="K186" s="409" t="str">
        <f t="shared" si="91"/>
        <v>B</v>
      </c>
      <c r="L186" s="406"/>
    </row>
    <row r="187" spans="1:12" s="410" customFormat="1">
      <c r="A187" s="406" t="s">
        <v>2944</v>
      </c>
      <c r="B187" s="406" t="str">
        <f t="shared" ca="1" si="67"/>
        <v>202503</v>
      </c>
      <c r="C187" s="406" t="str">
        <f t="shared" ca="1" si="68"/>
        <v>v1</v>
      </c>
      <c r="D187" s="407" t="str">
        <f t="shared" ca="1" si="95"/>
        <v>02.03.01.</v>
      </c>
      <c r="E187" s="406">
        <f t="shared" si="69"/>
        <v>0</v>
      </c>
      <c r="F187" s="408">
        <f ca="1">OFFSET('Tabla II.'!$H$44,H187-1,I187-1)</f>
        <v>0</v>
      </c>
      <c r="G187" s="406" t="str">
        <f ca="1">OFFSET('Tabla II.'!$H$1,0,I187-1)</f>
        <v>04</v>
      </c>
      <c r="H187" s="409">
        <f t="shared" si="96"/>
        <v>14</v>
      </c>
      <c r="I187" s="409">
        <f t="shared" si="97"/>
        <v>4</v>
      </c>
      <c r="J187" s="409" t="str">
        <f ca="1">+'Tabla II.'!$C$9</f>
        <v>Tabla II.</v>
      </c>
      <c r="K187" s="409" t="str">
        <f t="shared" si="91"/>
        <v>B</v>
      </c>
      <c r="L187" s="406"/>
    </row>
    <row r="188" spans="1:12" s="410" customFormat="1">
      <c r="A188" s="406" t="s">
        <v>2944</v>
      </c>
      <c r="B188" s="406" t="str">
        <f t="shared" ca="1" si="67"/>
        <v>202503</v>
      </c>
      <c r="C188" s="406" t="str">
        <f t="shared" ca="1" si="68"/>
        <v>v1</v>
      </c>
      <c r="D188" s="407" t="str">
        <f t="shared" ca="1" si="95"/>
        <v>02.03.01.</v>
      </c>
      <c r="E188" s="406">
        <f t="shared" si="69"/>
        <v>0</v>
      </c>
      <c r="F188" s="408">
        <f ca="1">OFFSET('Tabla II.'!$H$44,H188-1,I188-1)</f>
        <v>0</v>
      </c>
      <c r="G188" s="406" t="str">
        <f ca="1">OFFSET('Tabla II.'!$H$1,0,I188-1)</f>
        <v>05</v>
      </c>
      <c r="H188" s="409">
        <f t="shared" si="96"/>
        <v>14</v>
      </c>
      <c r="I188" s="409">
        <f t="shared" si="97"/>
        <v>5</v>
      </c>
      <c r="J188" s="409" t="str">
        <f ca="1">+'Tabla II.'!$C$9</f>
        <v>Tabla II.</v>
      </c>
      <c r="K188" s="409" t="str">
        <f t="shared" si="91"/>
        <v>B</v>
      </c>
      <c r="L188" s="406"/>
    </row>
    <row r="189" spans="1:12" s="410" customFormat="1">
      <c r="A189" s="406" t="s">
        <v>2944</v>
      </c>
      <c r="B189" s="406" t="str">
        <f t="shared" ca="1" si="67"/>
        <v>202503</v>
      </c>
      <c r="C189" s="406" t="str">
        <f t="shared" ca="1" si="68"/>
        <v>v1</v>
      </c>
      <c r="D189" s="407" t="str">
        <f t="shared" ca="1" si="95"/>
        <v>02.03.01.</v>
      </c>
      <c r="E189" s="406">
        <f t="shared" si="69"/>
        <v>0</v>
      </c>
      <c r="F189" s="408">
        <f ca="1">OFFSET('Tabla II.'!$H$44,H189-1,I189-1)</f>
        <v>0</v>
      </c>
      <c r="G189" s="406" t="str">
        <f ca="1">OFFSET('Tabla II.'!$H$1,0,I189-1)</f>
        <v>06</v>
      </c>
      <c r="H189" s="409">
        <f t="shared" si="96"/>
        <v>14</v>
      </c>
      <c r="I189" s="409">
        <f t="shared" si="97"/>
        <v>6</v>
      </c>
      <c r="J189" s="409" t="str">
        <f ca="1">+'Tabla II.'!$C$9</f>
        <v>Tabla II.</v>
      </c>
      <c r="K189" s="409" t="str">
        <f t="shared" si="91"/>
        <v>B</v>
      </c>
      <c r="L189" s="406"/>
    </row>
    <row r="190" spans="1:12" s="410" customFormat="1">
      <c r="A190" s="406" t="s">
        <v>2944</v>
      </c>
      <c r="B190" s="406" t="str">
        <f t="shared" ca="1" si="67"/>
        <v>202503</v>
      </c>
      <c r="C190" s="406" t="str">
        <f t="shared" ca="1" si="68"/>
        <v>v1</v>
      </c>
      <c r="D190" s="407" t="str">
        <f t="shared" ca="1" si="95"/>
        <v>02.03.01.</v>
      </c>
      <c r="E190" s="406">
        <f t="shared" si="69"/>
        <v>0</v>
      </c>
      <c r="F190" s="408">
        <f ca="1">OFFSET('Tabla II.'!$H$44,H190-1,I190-1)</f>
        <v>0</v>
      </c>
      <c r="G190" s="406" t="str">
        <f ca="1">OFFSET('Tabla II.'!$H$1,0,I190-1)</f>
        <v>07</v>
      </c>
      <c r="H190" s="409">
        <f t="shared" si="96"/>
        <v>14</v>
      </c>
      <c r="I190" s="409">
        <f t="shared" si="97"/>
        <v>7</v>
      </c>
      <c r="J190" s="409" t="str">
        <f ca="1">+'Tabla II.'!$C$9</f>
        <v>Tabla II.</v>
      </c>
      <c r="K190" s="409" t="str">
        <f t="shared" si="91"/>
        <v>B</v>
      </c>
      <c r="L190" s="406"/>
    </row>
    <row r="191" spans="1:12" s="415" customFormat="1">
      <c r="A191" s="412" t="s">
        <v>2944</v>
      </c>
      <c r="B191" s="412" t="str">
        <f t="shared" ca="1" si="67"/>
        <v>202502</v>
      </c>
      <c r="C191" s="412" t="str">
        <f t="shared" ca="1" si="68"/>
        <v>v2</v>
      </c>
      <c r="D191" s="413" t="str">
        <f ca="1">OFFSET('Tabla II.'!$F$44,H191-1,0)</f>
        <v>02.03.01.01.</v>
      </c>
      <c r="E191" s="412">
        <f t="shared" si="69"/>
        <v>0</v>
      </c>
      <c r="F191" s="414">
        <f ca="1">OFFSET('Tabla II.'!$H$44,H191-1,I191-1)</f>
        <v>0</v>
      </c>
      <c r="G191" s="412" t="str">
        <f ca="1">OFFSET('Tabla II.'!$H$1,0,I191-1)</f>
        <v>01</v>
      </c>
      <c r="H191" s="111">
        <f>+H184+1</f>
        <v>15</v>
      </c>
      <c r="I191" s="111">
        <v>1</v>
      </c>
      <c r="J191" s="111" t="str">
        <f ca="1">+'Tabla II.'!$C$9</f>
        <v>Tabla II.</v>
      </c>
      <c r="K191" s="111" t="str">
        <f t="shared" ref="K191:K204" si="98">+K190</f>
        <v>B</v>
      </c>
      <c r="L191" s="412">
        <f>+L184+1</f>
        <v>15</v>
      </c>
    </row>
    <row r="192" spans="1:12" s="415" customFormat="1">
      <c r="A192" s="412" t="s">
        <v>2944</v>
      </c>
      <c r="B192" s="412" t="str">
        <f t="shared" ca="1" si="67"/>
        <v>202503</v>
      </c>
      <c r="C192" s="412" t="str">
        <f t="shared" ca="1" si="68"/>
        <v>v1</v>
      </c>
      <c r="D192" s="413" t="str">
        <f t="shared" ref="D192:D197" ca="1" si="99">+D191</f>
        <v>02.03.01.01.</v>
      </c>
      <c r="E192" s="412">
        <f t="shared" si="69"/>
        <v>0</v>
      </c>
      <c r="F192" s="414">
        <f ca="1">OFFSET('Tabla II.'!$H$44,H192-1,I192-1)</f>
        <v>0</v>
      </c>
      <c r="G192" s="412" t="str">
        <f ca="1">OFFSET('Tabla II.'!$H$1,0,I192-1)</f>
        <v>02</v>
      </c>
      <c r="H192" s="111">
        <f t="shared" ref="H192:H197" si="100">+H191</f>
        <v>15</v>
      </c>
      <c r="I192" s="111">
        <f t="shared" ref="I192:I197" si="101">+I191+1</f>
        <v>2</v>
      </c>
      <c r="J192" s="111" t="str">
        <f ca="1">+'Tabla II.'!$C$9</f>
        <v>Tabla II.</v>
      </c>
      <c r="K192" s="111" t="str">
        <f t="shared" si="98"/>
        <v>B</v>
      </c>
      <c r="L192" s="412"/>
    </row>
    <row r="193" spans="1:12" s="415" customFormat="1">
      <c r="A193" s="412" t="s">
        <v>2944</v>
      </c>
      <c r="B193" s="412" t="str">
        <f t="shared" ca="1" si="67"/>
        <v>202503</v>
      </c>
      <c r="C193" s="412" t="str">
        <f t="shared" ca="1" si="68"/>
        <v>v1</v>
      </c>
      <c r="D193" s="413" t="str">
        <f t="shared" ca="1" si="99"/>
        <v>02.03.01.01.</v>
      </c>
      <c r="E193" s="412">
        <f t="shared" si="69"/>
        <v>0</v>
      </c>
      <c r="F193" s="414">
        <f ca="1">OFFSET('Tabla II.'!$H$44,H193-1,I193-1)</f>
        <v>0</v>
      </c>
      <c r="G193" s="412" t="str">
        <f ca="1">OFFSET('Tabla II.'!$H$1,0,I193-1)</f>
        <v>03</v>
      </c>
      <c r="H193" s="111">
        <f t="shared" si="100"/>
        <v>15</v>
      </c>
      <c r="I193" s="111">
        <f t="shared" si="101"/>
        <v>3</v>
      </c>
      <c r="J193" s="111" t="str">
        <f ca="1">+'Tabla II.'!$C$9</f>
        <v>Tabla II.</v>
      </c>
      <c r="K193" s="111" t="str">
        <f t="shared" si="98"/>
        <v>B</v>
      </c>
      <c r="L193" s="412"/>
    </row>
    <row r="194" spans="1:12" s="415" customFormat="1">
      <c r="A194" s="412" t="s">
        <v>2944</v>
      </c>
      <c r="B194" s="412" t="str">
        <f t="shared" ref="B194:B257" ca="1" si="102">IF(G194="01",(IF(TRIM&gt;1,CONCATENATE(ANUAL,"0",TRIM-1),CONCATENATE(ANUAL-1,"04"))),PERIODO)</f>
        <v>202503</v>
      </c>
      <c r="C194" s="412" t="str">
        <f t="shared" ref="C194:C257" ca="1" si="103">IF(G194="01","v2","v1")</f>
        <v>v1</v>
      </c>
      <c r="D194" s="413" t="str">
        <f t="shared" ca="1" si="99"/>
        <v>02.03.01.01.</v>
      </c>
      <c r="E194" s="412">
        <f t="shared" ref="E194:E257" si="104">RUC</f>
        <v>0</v>
      </c>
      <c r="F194" s="414">
        <f ca="1">OFFSET('Tabla II.'!$H$44,H194-1,I194-1)</f>
        <v>0</v>
      </c>
      <c r="G194" s="412" t="str">
        <f ca="1">OFFSET('Tabla II.'!$H$1,0,I194-1)</f>
        <v>04</v>
      </c>
      <c r="H194" s="111">
        <f t="shared" si="100"/>
        <v>15</v>
      </c>
      <c r="I194" s="111">
        <f t="shared" si="101"/>
        <v>4</v>
      </c>
      <c r="J194" s="111" t="str">
        <f ca="1">+'Tabla II.'!$C$9</f>
        <v>Tabla II.</v>
      </c>
      <c r="K194" s="111" t="str">
        <f t="shared" si="98"/>
        <v>B</v>
      </c>
      <c r="L194" s="412"/>
    </row>
    <row r="195" spans="1:12" s="415" customFormat="1">
      <c r="A195" s="412" t="s">
        <v>2944</v>
      </c>
      <c r="B195" s="412" t="str">
        <f t="shared" ca="1" si="102"/>
        <v>202503</v>
      </c>
      <c r="C195" s="412" t="str">
        <f t="shared" ca="1" si="103"/>
        <v>v1</v>
      </c>
      <c r="D195" s="413" t="str">
        <f t="shared" ca="1" si="99"/>
        <v>02.03.01.01.</v>
      </c>
      <c r="E195" s="412">
        <f t="shared" si="104"/>
        <v>0</v>
      </c>
      <c r="F195" s="414">
        <f ca="1">OFFSET('Tabla II.'!$H$44,H195-1,I195-1)</f>
        <v>0</v>
      </c>
      <c r="G195" s="412" t="str">
        <f ca="1">OFFSET('Tabla II.'!$H$1,0,I195-1)</f>
        <v>05</v>
      </c>
      <c r="H195" s="111">
        <f t="shared" si="100"/>
        <v>15</v>
      </c>
      <c r="I195" s="111">
        <f t="shared" si="101"/>
        <v>5</v>
      </c>
      <c r="J195" s="111" t="str">
        <f ca="1">+'Tabla II.'!$C$9</f>
        <v>Tabla II.</v>
      </c>
      <c r="K195" s="111" t="str">
        <f t="shared" si="98"/>
        <v>B</v>
      </c>
      <c r="L195" s="412"/>
    </row>
    <row r="196" spans="1:12" s="415" customFormat="1">
      <c r="A196" s="412" t="s">
        <v>2944</v>
      </c>
      <c r="B196" s="412" t="str">
        <f t="shared" ca="1" si="102"/>
        <v>202503</v>
      </c>
      <c r="C196" s="412" t="str">
        <f t="shared" ca="1" si="103"/>
        <v>v1</v>
      </c>
      <c r="D196" s="413" t="str">
        <f t="shared" ca="1" si="99"/>
        <v>02.03.01.01.</v>
      </c>
      <c r="E196" s="412">
        <f t="shared" si="104"/>
        <v>0</v>
      </c>
      <c r="F196" s="414">
        <f ca="1">OFFSET('Tabla II.'!$H$44,H196-1,I196-1)</f>
        <v>0</v>
      </c>
      <c r="G196" s="412" t="str">
        <f ca="1">OFFSET('Tabla II.'!$H$1,0,I196-1)</f>
        <v>06</v>
      </c>
      <c r="H196" s="111">
        <f t="shared" si="100"/>
        <v>15</v>
      </c>
      <c r="I196" s="111">
        <f t="shared" si="101"/>
        <v>6</v>
      </c>
      <c r="J196" s="111" t="str">
        <f ca="1">+'Tabla II.'!$C$9</f>
        <v>Tabla II.</v>
      </c>
      <c r="K196" s="111" t="str">
        <f t="shared" si="98"/>
        <v>B</v>
      </c>
      <c r="L196" s="412"/>
    </row>
    <row r="197" spans="1:12" s="415" customFormat="1">
      <c r="A197" s="412" t="s">
        <v>2944</v>
      </c>
      <c r="B197" s="412" t="str">
        <f t="shared" ca="1" si="102"/>
        <v>202503</v>
      </c>
      <c r="C197" s="412" t="str">
        <f t="shared" ca="1" si="103"/>
        <v>v1</v>
      </c>
      <c r="D197" s="413" t="str">
        <f t="shared" ca="1" si="99"/>
        <v>02.03.01.01.</v>
      </c>
      <c r="E197" s="412">
        <f t="shared" si="104"/>
        <v>0</v>
      </c>
      <c r="F197" s="414">
        <f ca="1">OFFSET('Tabla II.'!$H$44,H197-1,I197-1)</f>
        <v>0</v>
      </c>
      <c r="G197" s="412" t="str">
        <f ca="1">OFFSET('Tabla II.'!$H$1,0,I197-1)</f>
        <v>07</v>
      </c>
      <c r="H197" s="111">
        <f t="shared" si="100"/>
        <v>15</v>
      </c>
      <c r="I197" s="111">
        <f t="shared" si="101"/>
        <v>7</v>
      </c>
      <c r="J197" s="111" t="str">
        <f ca="1">+'Tabla II.'!$C$9</f>
        <v>Tabla II.</v>
      </c>
      <c r="K197" s="111" t="str">
        <f t="shared" si="98"/>
        <v>B</v>
      </c>
      <c r="L197" s="412"/>
    </row>
    <row r="198" spans="1:12" s="410" customFormat="1">
      <c r="A198" s="406" t="s">
        <v>2944</v>
      </c>
      <c r="B198" s="406" t="str">
        <f t="shared" ca="1" si="102"/>
        <v>202502</v>
      </c>
      <c r="C198" s="406" t="str">
        <f t="shared" ca="1" si="103"/>
        <v>v2</v>
      </c>
      <c r="D198" s="407" t="str">
        <f ca="1">OFFSET('Tabla II.'!$F$44,H198-1,0)</f>
        <v>02.03.01.02.</v>
      </c>
      <c r="E198" s="406">
        <f t="shared" si="104"/>
        <v>0</v>
      </c>
      <c r="F198" s="408">
        <f ca="1">OFFSET('Tabla II.'!$H$44,H198-1,I198-1)</f>
        <v>0</v>
      </c>
      <c r="G198" s="406" t="str">
        <f ca="1">OFFSET('Tabla II.'!$H$1,0,I198-1)</f>
        <v>01</v>
      </c>
      <c r="H198" s="409">
        <f>+H191+1</f>
        <v>16</v>
      </c>
      <c r="I198" s="409">
        <v>1</v>
      </c>
      <c r="J198" s="409" t="str">
        <f ca="1">+'Tabla II.'!$C$9</f>
        <v>Tabla II.</v>
      </c>
      <c r="K198" s="409" t="str">
        <f t="shared" si="98"/>
        <v>B</v>
      </c>
      <c r="L198" s="406">
        <f>+L191+1</f>
        <v>16</v>
      </c>
    </row>
    <row r="199" spans="1:12" s="410" customFormat="1">
      <c r="A199" s="406" t="s">
        <v>2944</v>
      </c>
      <c r="B199" s="406" t="str">
        <f t="shared" ca="1" si="102"/>
        <v>202503</v>
      </c>
      <c r="C199" s="406" t="str">
        <f t="shared" ca="1" si="103"/>
        <v>v1</v>
      </c>
      <c r="D199" s="407" t="str">
        <f t="shared" ref="D199:D204" ca="1" si="105">+D198</f>
        <v>02.03.01.02.</v>
      </c>
      <c r="E199" s="406">
        <f t="shared" si="104"/>
        <v>0</v>
      </c>
      <c r="F199" s="408">
        <f ca="1">OFFSET('Tabla II.'!$H$44,H199-1,I199-1)</f>
        <v>0</v>
      </c>
      <c r="G199" s="406" t="str">
        <f ca="1">OFFSET('Tabla II.'!$H$1,0,I199-1)</f>
        <v>02</v>
      </c>
      <c r="H199" s="409">
        <f t="shared" ref="H199:H204" si="106">+H198</f>
        <v>16</v>
      </c>
      <c r="I199" s="409">
        <f t="shared" ref="I199:I204" si="107">+I198+1</f>
        <v>2</v>
      </c>
      <c r="J199" s="409" t="str">
        <f ca="1">+'Tabla II.'!$C$9</f>
        <v>Tabla II.</v>
      </c>
      <c r="K199" s="409" t="str">
        <f t="shared" si="98"/>
        <v>B</v>
      </c>
      <c r="L199" s="406"/>
    </row>
    <row r="200" spans="1:12" s="410" customFormat="1">
      <c r="A200" s="406" t="s">
        <v>2944</v>
      </c>
      <c r="B200" s="406" t="str">
        <f t="shared" ca="1" si="102"/>
        <v>202503</v>
      </c>
      <c r="C200" s="406" t="str">
        <f t="shared" ca="1" si="103"/>
        <v>v1</v>
      </c>
      <c r="D200" s="407" t="str">
        <f t="shared" ca="1" si="105"/>
        <v>02.03.01.02.</v>
      </c>
      <c r="E200" s="406">
        <f t="shared" si="104"/>
        <v>0</v>
      </c>
      <c r="F200" s="408">
        <f ca="1">OFFSET('Tabla II.'!$H$44,H200-1,I200-1)</f>
        <v>0</v>
      </c>
      <c r="G200" s="406" t="str">
        <f ca="1">OFFSET('Tabla II.'!$H$1,0,I200-1)</f>
        <v>03</v>
      </c>
      <c r="H200" s="409">
        <f t="shared" si="106"/>
        <v>16</v>
      </c>
      <c r="I200" s="409">
        <f t="shared" si="107"/>
        <v>3</v>
      </c>
      <c r="J200" s="409" t="str">
        <f ca="1">+'Tabla II.'!$C$9</f>
        <v>Tabla II.</v>
      </c>
      <c r="K200" s="409" t="str">
        <f t="shared" si="98"/>
        <v>B</v>
      </c>
      <c r="L200" s="406"/>
    </row>
    <row r="201" spans="1:12" s="410" customFormat="1">
      <c r="A201" s="406" t="s">
        <v>2944</v>
      </c>
      <c r="B201" s="406" t="str">
        <f t="shared" ca="1" si="102"/>
        <v>202503</v>
      </c>
      <c r="C201" s="406" t="str">
        <f t="shared" ca="1" si="103"/>
        <v>v1</v>
      </c>
      <c r="D201" s="407" t="str">
        <f t="shared" ca="1" si="105"/>
        <v>02.03.01.02.</v>
      </c>
      <c r="E201" s="406">
        <f t="shared" si="104"/>
        <v>0</v>
      </c>
      <c r="F201" s="408">
        <f ca="1">OFFSET('Tabla II.'!$H$44,H201-1,I201-1)</f>
        <v>0</v>
      </c>
      <c r="G201" s="406" t="str">
        <f ca="1">OFFSET('Tabla II.'!$H$1,0,I201-1)</f>
        <v>04</v>
      </c>
      <c r="H201" s="409">
        <f t="shared" si="106"/>
        <v>16</v>
      </c>
      <c r="I201" s="409">
        <f t="shared" si="107"/>
        <v>4</v>
      </c>
      <c r="J201" s="409" t="str">
        <f ca="1">+'Tabla II.'!$C$9</f>
        <v>Tabla II.</v>
      </c>
      <c r="K201" s="409" t="str">
        <f t="shared" si="98"/>
        <v>B</v>
      </c>
      <c r="L201" s="406"/>
    </row>
    <row r="202" spans="1:12" s="410" customFormat="1">
      <c r="A202" s="406" t="s">
        <v>2944</v>
      </c>
      <c r="B202" s="406" t="str">
        <f t="shared" ca="1" si="102"/>
        <v>202503</v>
      </c>
      <c r="C202" s="406" t="str">
        <f t="shared" ca="1" si="103"/>
        <v>v1</v>
      </c>
      <c r="D202" s="407" t="str">
        <f t="shared" ca="1" si="105"/>
        <v>02.03.01.02.</v>
      </c>
      <c r="E202" s="406">
        <f t="shared" si="104"/>
        <v>0</v>
      </c>
      <c r="F202" s="408">
        <f ca="1">OFFSET('Tabla II.'!$H$44,H202-1,I202-1)</f>
        <v>0</v>
      </c>
      <c r="G202" s="406" t="str">
        <f ca="1">OFFSET('Tabla II.'!$H$1,0,I202-1)</f>
        <v>05</v>
      </c>
      <c r="H202" s="409">
        <f t="shared" si="106"/>
        <v>16</v>
      </c>
      <c r="I202" s="409">
        <f t="shared" si="107"/>
        <v>5</v>
      </c>
      <c r="J202" s="409" t="str">
        <f ca="1">+'Tabla II.'!$C$9</f>
        <v>Tabla II.</v>
      </c>
      <c r="K202" s="409" t="str">
        <f t="shared" si="98"/>
        <v>B</v>
      </c>
      <c r="L202" s="406"/>
    </row>
    <row r="203" spans="1:12" s="410" customFormat="1">
      <c r="A203" s="406" t="s">
        <v>2944</v>
      </c>
      <c r="B203" s="406" t="str">
        <f t="shared" ca="1" si="102"/>
        <v>202503</v>
      </c>
      <c r="C203" s="406" t="str">
        <f t="shared" ca="1" si="103"/>
        <v>v1</v>
      </c>
      <c r="D203" s="407" t="str">
        <f t="shared" ca="1" si="105"/>
        <v>02.03.01.02.</v>
      </c>
      <c r="E203" s="406">
        <f t="shared" si="104"/>
        <v>0</v>
      </c>
      <c r="F203" s="408">
        <f ca="1">OFFSET('Tabla II.'!$H$44,H203-1,I203-1)</f>
        <v>0</v>
      </c>
      <c r="G203" s="406" t="str">
        <f ca="1">OFFSET('Tabla II.'!$H$1,0,I203-1)</f>
        <v>06</v>
      </c>
      <c r="H203" s="409">
        <f t="shared" si="106"/>
        <v>16</v>
      </c>
      <c r="I203" s="409">
        <f t="shared" si="107"/>
        <v>6</v>
      </c>
      <c r="J203" s="409" t="str">
        <f ca="1">+'Tabla II.'!$C$9</f>
        <v>Tabla II.</v>
      </c>
      <c r="K203" s="409" t="str">
        <f t="shared" si="98"/>
        <v>B</v>
      </c>
      <c r="L203" s="406"/>
    </row>
    <row r="204" spans="1:12" s="410" customFormat="1">
      <c r="A204" s="406" t="s">
        <v>2944</v>
      </c>
      <c r="B204" s="406" t="str">
        <f t="shared" ca="1" si="102"/>
        <v>202503</v>
      </c>
      <c r="C204" s="406" t="str">
        <f t="shared" ca="1" si="103"/>
        <v>v1</v>
      </c>
      <c r="D204" s="407" t="str">
        <f t="shared" ca="1" si="105"/>
        <v>02.03.01.02.</v>
      </c>
      <c r="E204" s="406">
        <f t="shared" si="104"/>
        <v>0</v>
      </c>
      <c r="F204" s="408">
        <f ca="1">OFFSET('Tabla II.'!$H$44,H204-1,I204-1)</f>
        <v>0</v>
      </c>
      <c r="G204" s="406" t="str">
        <f ca="1">OFFSET('Tabla II.'!$H$1,0,I204-1)</f>
        <v>07</v>
      </c>
      <c r="H204" s="409">
        <f t="shared" si="106"/>
        <v>16</v>
      </c>
      <c r="I204" s="409">
        <f t="shared" si="107"/>
        <v>7</v>
      </c>
      <c r="J204" s="409" t="str">
        <f ca="1">+'Tabla II.'!$C$9</f>
        <v>Tabla II.</v>
      </c>
      <c r="K204" s="409" t="str">
        <f t="shared" si="98"/>
        <v>B</v>
      </c>
      <c r="L204" s="406"/>
    </row>
    <row r="205" spans="1:12" s="415" customFormat="1">
      <c r="A205" s="412" t="s">
        <v>2944</v>
      </c>
      <c r="B205" s="412" t="str">
        <f t="shared" ca="1" si="102"/>
        <v>202502</v>
      </c>
      <c r="C205" s="412" t="str">
        <f t="shared" ca="1" si="103"/>
        <v>v2</v>
      </c>
      <c r="D205" s="413" t="str">
        <f ca="1">OFFSET('Tabla II.'!$F$44,H205-1,0)</f>
        <v>02.99.</v>
      </c>
      <c r="E205" s="412">
        <f t="shared" si="104"/>
        <v>0</v>
      </c>
      <c r="F205" s="414">
        <f ca="1">OFFSET('Tabla II.'!$H$44,H205-1,I205-1)</f>
        <v>0</v>
      </c>
      <c r="G205" s="412" t="str">
        <f ca="1">OFFSET('Tabla II.'!$H$1,0,I205-1)</f>
        <v>01</v>
      </c>
      <c r="H205" s="111">
        <f>+H198+1</f>
        <v>17</v>
      </c>
      <c r="I205" s="111">
        <v>1</v>
      </c>
      <c r="J205" s="111" t="str">
        <f ca="1">+'Tabla II.'!$C$9</f>
        <v>Tabla II.</v>
      </c>
      <c r="K205" s="111" t="str">
        <f t="shared" ref="K205:K218" si="108">+K204</f>
        <v>B</v>
      </c>
      <c r="L205" s="412">
        <f>+L198+1</f>
        <v>17</v>
      </c>
    </row>
    <row r="206" spans="1:12" s="415" customFormat="1">
      <c r="A206" s="412" t="s">
        <v>2944</v>
      </c>
      <c r="B206" s="412" t="str">
        <f t="shared" ca="1" si="102"/>
        <v>202503</v>
      </c>
      <c r="C206" s="412" t="str">
        <f t="shared" ca="1" si="103"/>
        <v>v1</v>
      </c>
      <c r="D206" s="413" t="str">
        <f t="shared" ref="D206:D211" ca="1" si="109">+D205</f>
        <v>02.99.</v>
      </c>
      <c r="E206" s="412">
        <f t="shared" si="104"/>
        <v>0</v>
      </c>
      <c r="F206" s="414">
        <f ca="1">OFFSET('Tabla II.'!$H$44,H206-1,I206-1)</f>
        <v>0</v>
      </c>
      <c r="G206" s="412" t="str">
        <f ca="1">OFFSET('Tabla II.'!$H$1,0,I206-1)</f>
        <v>02</v>
      </c>
      <c r="H206" s="111">
        <f t="shared" ref="H206:H211" si="110">+H205</f>
        <v>17</v>
      </c>
      <c r="I206" s="111">
        <f t="shared" ref="I206:I211" si="111">+I205+1</f>
        <v>2</v>
      </c>
      <c r="J206" s="111" t="str">
        <f ca="1">+'Tabla II.'!$C$9</f>
        <v>Tabla II.</v>
      </c>
      <c r="K206" s="111" t="str">
        <f t="shared" si="108"/>
        <v>B</v>
      </c>
      <c r="L206" s="412"/>
    </row>
    <row r="207" spans="1:12" s="415" customFormat="1">
      <c r="A207" s="412" t="s">
        <v>2944</v>
      </c>
      <c r="B207" s="412" t="str">
        <f t="shared" ca="1" si="102"/>
        <v>202503</v>
      </c>
      <c r="C207" s="412" t="str">
        <f t="shared" ca="1" si="103"/>
        <v>v1</v>
      </c>
      <c r="D207" s="413" t="str">
        <f t="shared" ca="1" si="109"/>
        <v>02.99.</v>
      </c>
      <c r="E207" s="412">
        <f t="shared" si="104"/>
        <v>0</v>
      </c>
      <c r="F207" s="414">
        <f ca="1">OFFSET('Tabla II.'!$H$44,H207-1,I207-1)</f>
        <v>0</v>
      </c>
      <c r="G207" s="412" t="str">
        <f ca="1">OFFSET('Tabla II.'!$H$1,0,I207-1)</f>
        <v>03</v>
      </c>
      <c r="H207" s="111">
        <f t="shared" si="110"/>
        <v>17</v>
      </c>
      <c r="I207" s="111">
        <f t="shared" si="111"/>
        <v>3</v>
      </c>
      <c r="J207" s="111" t="str">
        <f ca="1">+'Tabla II.'!$C$9</f>
        <v>Tabla II.</v>
      </c>
      <c r="K207" s="111" t="str">
        <f t="shared" si="108"/>
        <v>B</v>
      </c>
      <c r="L207" s="412"/>
    </row>
    <row r="208" spans="1:12" s="415" customFormat="1">
      <c r="A208" s="412" t="s">
        <v>2944</v>
      </c>
      <c r="B208" s="412" t="str">
        <f t="shared" ca="1" si="102"/>
        <v>202503</v>
      </c>
      <c r="C208" s="412" t="str">
        <f t="shared" ca="1" si="103"/>
        <v>v1</v>
      </c>
      <c r="D208" s="413" t="str">
        <f t="shared" ca="1" si="109"/>
        <v>02.99.</v>
      </c>
      <c r="E208" s="412">
        <f t="shared" si="104"/>
        <v>0</v>
      </c>
      <c r="F208" s="414">
        <f ca="1">OFFSET('Tabla II.'!$H$44,H208-1,I208-1)</f>
        <v>0</v>
      </c>
      <c r="G208" s="412" t="str">
        <f ca="1">OFFSET('Tabla II.'!$H$1,0,I208-1)</f>
        <v>04</v>
      </c>
      <c r="H208" s="111">
        <f t="shared" si="110"/>
        <v>17</v>
      </c>
      <c r="I208" s="111">
        <f t="shared" si="111"/>
        <v>4</v>
      </c>
      <c r="J208" s="111" t="str">
        <f ca="1">+'Tabla II.'!$C$9</f>
        <v>Tabla II.</v>
      </c>
      <c r="K208" s="111" t="str">
        <f t="shared" si="108"/>
        <v>B</v>
      </c>
      <c r="L208" s="412"/>
    </row>
    <row r="209" spans="1:12" s="415" customFormat="1">
      <c r="A209" s="412" t="s">
        <v>2944</v>
      </c>
      <c r="B209" s="412" t="str">
        <f t="shared" ca="1" si="102"/>
        <v>202503</v>
      </c>
      <c r="C209" s="412" t="str">
        <f t="shared" ca="1" si="103"/>
        <v>v1</v>
      </c>
      <c r="D209" s="413" t="str">
        <f t="shared" ca="1" si="109"/>
        <v>02.99.</v>
      </c>
      <c r="E209" s="412">
        <f t="shared" si="104"/>
        <v>0</v>
      </c>
      <c r="F209" s="414">
        <f ca="1">OFFSET('Tabla II.'!$H$44,H209-1,I209-1)</f>
        <v>0</v>
      </c>
      <c r="G209" s="412" t="str">
        <f ca="1">OFFSET('Tabla II.'!$H$1,0,I209-1)</f>
        <v>05</v>
      </c>
      <c r="H209" s="111">
        <f t="shared" si="110"/>
        <v>17</v>
      </c>
      <c r="I209" s="111">
        <f t="shared" si="111"/>
        <v>5</v>
      </c>
      <c r="J209" s="111" t="str">
        <f ca="1">+'Tabla II.'!$C$9</f>
        <v>Tabla II.</v>
      </c>
      <c r="K209" s="111" t="str">
        <f t="shared" si="108"/>
        <v>B</v>
      </c>
      <c r="L209" s="412"/>
    </row>
    <row r="210" spans="1:12" s="415" customFormat="1">
      <c r="A210" s="412" t="s">
        <v>2944</v>
      </c>
      <c r="B210" s="412" t="str">
        <f t="shared" ca="1" si="102"/>
        <v>202503</v>
      </c>
      <c r="C210" s="412" t="str">
        <f t="shared" ca="1" si="103"/>
        <v>v1</v>
      </c>
      <c r="D210" s="413" t="str">
        <f t="shared" ca="1" si="109"/>
        <v>02.99.</v>
      </c>
      <c r="E210" s="412">
        <f t="shared" si="104"/>
        <v>0</v>
      </c>
      <c r="F210" s="414">
        <f ca="1">OFFSET('Tabla II.'!$H$44,H210-1,I210-1)</f>
        <v>0</v>
      </c>
      <c r="G210" s="412" t="str">
        <f ca="1">OFFSET('Tabla II.'!$H$1,0,I210-1)</f>
        <v>06</v>
      </c>
      <c r="H210" s="111">
        <f t="shared" si="110"/>
        <v>17</v>
      </c>
      <c r="I210" s="111">
        <f t="shared" si="111"/>
        <v>6</v>
      </c>
      <c r="J210" s="111" t="str">
        <f ca="1">+'Tabla II.'!$C$9</f>
        <v>Tabla II.</v>
      </c>
      <c r="K210" s="111" t="str">
        <f t="shared" si="108"/>
        <v>B</v>
      </c>
      <c r="L210" s="412"/>
    </row>
    <row r="211" spans="1:12" s="415" customFormat="1">
      <c r="A211" s="412" t="s">
        <v>2944</v>
      </c>
      <c r="B211" s="412" t="str">
        <f t="shared" ca="1" si="102"/>
        <v>202503</v>
      </c>
      <c r="C211" s="412" t="str">
        <f t="shared" ca="1" si="103"/>
        <v>v1</v>
      </c>
      <c r="D211" s="413" t="str">
        <f t="shared" ca="1" si="109"/>
        <v>02.99.</v>
      </c>
      <c r="E211" s="412">
        <f t="shared" si="104"/>
        <v>0</v>
      </c>
      <c r="F211" s="414">
        <f ca="1">OFFSET('Tabla II.'!$H$44,H211-1,I211-1)</f>
        <v>0</v>
      </c>
      <c r="G211" s="412" t="str">
        <f ca="1">OFFSET('Tabla II.'!$H$1,0,I211-1)</f>
        <v>07</v>
      </c>
      <c r="H211" s="111">
        <f t="shared" si="110"/>
        <v>17</v>
      </c>
      <c r="I211" s="111">
        <f t="shared" si="111"/>
        <v>7</v>
      </c>
      <c r="J211" s="111" t="str">
        <f ca="1">+'Tabla II.'!$C$9</f>
        <v>Tabla II.</v>
      </c>
      <c r="K211" s="111" t="str">
        <f t="shared" si="108"/>
        <v>B</v>
      </c>
      <c r="L211" s="412"/>
    </row>
    <row r="212" spans="1:12" s="410" customFormat="1">
      <c r="A212" s="406" t="s">
        <v>2944</v>
      </c>
      <c r="B212" s="406" t="str">
        <f t="shared" ca="1" si="102"/>
        <v>202502</v>
      </c>
      <c r="C212" s="406" t="str">
        <f t="shared" ca="1" si="103"/>
        <v>v2</v>
      </c>
      <c r="D212" s="407" t="str">
        <f ca="1">OFFSET('Tabla II.'!$F$44,H212-1,0)</f>
        <v>02.01.03..</v>
      </c>
      <c r="E212" s="406">
        <f t="shared" si="104"/>
        <v>0</v>
      </c>
      <c r="F212" s="408">
        <f ca="1">OFFSET('Tabla II.'!$H$44,H212-1,I212-1)</f>
        <v>0</v>
      </c>
      <c r="G212" s="406" t="str">
        <f ca="1">OFFSET('Tabla II.'!$H$1,0,I212-1)</f>
        <v>01</v>
      </c>
      <c r="H212" s="416">
        <v>20</v>
      </c>
      <c r="I212" s="409">
        <v>1</v>
      </c>
      <c r="J212" s="409" t="str">
        <f ca="1">+'Tabla II.'!$C$9</f>
        <v>Tabla II.</v>
      </c>
      <c r="K212" s="409" t="str">
        <f t="shared" si="108"/>
        <v>B</v>
      </c>
      <c r="L212" s="418">
        <f>+L205+1</f>
        <v>18</v>
      </c>
    </row>
    <row r="213" spans="1:12" s="410" customFormat="1">
      <c r="A213" s="406" t="s">
        <v>2944</v>
      </c>
      <c r="B213" s="406" t="str">
        <f t="shared" ca="1" si="102"/>
        <v>202503</v>
      </c>
      <c r="C213" s="406" t="str">
        <f t="shared" ca="1" si="103"/>
        <v>v1</v>
      </c>
      <c r="D213" s="407" t="str">
        <f t="shared" ref="D213:D218" ca="1" si="112">+D212</f>
        <v>02.01.03..</v>
      </c>
      <c r="E213" s="406">
        <f t="shared" si="104"/>
        <v>0</v>
      </c>
      <c r="F213" s="408">
        <f ca="1">OFFSET('Tabla II.'!$H$44,H213-1,I213-1)</f>
        <v>0</v>
      </c>
      <c r="G213" s="406" t="str">
        <f ca="1">OFFSET('Tabla II.'!$H$1,0,I213-1)</f>
        <v>02</v>
      </c>
      <c r="H213" s="409">
        <f t="shared" ref="H213:H218" si="113">+H212</f>
        <v>20</v>
      </c>
      <c r="I213" s="409">
        <f t="shared" ref="I213:I218" si="114">+I212+1</f>
        <v>2</v>
      </c>
      <c r="J213" s="409" t="str">
        <f ca="1">+'Tabla II.'!$C$9</f>
        <v>Tabla II.</v>
      </c>
      <c r="K213" s="409" t="str">
        <f t="shared" si="108"/>
        <v>B</v>
      </c>
      <c r="L213" s="406"/>
    </row>
    <row r="214" spans="1:12" s="410" customFormat="1">
      <c r="A214" s="406" t="s">
        <v>2944</v>
      </c>
      <c r="B214" s="406" t="str">
        <f t="shared" ca="1" si="102"/>
        <v>202503</v>
      </c>
      <c r="C214" s="406" t="str">
        <f t="shared" ca="1" si="103"/>
        <v>v1</v>
      </c>
      <c r="D214" s="407" t="str">
        <f t="shared" ca="1" si="112"/>
        <v>02.01.03..</v>
      </c>
      <c r="E214" s="406">
        <f t="shared" si="104"/>
        <v>0</v>
      </c>
      <c r="F214" s="408">
        <f ca="1">OFFSET('Tabla II.'!$H$44,H214-1,I214-1)</f>
        <v>0</v>
      </c>
      <c r="G214" s="406" t="str">
        <f ca="1">OFFSET('Tabla II.'!$H$1,0,I214-1)</f>
        <v>03</v>
      </c>
      <c r="H214" s="409">
        <f t="shared" si="113"/>
        <v>20</v>
      </c>
      <c r="I214" s="409">
        <f t="shared" si="114"/>
        <v>3</v>
      </c>
      <c r="J214" s="409" t="str">
        <f ca="1">+'Tabla II.'!$C$9</f>
        <v>Tabla II.</v>
      </c>
      <c r="K214" s="409" t="str">
        <f t="shared" si="108"/>
        <v>B</v>
      </c>
      <c r="L214" s="406"/>
    </row>
    <row r="215" spans="1:12" s="410" customFormat="1">
      <c r="A215" s="406" t="s">
        <v>2944</v>
      </c>
      <c r="B215" s="406" t="str">
        <f t="shared" ca="1" si="102"/>
        <v>202503</v>
      </c>
      <c r="C215" s="406" t="str">
        <f t="shared" ca="1" si="103"/>
        <v>v1</v>
      </c>
      <c r="D215" s="407" t="str">
        <f t="shared" ca="1" si="112"/>
        <v>02.01.03..</v>
      </c>
      <c r="E215" s="406">
        <f t="shared" si="104"/>
        <v>0</v>
      </c>
      <c r="F215" s="408">
        <f ca="1">OFFSET('Tabla II.'!$H$44,H215-1,I215-1)</f>
        <v>0</v>
      </c>
      <c r="G215" s="406" t="str">
        <f ca="1">OFFSET('Tabla II.'!$H$1,0,I215-1)</f>
        <v>04</v>
      </c>
      <c r="H215" s="409">
        <f t="shared" si="113"/>
        <v>20</v>
      </c>
      <c r="I215" s="409">
        <f t="shared" si="114"/>
        <v>4</v>
      </c>
      <c r="J215" s="409" t="str">
        <f ca="1">+'Tabla II.'!$C$9</f>
        <v>Tabla II.</v>
      </c>
      <c r="K215" s="409" t="str">
        <f t="shared" si="108"/>
        <v>B</v>
      </c>
      <c r="L215" s="406"/>
    </row>
    <row r="216" spans="1:12" s="410" customFormat="1">
      <c r="A216" s="406" t="s">
        <v>2944</v>
      </c>
      <c r="B216" s="406" t="str">
        <f t="shared" ca="1" si="102"/>
        <v>202503</v>
      </c>
      <c r="C216" s="406" t="str">
        <f t="shared" ca="1" si="103"/>
        <v>v1</v>
      </c>
      <c r="D216" s="407" t="str">
        <f t="shared" ca="1" si="112"/>
        <v>02.01.03..</v>
      </c>
      <c r="E216" s="406">
        <f t="shared" si="104"/>
        <v>0</v>
      </c>
      <c r="F216" s="408">
        <f ca="1">OFFSET('Tabla II.'!$H$44,H216-1,I216-1)</f>
        <v>0</v>
      </c>
      <c r="G216" s="406" t="str">
        <f ca="1">OFFSET('Tabla II.'!$H$1,0,I216-1)</f>
        <v>05</v>
      </c>
      <c r="H216" s="409">
        <f t="shared" si="113"/>
        <v>20</v>
      </c>
      <c r="I216" s="409">
        <f t="shared" si="114"/>
        <v>5</v>
      </c>
      <c r="J216" s="409" t="str">
        <f ca="1">+'Tabla II.'!$C$9</f>
        <v>Tabla II.</v>
      </c>
      <c r="K216" s="409" t="str">
        <f t="shared" si="108"/>
        <v>B</v>
      </c>
      <c r="L216" s="406"/>
    </row>
    <row r="217" spans="1:12" s="410" customFormat="1">
      <c r="A217" s="406" t="s">
        <v>2944</v>
      </c>
      <c r="B217" s="406" t="str">
        <f t="shared" ca="1" si="102"/>
        <v>202503</v>
      </c>
      <c r="C217" s="406" t="str">
        <f t="shared" ca="1" si="103"/>
        <v>v1</v>
      </c>
      <c r="D217" s="407" t="str">
        <f t="shared" ca="1" si="112"/>
        <v>02.01.03..</v>
      </c>
      <c r="E217" s="406">
        <f t="shared" si="104"/>
        <v>0</v>
      </c>
      <c r="F217" s="408">
        <f ca="1">OFFSET('Tabla II.'!$H$44,H217-1,I217-1)</f>
        <v>0</v>
      </c>
      <c r="G217" s="406" t="str">
        <f ca="1">OFFSET('Tabla II.'!$H$1,0,I217-1)</f>
        <v>06</v>
      </c>
      <c r="H217" s="409">
        <f t="shared" si="113"/>
        <v>20</v>
      </c>
      <c r="I217" s="409">
        <f t="shared" si="114"/>
        <v>6</v>
      </c>
      <c r="J217" s="409" t="str">
        <f ca="1">+'Tabla II.'!$C$9</f>
        <v>Tabla II.</v>
      </c>
      <c r="K217" s="409" t="str">
        <f t="shared" si="108"/>
        <v>B</v>
      </c>
      <c r="L217" s="406"/>
    </row>
    <row r="218" spans="1:12" s="410" customFormat="1">
      <c r="A218" s="406" t="s">
        <v>2944</v>
      </c>
      <c r="B218" s="406" t="str">
        <f t="shared" ca="1" si="102"/>
        <v>202503</v>
      </c>
      <c r="C218" s="406" t="str">
        <f t="shared" ca="1" si="103"/>
        <v>v1</v>
      </c>
      <c r="D218" s="407" t="str">
        <f t="shared" ca="1" si="112"/>
        <v>02.01.03..</v>
      </c>
      <c r="E218" s="406">
        <f t="shared" si="104"/>
        <v>0</v>
      </c>
      <c r="F218" s="408">
        <f ca="1">OFFSET('Tabla II.'!$H$44,H218-1,I218-1)</f>
        <v>0</v>
      </c>
      <c r="G218" s="406" t="str">
        <f ca="1">OFFSET('Tabla II.'!$H$1,0,I218-1)</f>
        <v>07</v>
      </c>
      <c r="H218" s="409">
        <f t="shared" si="113"/>
        <v>20</v>
      </c>
      <c r="I218" s="409">
        <f t="shared" si="114"/>
        <v>7</v>
      </c>
      <c r="J218" s="409" t="str">
        <f ca="1">+'Tabla II.'!$C$9</f>
        <v>Tabla II.</v>
      </c>
      <c r="K218" s="409" t="str">
        <f t="shared" si="108"/>
        <v>B</v>
      </c>
      <c r="L218" s="406"/>
    </row>
    <row r="219" spans="1:12" s="415" customFormat="1">
      <c r="A219" s="412" t="s">
        <v>2944</v>
      </c>
      <c r="B219" s="412" t="str">
        <f t="shared" ca="1" si="102"/>
        <v>202502</v>
      </c>
      <c r="C219" s="412" t="str">
        <f t="shared" ca="1" si="103"/>
        <v>v2</v>
      </c>
      <c r="D219" s="413" t="str">
        <f ca="1">OFFSET('Tabla II.'!$F$44,H219-1,0)</f>
        <v>02.01.03..01</v>
      </c>
      <c r="E219" s="412">
        <f t="shared" si="104"/>
        <v>0</v>
      </c>
      <c r="F219" s="414">
        <f ca="1">OFFSET('Tabla II.'!$H$44,H219-1,I219-1)</f>
        <v>0</v>
      </c>
      <c r="G219" s="412" t="str">
        <f ca="1">OFFSET('Tabla II.'!$H$1,0,I219-1)</f>
        <v>01</v>
      </c>
      <c r="H219" s="417">
        <f>+H212+1</f>
        <v>21</v>
      </c>
      <c r="I219" s="111">
        <v>1</v>
      </c>
      <c r="J219" s="111" t="str">
        <f ca="1">+'Tabla II.'!$C$9</f>
        <v>Tabla II.</v>
      </c>
      <c r="K219" s="111" t="str">
        <f t="shared" ref="K219:K238" si="115">+K218</f>
        <v>B</v>
      </c>
      <c r="L219" s="419">
        <f>+L212+1</f>
        <v>19</v>
      </c>
    </row>
    <row r="220" spans="1:12" s="415" customFormat="1">
      <c r="A220" s="412" t="s">
        <v>2944</v>
      </c>
      <c r="B220" s="412" t="str">
        <f t="shared" ca="1" si="102"/>
        <v>202503</v>
      </c>
      <c r="C220" s="412" t="str">
        <f t="shared" ca="1" si="103"/>
        <v>v1</v>
      </c>
      <c r="D220" s="413" t="str">
        <f t="shared" ref="D220:D225" ca="1" si="116">+D219</f>
        <v>02.01.03..01</v>
      </c>
      <c r="E220" s="412">
        <f t="shared" si="104"/>
        <v>0</v>
      </c>
      <c r="F220" s="414">
        <f ca="1">OFFSET('Tabla II.'!$H$44,H220-1,I220-1)</f>
        <v>0</v>
      </c>
      <c r="G220" s="412" t="str">
        <f ca="1">OFFSET('Tabla II.'!$H$1,0,I220-1)</f>
        <v>02</v>
      </c>
      <c r="H220" s="111">
        <f t="shared" ref="H220:H225" si="117">+H219</f>
        <v>21</v>
      </c>
      <c r="I220" s="111">
        <f t="shared" ref="I220:I225" si="118">+I219+1</f>
        <v>2</v>
      </c>
      <c r="J220" s="111" t="str">
        <f ca="1">+'Tabla II.'!$C$9</f>
        <v>Tabla II.</v>
      </c>
      <c r="K220" s="111" t="str">
        <f t="shared" si="115"/>
        <v>B</v>
      </c>
      <c r="L220" s="412"/>
    </row>
    <row r="221" spans="1:12" s="415" customFormat="1">
      <c r="A221" s="412" t="s">
        <v>2944</v>
      </c>
      <c r="B221" s="412" t="str">
        <f t="shared" ca="1" si="102"/>
        <v>202503</v>
      </c>
      <c r="C221" s="412" t="str">
        <f t="shared" ca="1" si="103"/>
        <v>v1</v>
      </c>
      <c r="D221" s="413" t="str">
        <f t="shared" ca="1" si="116"/>
        <v>02.01.03..01</v>
      </c>
      <c r="E221" s="412">
        <f t="shared" si="104"/>
        <v>0</v>
      </c>
      <c r="F221" s="414">
        <f ca="1">OFFSET('Tabla II.'!$H$44,H221-1,I221-1)</f>
        <v>0</v>
      </c>
      <c r="G221" s="412" t="str">
        <f ca="1">OFFSET('Tabla II.'!$H$1,0,I221-1)</f>
        <v>03</v>
      </c>
      <c r="H221" s="111">
        <f t="shared" si="117"/>
        <v>21</v>
      </c>
      <c r="I221" s="111">
        <f t="shared" si="118"/>
        <v>3</v>
      </c>
      <c r="J221" s="111" t="str">
        <f ca="1">+'Tabla II.'!$C$9</f>
        <v>Tabla II.</v>
      </c>
      <c r="K221" s="111" t="str">
        <f t="shared" si="115"/>
        <v>B</v>
      </c>
      <c r="L221" s="412"/>
    </row>
    <row r="222" spans="1:12" s="415" customFormat="1">
      <c r="A222" s="412" t="s">
        <v>2944</v>
      </c>
      <c r="B222" s="412" t="str">
        <f t="shared" ca="1" si="102"/>
        <v>202503</v>
      </c>
      <c r="C222" s="412" t="str">
        <f t="shared" ca="1" si="103"/>
        <v>v1</v>
      </c>
      <c r="D222" s="413" t="str">
        <f t="shared" ca="1" si="116"/>
        <v>02.01.03..01</v>
      </c>
      <c r="E222" s="412">
        <f t="shared" si="104"/>
        <v>0</v>
      </c>
      <c r="F222" s="414">
        <f ca="1">OFFSET('Tabla II.'!$H$44,H222-1,I222-1)</f>
        <v>0</v>
      </c>
      <c r="G222" s="412" t="str">
        <f ca="1">OFFSET('Tabla II.'!$H$1,0,I222-1)</f>
        <v>04</v>
      </c>
      <c r="H222" s="111">
        <f t="shared" si="117"/>
        <v>21</v>
      </c>
      <c r="I222" s="111">
        <f t="shared" si="118"/>
        <v>4</v>
      </c>
      <c r="J222" s="111" t="str">
        <f ca="1">+'Tabla II.'!$C$9</f>
        <v>Tabla II.</v>
      </c>
      <c r="K222" s="111" t="str">
        <f t="shared" si="115"/>
        <v>B</v>
      </c>
      <c r="L222" s="412"/>
    </row>
    <row r="223" spans="1:12" s="415" customFormat="1">
      <c r="A223" s="412" t="s">
        <v>2944</v>
      </c>
      <c r="B223" s="412" t="str">
        <f t="shared" ca="1" si="102"/>
        <v>202503</v>
      </c>
      <c r="C223" s="412" t="str">
        <f t="shared" ca="1" si="103"/>
        <v>v1</v>
      </c>
      <c r="D223" s="413" t="str">
        <f t="shared" ca="1" si="116"/>
        <v>02.01.03..01</v>
      </c>
      <c r="E223" s="412">
        <f t="shared" si="104"/>
        <v>0</v>
      </c>
      <c r="F223" s="414">
        <f ca="1">OFFSET('Tabla II.'!$H$44,H223-1,I223-1)</f>
        <v>0</v>
      </c>
      <c r="G223" s="412" t="str">
        <f ca="1">OFFSET('Tabla II.'!$H$1,0,I223-1)</f>
        <v>05</v>
      </c>
      <c r="H223" s="111">
        <f t="shared" si="117"/>
        <v>21</v>
      </c>
      <c r="I223" s="111">
        <f t="shared" si="118"/>
        <v>5</v>
      </c>
      <c r="J223" s="111" t="str">
        <f ca="1">+'Tabla II.'!$C$9</f>
        <v>Tabla II.</v>
      </c>
      <c r="K223" s="111" t="str">
        <f t="shared" si="115"/>
        <v>B</v>
      </c>
      <c r="L223" s="412"/>
    </row>
    <row r="224" spans="1:12" s="415" customFormat="1">
      <c r="A224" s="412" t="s">
        <v>2944</v>
      </c>
      <c r="B224" s="412" t="str">
        <f t="shared" ca="1" si="102"/>
        <v>202503</v>
      </c>
      <c r="C224" s="412" t="str">
        <f t="shared" ca="1" si="103"/>
        <v>v1</v>
      </c>
      <c r="D224" s="413" t="str">
        <f t="shared" ca="1" si="116"/>
        <v>02.01.03..01</v>
      </c>
      <c r="E224" s="412">
        <f t="shared" si="104"/>
        <v>0</v>
      </c>
      <c r="F224" s="414">
        <f ca="1">OFFSET('Tabla II.'!$H$44,H224-1,I224-1)</f>
        <v>0</v>
      </c>
      <c r="G224" s="412" t="str">
        <f ca="1">OFFSET('Tabla II.'!$H$1,0,I224-1)</f>
        <v>06</v>
      </c>
      <c r="H224" s="111">
        <f t="shared" si="117"/>
        <v>21</v>
      </c>
      <c r="I224" s="111">
        <f t="shared" si="118"/>
        <v>6</v>
      </c>
      <c r="J224" s="111" t="str">
        <f ca="1">+'Tabla II.'!$C$9</f>
        <v>Tabla II.</v>
      </c>
      <c r="K224" s="111" t="str">
        <f t="shared" si="115"/>
        <v>B</v>
      </c>
      <c r="L224" s="412"/>
    </row>
    <row r="225" spans="1:12" s="415" customFormat="1">
      <c r="A225" s="412" t="s">
        <v>2944</v>
      </c>
      <c r="B225" s="412" t="str">
        <f t="shared" ca="1" si="102"/>
        <v>202503</v>
      </c>
      <c r="C225" s="412" t="str">
        <f t="shared" ca="1" si="103"/>
        <v>v1</v>
      </c>
      <c r="D225" s="413" t="str">
        <f t="shared" ca="1" si="116"/>
        <v>02.01.03..01</v>
      </c>
      <c r="E225" s="412">
        <f t="shared" si="104"/>
        <v>0</v>
      </c>
      <c r="F225" s="414">
        <f ca="1">OFFSET('Tabla II.'!$H$44,H225-1,I225-1)</f>
        <v>0</v>
      </c>
      <c r="G225" s="412" t="str">
        <f ca="1">OFFSET('Tabla II.'!$H$1,0,I225-1)</f>
        <v>07</v>
      </c>
      <c r="H225" s="111">
        <f t="shared" si="117"/>
        <v>21</v>
      </c>
      <c r="I225" s="111">
        <f t="shared" si="118"/>
        <v>7</v>
      </c>
      <c r="J225" s="111" t="str">
        <f ca="1">+'Tabla II.'!$C$9</f>
        <v>Tabla II.</v>
      </c>
      <c r="K225" s="111" t="str">
        <f t="shared" si="115"/>
        <v>B</v>
      </c>
      <c r="L225" s="412"/>
    </row>
    <row r="226" spans="1:12" s="410" customFormat="1">
      <c r="A226" s="406" t="s">
        <v>2944</v>
      </c>
      <c r="B226" s="406" t="str">
        <f t="shared" ca="1" si="102"/>
        <v>202502</v>
      </c>
      <c r="C226" s="406" t="str">
        <f t="shared" ca="1" si="103"/>
        <v>v2</v>
      </c>
      <c r="D226" s="407" t="str">
        <f ca="1">OFFSET('Tabla II.'!$F$44,H226-1,0)</f>
        <v>02.01.03..02</v>
      </c>
      <c r="E226" s="406">
        <f t="shared" si="104"/>
        <v>0</v>
      </c>
      <c r="F226" s="408">
        <f ca="1">OFFSET('Tabla II.'!$H$44,H226-1,I226-1)</f>
        <v>0</v>
      </c>
      <c r="G226" s="406" t="str">
        <f ca="1">OFFSET('Tabla II.'!$H$1,0,I226-1)</f>
        <v>01</v>
      </c>
      <c r="H226" s="416">
        <f>+H219+1</f>
        <v>22</v>
      </c>
      <c r="I226" s="409">
        <v>1</v>
      </c>
      <c r="J226" s="409" t="str">
        <f ca="1">+'Tabla II.'!$C$9</f>
        <v>Tabla II.</v>
      </c>
      <c r="K226" s="409" t="str">
        <f t="shared" si="115"/>
        <v>B</v>
      </c>
      <c r="L226" s="418">
        <f>+L219+1</f>
        <v>20</v>
      </c>
    </row>
    <row r="227" spans="1:12" s="410" customFormat="1">
      <c r="A227" s="406" t="s">
        <v>2944</v>
      </c>
      <c r="B227" s="406" t="str">
        <f t="shared" ca="1" si="102"/>
        <v>202503</v>
      </c>
      <c r="C227" s="406" t="str">
        <f t="shared" ca="1" si="103"/>
        <v>v1</v>
      </c>
      <c r="D227" s="407" t="str">
        <f t="shared" ref="D227:D232" ca="1" si="119">+D226</f>
        <v>02.01.03..02</v>
      </c>
      <c r="E227" s="406">
        <f t="shared" si="104"/>
        <v>0</v>
      </c>
      <c r="F227" s="408">
        <f ca="1">OFFSET('Tabla II.'!$H$44,H227-1,I227-1)</f>
        <v>0</v>
      </c>
      <c r="G227" s="406" t="str">
        <f ca="1">OFFSET('Tabla II.'!$H$1,0,I227-1)</f>
        <v>02</v>
      </c>
      <c r="H227" s="409">
        <f t="shared" ref="H227:H232" si="120">+H226</f>
        <v>22</v>
      </c>
      <c r="I227" s="409">
        <f t="shared" ref="I227:I232" si="121">+I226+1</f>
        <v>2</v>
      </c>
      <c r="J227" s="409" t="str">
        <f ca="1">+'Tabla II.'!$C$9</f>
        <v>Tabla II.</v>
      </c>
      <c r="K227" s="409" t="str">
        <f t="shared" si="115"/>
        <v>B</v>
      </c>
      <c r="L227" s="406"/>
    </row>
    <row r="228" spans="1:12" s="410" customFormat="1">
      <c r="A228" s="406" t="s">
        <v>2944</v>
      </c>
      <c r="B228" s="406" t="str">
        <f t="shared" ca="1" si="102"/>
        <v>202503</v>
      </c>
      <c r="C228" s="406" t="str">
        <f t="shared" ca="1" si="103"/>
        <v>v1</v>
      </c>
      <c r="D228" s="407" t="str">
        <f t="shared" ca="1" si="119"/>
        <v>02.01.03..02</v>
      </c>
      <c r="E228" s="406">
        <f t="shared" si="104"/>
        <v>0</v>
      </c>
      <c r="F228" s="408">
        <f ca="1">OFFSET('Tabla II.'!$H$44,H228-1,I228-1)</f>
        <v>0</v>
      </c>
      <c r="G228" s="406" t="str">
        <f ca="1">OFFSET('Tabla II.'!$H$1,0,I228-1)</f>
        <v>03</v>
      </c>
      <c r="H228" s="409">
        <f t="shared" si="120"/>
        <v>22</v>
      </c>
      <c r="I228" s="409">
        <f t="shared" si="121"/>
        <v>3</v>
      </c>
      <c r="J228" s="409" t="str">
        <f ca="1">+'Tabla II.'!$C$9</f>
        <v>Tabla II.</v>
      </c>
      <c r="K228" s="409" t="str">
        <f t="shared" si="115"/>
        <v>B</v>
      </c>
      <c r="L228" s="406"/>
    </row>
    <row r="229" spans="1:12" s="410" customFormat="1">
      <c r="A229" s="406" t="s">
        <v>2944</v>
      </c>
      <c r="B229" s="406" t="str">
        <f t="shared" ca="1" si="102"/>
        <v>202503</v>
      </c>
      <c r="C229" s="406" t="str">
        <f t="shared" ca="1" si="103"/>
        <v>v1</v>
      </c>
      <c r="D229" s="407" t="str">
        <f t="shared" ca="1" si="119"/>
        <v>02.01.03..02</v>
      </c>
      <c r="E229" s="406">
        <f t="shared" si="104"/>
        <v>0</v>
      </c>
      <c r="F229" s="408">
        <f ca="1">OFFSET('Tabla II.'!$H$44,H229-1,I229-1)</f>
        <v>0</v>
      </c>
      <c r="G229" s="406" t="str">
        <f ca="1">OFFSET('Tabla II.'!$H$1,0,I229-1)</f>
        <v>04</v>
      </c>
      <c r="H229" s="409">
        <f t="shared" si="120"/>
        <v>22</v>
      </c>
      <c r="I229" s="409">
        <f t="shared" si="121"/>
        <v>4</v>
      </c>
      <c r="J229" s="409" t="str">
        <f ca="1">+'Tabla II.'!$C$9</f>
        <v>Tabla II.</v>
      </c>
      <c r="K229" s="409" t="str">
        <f t="shared" si="115"/>
        <v>B</v>
      </c>
      <c r="L229" s="406"/>
    </row>
    <row r="230" spans="1:12" s="410" customFormat="1">
      <c r="A230" s="406" t="s">
        <v>2944</v>
      </c>
      <c r="B230" s="406" t="str">
        <f t="shared" ca="1" si="102"/>
        <v>202503</v>
      </c>
      <c r="C230" s="406" t="str">
        <f t="shared" ca="1" si="103"/>
        <v>v1</v>
      </c>
      <c r="D230" s="407" t="str">
        <f t="shared" ca="1" si="119"/>
        <v>02.01.03..02</v>
      </c>
      <c r="E230" s="406">
        <f t="shared" si="104"/>
        <v>0</v>
      </c>
      <c r="F230" s="408">
        <f ca="1">OFFSET('Tabla II.'!$H$44,H230-1,I230-1)</f>
        <v>0</v>
      </c>
      <c r="G230" s="406" t="str">
        <f ca="1">OFFSET('Tabla II.'!$H$1,0,I230-1)</f>
        <v>05</v>
      </c>
      <c r="H230" s="409">
        <f t="shared" si="120"/>
        <v>22</v>
      </c>
      <c r="I230" s="409">
        <f t="shared" si="121"/>
        <v>5</v>
      </c>
      <c r="J230" s="409" t="str">
        <f ca="1">+'Tabla II.'!$C$9</f>
        <v>Tabla II.</v>
      </c>
      <c r="K230" s="409" t="str">
        <f t="shared" si="115"/>
        <v>B</v>
      </c>
      <c r="L230" s="406"/>
    </row>
    <row r="231" spans="1:12" s="410" customFormat="1">
      <c r="A231" s="406" t="s">
        <v>2944</v>
      </c>
      <c r="B231" s="406" t="str">
        <f t="shared" ca="1" si="102"/>
        <v>202503</v>
      </c>
      <c r="C231" s="406" t="str">
        <f t="shared" ca="1" si="103"/>
        <v>v1</v>
      </c>
      <c r="D231" s="407" t="str">
        <f t="shared" ca="1" si="119"/>
        <v>02.01.03..02</v>
      </c>
      <c r="E231" s="406">
        <f t="shared" si="104"/>
        <v>0</v>
      </c>
      <c r="F231" s="408">
        <f ca="1">OFFSET('Tabla II.'!$H$44,H231-1,I231-1)</f>
        <v>0</v>
      </c>
      <c r="G231" s="406" t="str">
        <f ca="1">OFFSET('Tabla II.'!$H$1,0,I231-1)</f>
        <v>06</v>
      </c>
      <c r="H231" s="409">
        <f t="shared" si="120"/>
        <v>22</v>
      </c>
      <c r="I231" s="409">
        <f t="shared" si="121"/>
        <v>6</v>
      </c>
      <c r="J231" s="409" t="str">
        <f ca="1">+'Tabla II.'!$C$9</f>
        <v>Tabla II.</v>
      </c>
      <c r="K231" s="409" t="str">
        <f t="shared" si="115"/>
        <v>B</v>
      </c>
      <c r="L231" s="406"/>
    </row>
    <row r="232" spans="1:12" s="410" customFormat="1">
      <c r="A232" s="406" t="s">
        <v>2944</v>
      </c>
      <c r="B232" s="406" t="str">
        <f t="shared" ca="1" si="102"/>
        <v>202503</v>
      </c>
      <c r="C232" s="406" t="str">
        <f t="shared" ca="1" si="103"/>
        <v>v1</v>
      </c>
      <c r="D232" s="407" t="str">
        <f t="shared" ca="1" si="119"/>
        <v>02.01.03..02</v>
      </c>
      <c r="E232" s="406">
        <f t="shared" si="104"/>
        <v>0</v>
      </c>
      <c r="F232" s="408">
        <f ca="1">OFFSET('Tabla II.'!$H$44,H232-1,I232-1)</f>
        <v>0</v>
      </c>
      <c r="G232" s="406" t="str">
        <f ca="1">OFFSET('Tabla II.'!$H$1,0,I232-1)</f>
        <v>07</v>
      </c>
      <c r="H232" s="409">
        <f t="shared" si="120"/>
        <v>22</v>
      </c>
      <c r="I232" s="409">
        <f t="shared" si="121"/>
        <v>7</v>
      </c>
      <c r="J232" s="409" t="str">
        <f ca="1">+'Tabla II.'!$C$9</f>
        <v>Tabla II.</v>
      </c>
      <c r="K232" s="409" t="str">
        <f t="shared" si="115"/>
        <v>B</v>
      </c>
      <c r="L232" s="406"/>
    </row>
    <row r="233" spans="1:12" s="103" customFormat="1">
      <c r="A233" s="412" t="s">
        <v>2944</v>
      </c>
      <c r="B233" s="412" t="str">
        <f t="shared" ca="1" si="102"/>
        <v>202502</v>
      </c>
      <c r="C233" s="412" t="str">
        <f t="shared" ca="1" si="103"/>
        <v>v2</v>
      </c>
      <c r="D233" s="413" t="str">
        <f ca="1">OFFSET('Tabla III.1.'!$F$13,H233-1,0)</f>
        <v>03.01.</v>
      </c>
      <c r="E233" s="412">
        <f t="shared" si="104"/>
        <v>0</v>
      </c>
      <c r="F233" s="414">
        <f ca="1">OFFSET('Tabla III.1.'!$H$13,H233-1,I233-1)</f>
        <v>0</v>
      </c>
      <c r="G233" s="412" t="str">
        <f ca="1">OFFSET('Tabla III.1.'!$H$1,0,I233-1)</f>
        <v>01</v>
      </c>
      <c r="H233" s="111">
        <v>1</v>
      </c>
      <c r="I233" s="111">
        <v>1</v>
      </c>
      <c r="J233" s="111" t="str">
        <f ca="1">+'Tabla III.1.'!$C$9</f>
        <v>Tabla III.1.</v>
      </c>
      <c r="K233" s="111" t="s">
        <v>2266</v>
      </c>
      <c r="L233" s="412">
        <v>1</v>
      </c>
    </row>
    <row r="234" spans="1:12" s="103" customFormat="1">
      <c r="A234" s="412" t="s">
        <v>2944</v>
      </c>
      <c r="B234" s="412" t="str">
        <f t="shared" ca="1" si="102"/>
        <v>202503</v>
      </c>
      <c r="C234" s="412" t="str">
        <f t="shared" ca="1" si="103"/>
        <v>v1</v>
      </c>
      <c r="D234" s="413" t="str">
        <f ca="1">+D233</f>
        <v>03.01.</v>
      </c>
      <c r="E234" s="412">
        <f t="shared" si="104"/>
        <v>0</v>
      </c>
      <c r="F234" s="414">
        <f ca="1">OFFSET('Tabla III.1.'!$H$13,H234-1,I234-1)</f>
        <v>0</v>
      </c>
      <c r="G234" s="412" t="str">
        <f ca="1">OFFSET('Tabla III.1.'!$H$1,0,I234-1)</f>
        <v>02</v>
      </c>
      <c r="H234" s="111">
        <f>+H233</f>
        <v>1</v>
      </c>
      <c r="I234" s="111">
        <f>+I233+1</f>
        <v>2</v>
      </c>
      <c r="J234" s="111" t="str">
        <f ca="1">+'Tabla III.1.'!$C$9</f>
        <v>Tabla III.1.</v>
      </c>
      <c r="K234" s="111" t="str">
        <f t="shared" si="115"/>
        <v>A</v>
      </c>
      <c r="L234" s="412"/>
    </row>
    <row r="235" spans="1:12" s="103" customFormat="1">
      <c r="A235" s="412" t="s">
        <v>2944</v>
      </c>
      <c r="B235" s="412" t="str">
        <f t="shared" ca="1" si="102"/>
        <v>202503</v>
      </c>
      <c r="C235" s="412" t="str">
        <f t="shared" ca="1" si="103"/>
        <v>v1</v>
      </c>
      <c r="D235" s="413" t="str">
        <f ca="1">+D234</f>
        <v>03.01.</v>
      </c>
      <c r="E235" s="412">
        <f t="shared" si="104"/>
        <v>0</v>
      </c>
      <c r="F235" s="414">
        <f ca="1">OFFSET('Tabla III.1.'!$H$13,H235-1,I235-1)</f>
        <v>0</v>
      </c>
      <c r="G235" s="412" t="str">
        <f ca="1">OFFSET('Tabla III.1.'!$H$1,0,I235-1)</f>
        <v>03</v>
      </c>
      <c r="H235" s="111">
        <f>+H234</f>
        <v>1</v>
      </c>
      <c r="I235" s="111">
        <f>+I234+1</f>
        <v>3</v>
      </c>
      <c r="J235" s="111" t="str">
        <f ca="1">+'Tabla III.1.'!$C$9</f>
        <v>Tabla III.1.</v>
      </c>
      <c r="K235" s="111" t="str">
        <f t="shared" si="115"/>
        <v>A</v>
      </c>
      <c r="L235" s="412"/>
    </row>
    <row r="236" spans="1:12" s="103" customFormat="1">
      <c r="A236" s="412" t="s">
        <v>2944</v>
      </c>
      <c r="B236" s="412" t="str">
        <f t="shared" ca="1" si="102"/>
        <v>202503</v>
      </c>
      <c r="C236" s="412" t="str">
        <f t="shared" ca="1" si="103"/>
        <v>v1</v>
      </c>
      <c r="D236" s="413" t="str">
        <f ca="1">+D235</f>
        <v>03.01.</v>
      </c>
      <c r="E236" s="412">
        <f t="shared" si="104"/>
        <v>0</v>
      </c>
      <c r="F236" s="414">
        <f ca="1">OFFSET('Tabla III.1.'!$H$13,H236-1,I236-1)</f>
        <v>0</v>
      </c>
      <c r="G236" s="412" t="str">
        <f ca="1">OFFSET('Tabla III.1.'!$H$1,0,I236-1)</f>
        <v>04</v>
      </c>
      <c r="H236" s="111">
        <f>+H235</f>
        <v>1</v>
      </c>
      <c r="I236" s="111">
        <f>+I235+1</f>
        <v>4</v>
      </c>
      <c r="J236" s="111" t="str">
        <f ca="1">+'Tabla III.1.'!$C$9</f>
        <v>Tabla III.1.</v>
      </c>
      <c r="K236" s="111" t="str">
        <f t="shared" si="115"/>
        <v>A</v>
      </c>
      <c r="L236" s="412"/>
    </row>
    <row r="237" spans="1:12" s="103" customFormat="1">
      <c r="A237" s="412" t="s">
        <v>2944</v>
      </c>
      <c r="B237" s="412" t="str">
        <f t="shared" ca="1" si="102"/>
        <v>202503</v>
      </c>
      <c r="C237" s="412" t="str">
        <f t="shared" ca="1" si="103"/>
        <v>v1</v>
      </c>
      <c r="D237" s="413" t="str">
        <f ca="1">+D236</f>
        <v>03.01.</v>
      </c>
      <c r="E237" s="412">
        <f t="shared" si="104"/>
        <v>0</v>
      </c>
      <c r="F237" s="414">
        <f ca="1">OFFSET('Tabla III.1.'!$H$13,H237-1,I237-1)</f>
        <v>0</v>
      </c>
      <c r="G237" s="412" t="str">
        <f ca="1">OFFSET('Tabla III.1.'!$H$1,0,I237-1)</f>
        <v>05</v>
      </c>
      <c r="H237" s="111">
        <f>+H236</f>
        <v>1</v>
      </c>
      <c r="I237" s="111">
        <f>+I236+1</f>
        <v>5</v>
      </c>
      <c r="J237" s="111" t="str">
        <f ca="1">+'Tabla III.1.'!$C$9</f>
        <v>Tabla III.1.</v>
      </c>
      <c r="K237" s="111" t="str">
        <f t="shared" si="115"/>
        <v>A</v>
      </c>
      <c r="L237" s="412"/>
    </row>
    <row r="238" spans="1:12" s="103" customFormat="1">
      <c r="A238" s="412" t="s">
        <v>2944</v>
      </c>
      <c r="B238" s="412" t="str">
        <f t="shared" ca="1" si="102"/>
        <v>202503</v>
      </c>
      <c r="C238" s="412" t="str">
        <f t="shared" ca="1" si="103"/>
        <v>v1</v>
      </c>
      <c r="D238" s="413" t="str">
        <f ca="1">+D237</f>
        <v>03.01.</v>
      </c>
      <c r="E238" s="412">
        <f t="shared" si="104"/>
        <v>0</v>
      </c>
      <c r="F238" s="414">
        <f ca="1">OFFSET('Tabla III.1.'!$H$13,H238-1,I238-1)</f>
        <v>0</v>
      </c>
      <c r="G238" s="412" t="str">
        <f ca="1">OFFSET('Tabla III.1.'!$H$1,0,I238-1)</f>
        <v>06</v>
      </c>
      <c r="H238" s="111">
        <f>+H237</f>
        <v>1</v>
      </c>
      <c r="I238" s="111">
        <f>+I237+1</f>
        <v>6</v>
      </c>
      <c r="J238" s="111" t="str">
        <f ca="1">+'Tabla III.1.'!$C$9</f>
        <v>Tabla III.1.</v>
      </c>
      <c r="K238" s="111" t="str">
        <f t="shared" si="115"/>
        <v>A</v>
      </c>
      <c r="L238" s="412"/>
    </row>
    <row r="239" spans="1:12" s="112" customFormat="1">
      <c r="A239" s="107" t="s">
        <v>2944</v>
      </c>
      <c r="B239" s="107" t="str">
        <f t="shared" ca="1" si="102"/>
        <v>202502</v>
      </c>
      <c r="C239" s="107" t="str">
        <f t="shared" ca="1" si="103"/>
        <v>v2</v>
      </c>
      <c r="D239" s="399" t="str">
        <f ca="1">OFFSET('Tabla III.1.'!$F$13,H239-1,0)</f>
        <v>03.01.00.01.</v>
      </c>
      <c r="E239" s="107">
        <f t="shared" si="104"/>
        <v>0</v>
      </c>
      <c r="F239" s="108">
        <f ca="1">OFFSET('Tabla III.1.'!$H$13,H239-1,I239-1)</f>
        <v>0</v>
      </c>
      <c r="G239" s="107" t="str">
        <f ca="1">OFFSET('Tabla III.1.'!$H$1,0,I239-1)</f>
        <v>01</v>
      </c>
      <c r="H239" s="110">
        <f>+H233+1</f>
        <v>2</v>
      </c>
      <c r="I239" s="110">
        <v>1</v>
      </c>
      <c r="J239" s="110" t="str">
        <f ca="1">+'Tabla III.1.'!$C$9</f>
        <v>Tabla III.1.</v>
      </c>
      <c r="K239" s="110" t="s">
        <v>2266</v>
      </c>
      <c r="L239" s="107">
        <f>+L233+1</f>
        <v>2</v>
      </c>
    </row>
    <row r="240" spans="1:12" s="112" customFormat="1">
      <c r="A240" s="107" t="s">
        <v>2944</v>
      </c>
      <c r="B240" s="107" t="str">
        <f t="shared" ca="1" si="102"/>
        <v>202503</v>
      </c>
      <c r="C240" s="107" t="str">
        <f t="shared" ca="1" si="103"/>
        <v>v1</v>
      </c>
      <c r="D240" s="399" t="str">
        <f ca="1">+D239</f>
        <v>03.01.00.01.</v>
      </c>
      <c r="E240" s="107">
        <f t="shared" si="104"/>
        <v>0</v>
      </c>
      <c r="F240" s="108">
        <f ca="1">OFFSET('Tabla III.1.'!$H$13,H240-1,I240-1)</f>
        <v>0</v>
      </c>
      <c r="G240" s="107" t="str">
        <f ca="1">OFFSET('Tabla III.1.'!$H$1,0,I240-1)</f>
        <v>02</v>
      </c>
      <c r="H240" s="110">
        <f>+H239</f>
        <v>2</v>
      </c>
      <c r="I240" s="110">
        <f>+I239+1</f>
        <v>2</v>
      </c>
      <c r="J240" s="110" t="str">
        <f ca="1">+'Tabla III.1.'!$C$9</f>
        <v>Tabla III.1.</v>
      </c>
      <c r="K240" s="110" t="str">
        <f>+K239</f>
        <v>A</v>
      </c>
      <c r="L240" s="107"/>
    </row>
    <row r="241" spans="1:12" s="112" customFormat="1">
      <c r="A241" s="107" t="s">
        <v>2944</v>
      </c>
      <c r="B241" s="107" t="str">
        <f t="shared" ca="1" si="102"/>
        <v>202503</v>
      </c>
      <c r="C241" s="107" t="str">
        <f t="shared" ca="1" si="103"/>
        <v>v1</v>
      </c>
      <c r="D241" s="399" t="str">
        <f ca="1">+D240</f>
        <v>03.01.00.01.</v>
      </c>
      <c r="E241" s="107">
        <f t="shared" si="104"/>
        <v>0</v>
      </c>
      <c r="F241" s="108">
        <f ca="1">OFFSET('Tabla III.1.'!$H$13,H241-1,I241-1)</f>
        <v>0</v>
      </c>
      <c r="G241" s="107" t="str">
        <f ca="1">OFFSET('Tabla III.1.'!$H$1,0,I241-1)</f>
        <v>03</v>
      </c>
      <c r="H241" s="110">
        <f>+H240</f>
        <v>2</v>
      </c>
      <c r="I241" s="110">
        <f>+I240+1</f>
        <v>3</v>
      </c>
      <c r="J241" s="110" t="str">
        <f ca="1">+'Tabla III.1.'!$C$9</f>
        <v>Tabla III.1.</v>
      </c>
      <c r="K241" s="110" t="str">
        <f>+K240</f>
        <v>A</v>
      </c>
      <c r="L241" s="107"/>
    </row>
    <row r="242" spans="1:12" s="112" customFormat="1">
      <c r="A242" s="107" t="s">
        <v>2944</v>
      </c>
      <c r="B242" s="107" t="str">
        <f t="shared" ca="1" si="102"/>
        <v>202503</v>
      </c>
      <c r="C242" s="107" t="str">
        <f t="shared" ca="1" si="103"/>
        <v>v1</v>
      </c>
      <c r="D242" s="399" t="str">
        <f ca="1">+D241</f>
        <v>03.01.00.01.</v>
      </c>
      <c r="E242" s="107">
        <f t="shared" si="104"/>
        <v>0</v>
      </c>
      <c r="F242" s="108">
        <f ca="1">OFFSET('Tabla III.1.'!$H$13,H242-1,I242-1)</f>
        <v>0</v>
      </c>
      <c r="G242" s="107" t="str">
        <f ca="1">OFFSET('Tabla III.1.'!$H$1,0,I242-1)</f>
        <v>04</v>
      </c>
      <c r="H242" s="110">
        <f>+H241</f>
        <v>2</v>
      </c>
      <c r="I242" s="110">
        <f>+I241+1</f>
        <v>4</v>
      </c>
      <c r="J242" s="110" t="str">
        <f ca="1">+'Tabla III.1.'!$C$9</f>
        <v>Tabla III.1.</v>
      </c>
      <c r="K242" s="110" t="str">
        <f>+K241</f>
        <v>A</v>
      </c>
      <c r="L242" s="107"/>
    </row>
    <row r="243" spans="1:12" s="112" customFormat="1">
      <c r="A243" s="107" t="s">
        <v>2944</v>
      </c>
      <c r="B243" s="107" t="str">
        <f t="shared" ca="1" si="102"/>
        <v>202503</v>
      </c>
      <c r="C243" s="107" t="str">
        <f t="shared" ca="1" si="103"/>
        <v>v1</v>
      </c>
      <c r="D243" s="399" t="str">
        <f ca="1">+D242</f>
        <v>03.01.00.01.</v>
      </c>
      <c r="E243" s="107">
        <f t="shared" si="104"/>
        <v>0</v>
      </c>
      <c r="F243" s="108">
        <f ca="1">OFFSET('Tabla III.1.'!$H$13,H243-1,I243-1)</f>
        <v>0</v>
      </c>
      <c r="G243" s="107" t="str">
        <f ca="1">OFFSET('Tabla III.1.'!$H$1,0,I243-1)</f>
        <v>05</v>
      </c>
      <c r="H243" s="110">
        <f>+H242</f>
        <v>2</v>
      </c>
      <c r="I243" s="110">
        <f>+I242+1</f>
        <v>5</v>
      </c>
      <c r="J243" s="110" t="str">
        <f ca="1">+'Tabla III.1.'!$C$9</f>
        <v>Tabla III.1.</v>
      </c>
      <c r="K243" s="110" t="str">
        <f>+K242</f>
        <v>A</v>
      </c>
      <c r="L243" s="107"/>
    </row>
    <row r="244" spans="1:12" s="112" customFormat="1">
      <c r="A244" s="107" t="s">
        <v>2944</v>
      </c>
      <c r="B244" s="107" t="str">
        <f t="shared" ca="1" si="102"/>
        <v>202503</v>
      </c>
      <c r="C244" s="107" t="str">
        <f t="shared" ca="1" si="103"/>
        <v>v1</v>
      </c>
      <c r="D244" s="399" t="str">
        <f ca="1">+D243</f>
        <v>03.01.00.01.</v>
      </c>
      <c r="E244" s="107">
        <f t="shared" si="104"/>
        <v>0</v>
      </c>
      <c r="F244" s="108">
        <f ca="1">OFFSET('Tabla III.1.'!$H$13,H244-1,I244-1)</f>
        <v>0</v>
      </c>
      <c r="G244" s="107" t="str">
        <f ca="1">OFFSET('Tabla III.1.'!$H$1,0,I244-1)</f>
        <v>06</v>
      </c>
      <c r="H244" s="110">
        <f>+H243</f>
        <v>2</v>
      </c>
      <c r="I244" s="110">
        <f>+I243+1</f>
        <v>6</v>
      </c>
      <c r="J244" s="110" t="str">
        <f ca="1">+'Tabla III.1.'!$C$9</f>
        <v>Tabla III.1.</v>
      </c>
      <c r="K244" s="110" t="str">
        <f>+K243</f>
        <v>A</v>
      </c>
      <c r="L244" s="107"/>
    </row>
    <row r="245" spans="1:12" s="415" customFormat="1">
      <c r="A245" s="412" t="s">
        <v>2944</v>
      </c>
      <c r="B245" s="412" t="str">
        <f t="shared" ca="1" si="102"/>
        <v>202502</v>
      </c>
      <c r="C245" s="412" t="str">
        <f t="shared" ca="1" si="103"/>
        <v>v2</v>
      </c>
      <c r="D245" s="413" t="str">
        <f ca="1">OFFSET('Tabla III.1.'!$F$13,H245-1,0)</f>
        <v>03.01.00.02.</v>
      </c>
      <c r="E245" s="412">
        <f t="shared" si="104"/>
        <v>0</v>
      </c>
      <c r="F245" s="414">
        <f ca="1">OFFSET('Tabla III.1.'!$H$13,H245-1,I245-1)</f>
        <v>0</v>
      </c>
      <c r="G245" s="412" t="str">
        <f ca="1">OFFSET('Tabla III.1.'!$H$1,0,I245-1)</f>
        <v>01</v>
      </c>
      <c r="H245" s="111">
        <f>+H239+1</f>
        <v>3</v>
      </c>
      <c r="I245" s="111">
        <v>1</v>
      </c>
      <c r="J245" s="111" t="str">
        <f ca="1">+'Tabla III.1.'!$C$9</f>
        <v>Tabla III.1.</v>
      </c>
      <c r="K245" s="111" t="s">
        <v>2266</v>
      </c>
      <c r="L245" s="412">
        <f>+L239+1</f>
        <v>3</v>
      </c>
    </row>
    <row r="246" spans="1:12" s="415" customFormat="1">
      <c r="A246" s="412" t="s">
        <v>2944</v>
      </c>
      <c r="B246" s="412" t="str">
        <f t="shared" ca="1" si="102"/>
        <v>202503</v>
      </c>
      <c r="C246" s="412" t="str">
        <f t="shared" ca="1" si="103"/>
        <v>v1</v>
      </c>
      <c r="D246" s="413" t="str">
        <f ca="1">+D245</f>
        <v>03.01.00.02.</v>
      </c>
      <c r="E246" s="412">
        <f t="shared" si="104"/>
        <v>0</v>
      </c>
      <c r="F246" s="414">
        <f ca="1">OFFSET('Tabla III.1.'!$H$13,H246-1,I246-1)</f>
        <v>0</v>
      </c>
      <c r="G246" s="412" t="str">
        <f ca="1">OFFSET('Tabla III.1.'!$H$1,0,I246-1)</f>
        <v>02</v>
      </c>
      <c r="H246" s="111">
        <f>+H245</f>
        <v>3</v>
      </c>
      <c r="I246" s="111">
        <f>+I245+1</f>
        <v>2</v>
      </c>
      <c r="J246" s="111" t="str">
        <f ca="1">+'Tabla III.1.'!$C$9</f>
        <v>Tabla III.1.</v>
      </c>
      <c r="K246" s="111" t="str">
        <f>+K245</f>
        <v>A</v>
      </c>
      <c r="L246" s="412"/>
    </row>
    <row r="247" spans="1:12" s="415" customFormat="1">
      <c r="A247" s="412" t="s">
        <v>2944</v>
      </c>
      <c r="B247" s="412" t="str">
        <f t="shared" ca="1" si="102"/>
        <v>202503</v>
      </c>
      <c r="C247" s="412" t="str">
        <f t="shared" ca="1" si="103"/>
        <v>v1</v>
      </c>
      <c r="D247" s="413" t="str">
        <f ca="1">+D246</f>
        <v>03.01.00.02.</v>
      </c>
      <c r="E247" s="412">
        <f t="shared" si="104"/>
        <v>0</v>
      </c>
      <c r="F247" s="414">
        <f ca="1">OFFSET('Tabla III.1.'!$H$13,H247-1,I247-1)</f>
        <v>0</v>
      </c>
      <c r="G247" s="412" t="str">
        <f ca="1">OFFSET('Tabla III.1.'!$H$1,0,I247-1)</f>
        <v>03</v>
      </c>
      <c r="H247" s="111">
        <f>+H246</f>
        <v>3</v>
      </c>
      <c r="I247" s="111">
        <f>+I246+1</f>
        <v>3</v>
      </c>
      <c r="J247" s="111" t="str">
        <f ca="1">+'Tabla III.1.'!$C$9</f>
        <v>Tabla III.1.</v>
      </c>
      <c r="K247" s="111" t="str">
        <f>+K246</f>
        <v>A</v>
      </c>
      <c r="L247" s="412"/>
    </row>
    <row r="248" spans="1:12" s="415" customFormat="1">
      <c r="A248" s="412" t="s">
        <v>2944</v>
      </c>
      <c r="B248" s="412" t="str">
        <f t="shared" ca="1" si="102"/>
        <v>202503</v>
      </c>
      <c r="C248" s="412" t="str">
        <f t="shared" ca="1" si="103"/>
        <v>v1</v>
      </c>
      <c r="D248" s="413" t="str">
        <f ca="1">+D247</f>
        <v>03.01.00.02.</v>
      </c>
      <c r="E248" s="412">
        <f t="shared" si="104"/>
        <v>0</v>
      </c>
      <c r="F248" s="414">
        <f ca="1">OFFSET('Tabla III.1.'!$H$13,H248-1,I248-1)</f>
        <v>0</v>
      </c>
      <c r="G248" s="412" t="str">
        <f ca="1">OFFSET('Tabla III.1.'!$H$1,0,I248-1)</f>
        <v>04</v>
      </c>
      <c r="H248" s="111">
        <f>+H247</f>
        <v>3</v>
      </c>
      <c r="I248" s="111">
        <f>+I247+1</f>
        <v>4</v>
      </c>
      <c r="J248" s="111" t="str">
        <f ca="1">+'Tabla III.1.'!$C$9</f>
        <v>Tabla III.1.</v>
      </c>
      <c r="K248" s="111" t="str">
        <f>+K247</f>
        <v>A</v>
      </c>
      <c r="L248" s="412"/>
    </row>
    <row r="249" spans="1:12" s="415" customFormat="1">
      <c r="A249" s="412" t="s">
        <v>2944</v>
      </c>
      <c r="B249" s="412" t="str">
        <f t="shared" ca="1" si="102"/>
        <v>202503</v>
      </c>
      <c r="C249" s="412" t="str">
        <f t="shared" ca="1" si="103"/>
        <v>v1</v>
      </c>
      <c r="D249" s="413" t="str">
        <f ca="1">+D248</f>
        <v>03.01.00.02.</v>
      </c>
      <c r="E249" s="412">
        <f t="shared" si="104"/>
        <v>0</v>
      </c>
      <c r="F249" s="414">
        <f ca="1">OFFSET('Tabla III.1.'!$H$13,H249-1,I249-1)</f>
        <v>0</v>
      </c>
      <c r="G249" s="412" t="str">
        <f ca="1">OFFSET('Tabla III.1.'!$H$1,0,I249-1)</f>
        <v>05</v>
      </c>
      <c r="H249" s="111">
        <f>+H248</f>
        <v>3</v>
      </c>
      <c r="I249" s="111">
        <f>+I248+1</f>
        <v>5</v>
      </c>
      <c r="J249" s="111" t="str">
        <f ca="1">+'Tabla III.1.'!$C$9</f>
        <v>Tabla III.1.</v>
      </c>
      <c r="K249" s="111" t="str">
        <f>+K248</f>
        <v>A</v>
      </c>
      <c r="L249" s="412"/>
    </row>
    <row r="250" spans="1:12" s="415" customFormat="1">
      <c r="A250" s="412" t="s">
        <v>2944</v>
      </c>
      <c r="B250" s="412" t="str">
        <f t="shared" ca="1" si="102"/>
        <v>202503</v>
      </c>
      <c r="C250" s="412" t="str">
        <f t="shared" ca="1" si="103"/>
        <v>v1</v>
      </c>
      <c r="D250" s="413" t="str">
        <f ca="1">+D249</f>
        <v>03.01.00.02.</v>
      </c>
      <c r="E250" s="412">
        <f t="shared" si="104"/>
        <v>0</v>
      </c>
      <c r="F250" s="414">
        <f ca="1">OFFSET('Tabla III.1.'!$H$13,H250-1,I250-1)</f>
        <v>0</v>
      </c>
      <c r="G250" s="412" t="str">
        <f ca="1">OFFSET('Tabla III.1.'!$H$1,0,I250-1)</f>
        <v>06</v>
      </c>
      <c r="H250" s="111">
        <f>+H249</f>
        <v>3</v>
      </c>
      <c r="I250" s="111">
        <f>+I249+1</f>
        <v>6</v>
      </c>
      <c r="J250" s="111" t="str">
        <f ca="1">+'Tabla III.1.'!$C$9</f>
        <v>Tabla III.1.</v>
      </c>
      <c r="K250" s="111" t="str">
        <f>+K249</f>
        <v>A</v>
      </c>
      <c r="L250" s="412"/>
    </row>
    <row r="251" spans="1:12" s="112" customFormat="1">
      <c r="A251" s="107" t="s">
        <v>2944</v>
      </c>
      <c r="B251" s="107" t="str">
        <f t="shared" ca="1" si="102"/>
        <v>202502</v>
      </c>
      <c r="C251" s="107" t="str">
        <f t="shared" ca="1" si="103"/>
        <v>v2</v>
      </c>
      <c r="D251" s="399" t="str">
        <f ca="1">OFFSET('Tabla III.1.'!$F$13,H251-1,0)</f>
        <v>03.02.</v>
      </c>
      <c r="E251" s="107">
        <f t="shared" si="104"/>
        <v>0</v>
      </c>
      <c r="F251" s="108">
        <f ca="1">OFFSET('Tabla III.1.'!$H$13,H251-1,I251-1)</f>
        <v>0</v>
      </c>
      <c r="G251" s="107" t="str">
        <f ca="1">OFFSET('Tabla III.1.'!$H$1,0,I251-1)</f>
        <v>01</v>
      </c>
      <c r="H251" s="110">
        <f>+H245+1</f>
        <v>4</v>
      </c>
      <c r="I251" s="110">
        <v>1</v>
      </c>
      <c r="J251" s="110" t="str">
        <f ca="1">+'Tabla III.1.'!$C$9</f>
        <v>Tabla III.1.</v>
      </c>
      <c r="K251" s="110" t="s">
        <v>2266</v>
      </c>
      <c r="L251" s="107">
        <f>+L245+1</f>
        <v>4</v>
      </c>
    </row>
    <row r="252" spans="1:12" s="112" customFormat="1">
      <c r="A252" s="107" t="s">
        <v>2944</v>
      </c>
      <c r="B252" s="107" t="str">
        <f t="shared" ca="1" si="102"/>
        <v>202503</v>
      </c>
      <c r="C252" s="107" t="str">
        <f t="shared" ca="1" si="103"/>
        <v>v1</v>
      </c>
      <c r="D252" s="399" t="str">
        <f ca="1">+D251</f>
        <v>03.02.</v>
      </c>
      <c r="E252" s="107">
        <f t="shared" si="104"/>
        <v>0</v>
      </c>
      <c r="F252" s="108">
        <f ca="1">OFFSET('Tabla III.1.'!$H$13,H252-1,I252-1)</f>
        <v>0</v>
      </c>
      <c r="G252" s="107" t="str">
        <f ca="1">OFFSET('Tabla III.1.'!$H$1,0,I252-1)</f>
        <v>02</v>
      </c>
      <c r="H252" s="110">
        <f>+H251</f>
        <v>4</v>
      </c>
      <c r="I252" s="110">
        <f>+I251+1</f>
        <v>2</v>
      </c>
      <c r="J252" s="110" t="str">
        <f ca="1">+'Tabla III.1.'!$C$9</f>
        <v>Tabla III.1.</v>
      </c>
      <c r="K252" s="110" t="str">
        <f>+K251</f>
        <v>A</v>
      </c>
      <c r="L252" s="107"/>
    </row>
    <row r="253" spans="1:12" s="112" customFormat="1">
      <c r="A253" s="107" t="s">
        <v>2944</v>
      </c>
      <c r="B253" s="107" t="str">
        <f t="shared" ca="1" si="102"/>
        <v>202503</v>
      </c>
      <c r="C253" s="107" t="str">
        <f t="shared" ca="1" si="103"/>
        <v>v1</v>
      </c>
      <c r="D253" s="399" t="str">
        <f ca="1">+D252</f>
        <v>03.02.</v>
      </c>
      <c r="E253" s="107">
        <f t="shared" si="104"/>
        <v>0</v>
      </c>
      <c r="F253" s="108">
        <f ca="1">OFFSET('Tabla III.1.'!$H$13,H253-1,I253-1)</f>
        <v>0</v>
      </c>
      <c r="G253" s="107" t="str">
        <f ca="1">OFFSET('Tabla III.1.'!$H$1,0,I253-1)</f>
        <v>03</v>
      </c>
      <c r="H253" s="110">
        <f>+H252</f>
        <v>4</v>
      </c>
      <c r="I253" s="110">
        <f>+I252+1</f>
        <v>3</v>
      </c>
      <c r="J253" s="110" t="str">
        <f ca="1">+'Tabla III.1.'!$C$9</f>
        <v>Tabla III.1.</v>
      </c>
      <c r="K253" s="110" t="str">
        <f>+K252</f>
        <v>A</v>
      </c>
      <c r="L253" s="107"/>
    </row>
    <row r="254" spans="1:12" s="112" customFormat="1">
      <c r="A254" s="107" t="s">
        <v>2944</v>
      </c>
      <c r="B254" s="107" t="str">
        <f t="shared" ca="1" si="102"/>
        <v>202503</v>
      </c>
      <c r="C254" s="107" t="str">
        <f t="shared" ca="1" si="103"/>
        <v>v1</v>
      </c>
      <c r="D254" s="399" t="str">
        <f ca="1">+D253</f>
        <v>03.02.</v>
      </c>
      <c r="E254" s="107">
        <f t="shared" si="104"/>
        <v>0</v>
      </c>
      <c r="F254" s="108">
        <f ca="1">OFFSET('Tabla III.1.'!$H$13,H254-1,I254-1)</f>
        <v>0</v>
      </c>
      <c r="G254" s="107" t="str">
        <f ca="1">OFFSET('Tabla III.1.'!$H$1,0,I254-1)</f>
        <v>04</v>
      </c>
      <c r="H254" s="110">
        <f>+H253</f>
        <v>4</v>
      </c>
      <c r="I254" s="110">
        <f>+I253+1</f>
        <v>4</v>
      </c>
      <c r="J254" s="110" t="str">
        <f ca="1">+'Tabla III.1.'!$C$9</f>
        <v>Tabla III.1.</v>
      </c>
      <c r="K254" s="110" t="str">
        <f>+K253</f>
        <v>A</v>
      </c>
      <c r="L254" s="107"/>
    </row>
    <row r="255" spans="1:12" s="112" customFormat="1">
      <c r="A255" s="107" t="s">
        <v>2944</v>
      </c>
      <c r="B255" s="107" t="str">
        <f t="shared" ca="1" si="102"/>
        <v>202503</v>
      </c>
      <c r="C255" s="107" t="str">
        <f t="shared" ca="1" si="103"/>
        <v>v1</v>
      </c>
      <c r="D255" s="399" t="str">
        <f ca="1">+D254</f>
        <v>03.02.</v>
      </c>
      <c r="E255" s="107">
        <f t="shared" si="104"/>
        <v>0</v>
      </c>
      <c r="F255" s="108">
        <f ca="1">OFFSET('Tabla III.1.'!$H$13,H255-1,I255-1)</f>
        <v>0</v>
      </c>
      <c r="G255" s="107" t="str">
        <f ca="1">OFFSET('Tabla III.1.'!$H$1,0,I255-1)</f>
        <v>05</v>
      </c>
      <c r="H255" s="110">
        <f>+H254</f>
        <v>4</v>
      </c>
      <c r="I255" s="110">
        <f>+I254+1</f>
        <v>5</v>
      </c>
      <c r="J255" s="110" t="str">
        <f ca="1">+'Tabla III.1.'!$C$9</f>
        <v>Tabla III.1.</v>
      </c>
      <c r="K255" s="110" t="str">
        <f>+K254</f>
        <v>A</v>
      </c>
      <c r="L255" s="107"/>
    </row>
    <row r="256" spans="1:12" s="112" customFormat="1">
      <c r="A256" s="107" t="s">
        <v>2944</v>
      </c>
      <c r="B256" s="107" t="str">
        <f t="shared" ca="1" si="102"/>
        <v>202503</v>
      </c>
      <c r="C256" s="107" t="str">
        <f t="shared" ca="1" si="103"/>
        <v>v1</v>
      </c>
      <c r="D256" s="399" t="str">
        <f ca="1">+D255</f>
        <v>03.02.</v>
      </c>
      <c r="E256" s="107">
        <f t="shared" si="104"/>
        <v>0</v>
      </c>
      <c r="F256" s="108">
        <f ca="1">OFFSET('Tabla III.1.'!$H$13,H256-1,I256-1)</f>
        <v>0</v>
      </c>
      <c r="G256" s="107" t="str">
        <f ca="1">OFFSET('Tabla III.1.'!$H$1,0,I256-1)</f>
        <v>06</v>
      </c>
      <c r="H256" s="110">
        <f>+H255</f>
        <v>4</v>
      </c>
      <c r="I256" s="110">
        <f>+I255+1</f>
        <v>6</v>
      </c>
      <c r="J256" s="110" t="str">
        <f ca="1">+'Tabla III.1.'!$C$9</f>
        <v>Tabla III.1.</v>
      </c>
      <c r="K256" s="110" t="str">
        <f>+K255</f>
        <v>A</v>
      </c>
      <c r="L256" s="107"/>
    </row>
    <row r="257" spans="1:12" s="415" customFormat="1">
      <c r="A257" s="412" t="s">
        <v>2944</v>
      </c>
      <c r="B257" s="412" t="str">
        <f t="shared" ca="1" si="102"/>
        <v>202502</v>
      </c>
      <c r="C257" s="412" t="str">
        <f t="shared" ca="1" si="103"/>
        <v>v2</v>
      </c>
      <c r="D257" s="413" t="str">
        <f ca="1">OFFSET('Tabla III.1.'!$F$13,H257-1,0)</f>
        <v>03.02.00.01.</v>
      </c>
      <c r="E257" s="412">
        <f t="shared" si="104"/>
        <v>0</v>
      </c>
      <c r="F257" s="414">
        <f ca="1">OFFSET('Tabla III.1.'!$H$13,H257-1,I257-1)</f>
        <v>0</v>
      </c>
      <c r="G257" s="412" t="str">
        <f ca="1">OFFSET('Tabla III.1.'!$H$1,0,I257-1)</f>
        <v>01</v>
      </c>
      <c r="H257" s="111">
        <f>+H251+1</f>
        <v>5</v>
      </c>
      <c r="I257" s="111">
        <v>1</v>
      </c>
      <c r="J257" s="111" t="str">
        <f ca="1">+'Tabla III.1.'!$C$9</f>
        <v>Tabla III.1.</v>
      </c>
      <c r="K257" s="111" t="s">
        <v>2266</v>
      </c>
      <c r="L257" s="412">
        <f>+L251+1</f>
        <v>5</v>
      </c>
    </row>
    <row r="258" spans="1:12" s="415" customFormat="1">
      <c r="A258" s="412" t="s">
        <v>2944</v>
      </c>
      <c r="B258" s="412" t="str">
        <f t="shared" ref="B258:B321" ca="1" si="122">IF(G258="01",(IF(TRIM&gt;1,CONCATENATE(ANUAL,"0",TRIM-1),CONCATENATE(ANUAL-1,"04"))),PERIODO)</f>
        <v>202503</v>
      </c>
      <c r="C258" s="412" t="str">
        <f t="shared" ref="C258:C321" ca="1" si="123">IF(G258="01","v2","v1")</f>
        <v>v1</v>
      </c>
      <c r="D258" s="413" t="str">
        <f ca="1">+D257</f>
        <v>03.02.00.01.</v>
      </c>
      <c r="E258" s="412">
        <f t="shared" ref="E258:E321" si="124">RUC</f>
        <v>0</v>
      </c>
      <c r="F258" s="414">
        <f ca="1">OFFSET('Tabla III.1.'!$H$13,H258-1,I258-1)</f>
        <v>0</v>
      </c>
      <c r="G258" s="412" t="str">
        <f ca="1">OFFSET('Tabla III.1.'!$H$1,0,I258-1)</f>
        <v>02</v>
      </c>
      <c r="H258" s="111">
        <f>+H257</f>
        <v>5</v>
      </c>
      <c r="I258" s="111">
        <f>+I257+1</f>
        <v>2</v>
      </c>
      <c r="J258" s="111" t="str">
        <f ca="1">+'Tabla III.1.'!$C$9</f>
        <v>Tabla III.1.</v>
      </c>
      <c r="K258" s="111" t="str">
        <f>+K257</f>
        <v>A</v>
      </c>
      <c r="L258" s="412"/>
    </row>
    <row r="259" spans="1:12" s="415" customFormat="1">
      <c r="A259" s="412" t="s">
        <v>2944</v>
      </c>
      <c r="B259" s="412" t="str">
        <f t="shared" ca="1" si="122"/>
        <v>202503</v>
      </c>
      <c r="C259" s="412" t="str">
        <f t="shared" ca="1" si="123"/>
        <v>v1</v>
      </c>
      <c r="D259" s="413" t="str">
        <f ca="1">+D258</f>
        <v>03.02.00.01.</v>
      </c>
      <c r="E259" s="412">
        <f t="shared" si="124"/>
        <v>0</v>
      </c>
      <c r="F259" s="414">
        <f ca="1">OFFSET('Tabla III.1.'!$H$13,H259-1,I259-1)</f>
        <v>0</v>
      </c>
      <c r="G259" s="412" t="str">
        <f ca="1">OFFSET('Tabla III.1.'!$H$1,0,I259-1)</f>
        <v>03</v>
      </c>
      <c r="H259" s="111">
        <f>+H258</f>
        <v>5</v>
      </c>
      <c r="I259" s="111">
        <f>+I258+1</f>
        <v>3</v>
      </c>
      <c r="J259" s="111" t="str">
        <f ca="1">+'Tabla III.1.'!$C$9</f>
        <v>Tabla III.1.</v>
      </c>
      <c r="K259" s="111" t="str">
        <f>+K258</f>
        <v>A</v>
      </c>
      <c r="L259" s="412"/>
    </row>
    <row r="260" spans="1:12" s="415" customFormat="1">
      <c r="A260" s="412" t="s">
        <v>2944</v>
      </c>
      <c r="B260" s="412" t="str">
        <f t="shared" ca="1" si="122"/>
        <v>202503</v>
      </c>
      <c r="C260" s="412" t="str">
        <f t="shared" ca="1" si="123"/>
        <v>v1</v>
      </c>
      <c r="D260" s="413" t="str">
        <f ca="1">+D259</f>
        <v>03.02.00.01.</v>
      </c>
      <c r="E260" s="412">
        <f t="shared" si="124"/>
        <v>0</v>
      </c>
      <c r="F260" s="414">
        <f ca="1">OFFSET('Tabla III.1.'!$H$13,H260-1,I260-1)</f>
        <v>0</v>
      </c>
      <c r="G260" s="412" t="str">
        <f ca="1">OFFSET('Tabla III.1.'!$H$1,0,I260-1)</f>
        <v>04</v>
      </c>
      <c r="H260" s="111">
        <f>+H259</f>
        <v>5</v>
      </c>
      <c r="I260" s="111">
        <f>+I259+1</f>
        <v>4</v>
      </c>
      <c r="J260" s="111" t="str">
        <f ca="1">+'Tabla III.1.'!$C$9</f>
        <v>Tabla III.1.</v>
      </c>
      <c r="K260" s="111" t="str">
        <f>+K259</f>
        <v>A</v>
      </c>
      <c r="L260" s="412"/>
    </row>
    <row r="261" spans="1:12" s="415" customFormat="1">
      <c r="A261" s="412" t="s">
        <v>2944</v>
      </c>
      <c r="B261" s="412" t="str">
        <f t="shared" ca="1" si="122"/>
        <v>202503</v>
      </c>
      <c r="C261" s="412" t="str">
        <f t="shared" ca="1" si="123"/>
        <v>v1</v>
      </c>
      <c r="D261" s="413" t="str">
        <f ca="1">+D260</f>
        <v>03.02.00.01.</v>
      </c>
      <c r="E261" s="412">
        <f t="shared" si="124"/>
        <v>0</v>
      </c>
      <c r="F261" s="414">
        <f ca="1">OFFSET('Tabla III.1.'!$H$13,H261-1,I261-1)</f>
        <v>0</v>
      </c>
      <c r="G261" s="412" t="str">
        <f ca="1">OFFSET('Tabla III.1.'!$H$1,0,I261-1)</f>
        <v>05</v>
      </c>
      <c r="H261" s="111">
        <f>+H260</f>
        <v>5</v>
      </c>
      <c r="I261" s="111">
        <f>+I260+1</f>
        <v>5</v>
      </c>
      <c r="J261" s="111" t="str">
        <f ca="1">+'Tabla III.1.'!$C$9</f>
        <v>Tabla III.1.</v>
      </c>
      <c r="K261" s="111" t="str">
        <f>+K260</f>
        <v>A</v>
      </c>
      <c r="L261" s="412"/>
    </row>
    <row r="262" spans="1:12" s="415" customFormat="1">
      <c r="A262" s="412" t="s">
        <v>2944</v>
      </c>
      <c r="B262" s="412" t="str">
        <f t="shared" ca="1" si="122"/>
        <v>202503</v>
      </c>
      <c r="C262" s="412" t="str">
        <f t="shared" ca="1" si="123"/>
        <v>v1</v>
      </c>
      <c r="D262" s="413" t="str">
        <f ca="1">+D261</f>
        <v>03.02.00.01.</v>
      </c>
      <c r="E262" s="412">
        <f t="shared" si="124"/>
        <v>0</v>
      </c>
      <c r="F262" s="414">
        <f ca="1">OFFSET('Tabla III.1.'!$H$13,H262-1,I262-1)</f>
        <v>0</v>
      </c>
      <c r="G262" s="412" t="str">
        <f ca="1">OFFSET('Tabla III.1.'!$H$1,0,I262-1)</f>
        <v>06</v>
      </c>
      <c r="H262" s="111">
        <f>+H261</f>
        <v>5</v>
      </c>
      <c r="I262" s="111">
        <f>+I261+1</f>
        <v>6</v>
      </c>
      <c r="J262" s="111" t="str">
        <f ca="1">+'Tabla III.1.'!$C$9</f>
        <v>Tabla III.1.</v>
      </c>
      <c r="K262" s="111" t="str">
        <f>+K261</f>
        <v>A</v>
      </c>
      <c r="L262" s="412"/>
    </row>
    <row r="263" spans="1:12" s="112" customFormat="1">
      <c r="A263" s="107" t="s">
        <v>2944</v>
      </c>
      <c r="B263" s="107" t="str">
        <f t="shared" ca="1" si="122"/>
        <v>202502</v>
      </c>
      <c r="C263" s="107" t="str">
        <f t="shared" ca="1" si="123"/>
        <v>v2</v>
      </c>
      <c r="D263" s="399" t="str">
        <f ca="1">OFFSET('Tabla III.1.'!$F$13,H263-1,0)</f>
        <v>03.02.00.02.</v>
      </c>
      <c r="E263" s="107">
        <f t="shared" si="124"/>
        <v>0</v>
      </c>
      <c r="F263" s="108">
        <f ca="1">OFFSET('Tabla III.1.'!$H$13,H263-1,I263-1)</f>
        <v>0</v>
      </c>
      <c r="G263" s="107" t="str">
        <f ca="1">OFFSET('Tabla III.1.'!$H$1,0,I263-1)</f>
        <v>01</v>
      </c>
      <c r="H263" s="110">
        <f>+H257+1</f>
        <v>6</v>
      </c>
      <c r="I263" s="110">
        <v>1</v>
      </c>
      <c r="J263" s="110" t="str">
        <f ca="1">+'Tabla III.1.'!$C$9</f>
        <v>Tabla III.1.</v>
      </c>
      <c r="K263" s="110" t="s">
        <v>2266</v>
      </c>
      <c r="L263" s="107">
        <f>+L257+1</f>
        <v>6</v>
      </c>
    </row>
    <row r="264" spans="1:12" s="112" customFormat="1">
      <c r="A264" s="107" t="s">
        <v>2944</v>
      </c>
      <c r="B264" s="107" t="str">
        <f t="shared" ca="1" si="122"/>
        <v>202503</v>
      </c>
      <c r="C264" s="107" t="str">
        <f t="shared" ca="1" si="123"/>
        <v>v1</v>
      </c>
      <c r="D264" s="399" t="str">
        <f ca="1">+D263</f>
        <v>03.02.00.02.</v>
      </c>
      <c r="E264" s="107">
        <f t="shared" si="124"/>
        <v>0</v>
      </c>
      <c r="F264" s="108">
        <f ca="1">OFFSET('Tabla III.1.'!$H$13,H264-1,I264-1)</f>
        <v>0</v>
      </c>
      <c r="G264" s="107" t="str">
        <f ca="1">OFFSET('Tabla III.1.'!$H$1,0,I264-1)</f>
        <v>02</v>
      </c>
      <c r="H264" s="110">
        <f>+H263</f>
        <v>6</v>
      </c>
      <c r="I264" s="110">
        <f>+I263+1</f>
        <v>2</v>
      </c>
      <c r="J264" s="110" t="str">
        <f ca="1">+'Tabla III.1.'!$C$9</f>
        <v>Tabla III.1.</v>
      </c>
      <c r="K264" s="110" t="str">
        <f>+K263</f>
        <v>A</v>
      </c>
      <c r="L264" s="107"/>
    </row>
    <row r="265" spans="1:12" s="112" customFormat="1">
      <c r="A265" s="107" t="s">
        <v>2944</v>
      </c>
      <c r="B265" s="107" t="str">
        <f t="shared" ca="1" si="122"/>
        <v>202503</v>
      </c>
      <c r="C265" s="107" t="str">
        <f t="shared" ca="1" si="123"/>
        <v>v1</v>
      </c>
      <c r="D265" s="399" t="str">
        <f ca="1">+D264</f>
        <v>03.02.00.02.</v>
      </c>
      <c r="E265" s="107">
        <f t="shared" si="124"/>
        <v>0</v>
      </c>
      <c r="F265" s="108">
        <f ca="1">OFFSET('Tabla III.1.'!$H$13,H265-1,I265-1)</f>
        <v>0</v>
      </c>
      <c r="G265" s="107" t="str">
        <f ca="1">OFFSET('Tabla III.1.'!$H$1,0,I265-1)</f>
        <v>03</v>
      </c>
      <c r="H265" s="110">
        <f>+H264</f>
        <v>6</v>
      </c>
      <c r="I265" s="110">
        <f>+I264+1</f>
        <v>3</v>
      </c>
      <c r="J265" s="110" t="str">
        <f ca="1">+'Tabla III.1.'!$C$9</f>
        <v>Tabla III.1.</v>
      </c>
      <c r="K265" s="110" t="str">
        <f>+K264</f>
        <v>A</v>
      </c>
      <c r="L265" s="107"/>
    </row>
    <row r="266" spans="1:12" s="112" customFormat="1">
      <c r="A266" s="107" t="s">
        <v>2944</v>
      </c>
      <c r="B266" s="107" t="str">
        <f t="shared" ca="1" si="122"/>
        <v>202503</v>
      </c>
      <c r="C266" s="107" t="str">
        <f t="shared" ca="1" si="123"/>
        <v>v1</v>
      </c>
      <c r="D266" s="399" t="str">
        <f ca="1">+D265</f>
        <v>03.02.00.02.</v>
      </c>
      <c r="E266" s="107">
        <f t="shared" si="124"/>
        <v>0</v>
      </c>
      <c r="F266" s="108">
        <f ca="1">OFFSET('Tabla III.1.'!$H$13,H266-1,I266-1)</f>
        <v>0</v>
      </c>
      <c r="G266" s="107" t="str">
        <f ca="1">OFFSET('Tabla III.1.'!$H$1,0,I266-1)</f>
        <v>04</v>
      </c>
      <c r="H266" s="110">
        <f>+H265</f>
        <v>6</v>
      </c>
      <c r="I266" s="110">
        <f>+I265+1</f>
        <v>4</v>
      </c>
      <c r="J266" s="110" t="str">
        <f ca="1">+'Tabla III.1.'!$C$9</f>
        <v>Tabla III.1.</v>
      </c>
      <c r="K266" s="110" t="str">
        <f>+K265</f>
        <v>A</v>
      </c>
      <c r="L266" s="107"/>
    </row>
    <row r="267" spans="1:12" s="112" customFormat="1">
      <c r="A267" s="107" t="s">
        <v>2944</v>
      </c>
      <c r="B267" s="107" t="str">
        <f t="shared" ca="1" si="122"/>
        <v>202503</v>
      </c>
      <c r="C267" s="107" t="str">
        <f t="shared" ca="1" si="123"/>
        <v>v1</v>
      </c>
      <c r="D267" s="399" t="str">
        <f ca="1">+D266</f>
        <v>03.02.00.02.</v>
      </c>
      <c r="E267" s="107">
        <f t="shared" si="124"/>
        <v>0</v>
      </c>
      <c r="F267" s="108">
        <f ca="1">OFFSET('Tabla III.1.'!$H$13,H267-1,I267-1)</f>
        <v>0</v>
      </c>
      <c r="G267" s="107" t="str">
        <f ca="1">OFFSET('Tabla III.1.'!$H$1,0,I267-1)</f>
        <v>05</v>
      </c>
      <c r="H267" s="110">
        <f>+H266</f>
        <v>6</v>
      </c>
      <c r="I267" s="110">
        <f>+I266+1</f>
        <v>5</v>
      </c>
      <c r="J267" s="110" t="str">
        <f ca="1">+'Tabla III.1.'!$C$9</f>
        <v>Tabla III.1.</v>
      </c>
      <c r="K267" s="110" t="str">
        <f>+K266</f>
        <v>A</v>
      </c>
      <c r="L267" s="107"/>
    </row>
    <row r="268" spans="1:12" s="112" customFormat="1">
      <c r="A268" s="107" t="s">
        <v>2944</v>
      </c>
      <c r="B268" s="107" t="str">
        <f t="shared" ca="1" si="122"/>
        <v>202503</v>
      </c>
      <c r="C268" s="107" t="str">
        <f t="shared" ca="1" si="123"/>
        <v>v1</v>
      </c>
      <c r="D268" s="399" t="str">
        <f ca="1">+D267</f>
        <v>03.02.00.02.</v>
      </c>
      <c r="E268" s="107">
        <f t="shared" si="124"/>
        <v>0</v>
      </c>
      <c r="F268" s="108">
        <f ca="1">OFFSET('Tabla III.1.'!$H$13,H268-1,I268-1)</f>
        <v>0</v>
      </c>
      <c r="G268" s="107" t="str">
        <f ca="1">OFFSET('Tabla III.1.'!$H$1,0,I268-1)</f>
        <v>06</v>
      </c>
      <c r="H268" s="110">
        <f>+H267</f>
        <v>6</v>
      </c>
      <c r="I268" s="110">
        <f>+I267+1</f>
        <v>6</v>
      </c>
      <c r="J268" s="110" t="str">
        <f ca="1">+'Tabla III.1.'!$C$9</f>
        <v>Tabla III.1.</v>
      </c>
      <c r="K268" s="110" t="str">
        <f>+K267</f>
        <v>A</v>
      </c>
      <c r="L268" s="107"/>
    </row>
    <row r="269" spans="1:12" s="415" customFormat="1">
      <c r="A269" s="412" t="s">
        <v>2944</v>
      </c>
      <c r="B269" s="412" t="str">
        <f t="shared" ca="1" si="122"/>
        <v>202502</v>
      </c>
      <c r="C269" s="412" t="str">
        <f t="shared" ca="1" si="123"/>
        <v>v2</v>
      </c>
      <c r="D269" s="413" t="str">
        <f ca="1">OFFSET('Tabla III.1.'!$F$13,H269-1,0)</f>
        <v>03.03.</v>
      </c>
      <c r="E269" s="412">
        <f t="shared" si="124"/>
        <v>0</v>
      </c>
      <c r="F269" s="414">
        <f ca="1">OFFSET('Tabla III.1.'!$H$13,H269-1,I269-1)</f>
        <v>0</v>
      </c>
      <c r="G269" s="412" t="str">
        <f ca="1">OFFSET('Tabla III.1.'!$H$1,0,I269-1)</f>
        <v>01</v>
      </c>
      <c r="H269" s="111">
        <f>+H263+1</f>
        <v>7</v>
      </c>
      <c r="I269" s="111">
        <v>1</v>
      </c>
      <c r="J269" s="111" t="str">
        <f ca="1">+'Tabla III.1.'!$C$9</f>
        <v>Tabla III.1.</v>
      </c>
      <c r="K269" s="111" t="s">
        <v>2266</v>
      </c>
      <c r="L269" s="412">
        <f>+L263+1</f>
        <v>7</v>
      </c>
    </row>
    <row r="270" spans="1:12" s="415" customFormat="1">
      <c r="A270" s="412" t="s">
        <v>2944</v>
      </c>
      <c r="B270" s="412" t="str">
        <f t="shared" ca="1" si="122"/>
        <v>202503</v>
      </c>
      <c r="C270" s="412" t="str">
        <f t="shared" ca="1" si="123"/>
        <v>v1</v>
      </c>
      <c r="D270" s="413" t="str">
        <f ca="1">+D269</f>
        <v>03.03.</v>
      </c>
      <c r="E270" s="412">
        <f t="shared" si="124"/>
        <v>0</v>
      </c>
      <c r="F270" s="414">
        <f ca="1">OFFSET('Tabla III.1.'!$H$13,H270-1,I270-1)</f>
        <v>0</v>
      </c>
      <c r="G270" s="412" t="str">
        <f ca="1">OFFSET('Tabla III.1.'!$H$1,0,I270-1)</f>
        <v>02</v>
      </c>
      <c r="H270" s="111">
        <f>+H269</f>
        <v>7</v>
      </c>
      <c r="I270" s="111">
        <f>+I269+1</f>
        <v>2</v>
      </c>
      <c r="J270" s="111" t="str">
        <f ca="1">+'Tabla III.1.'!$C$9</f>
        <v>Tabla III.1.</v>
      </c>
      <c r="K270" s="111" t="str">
        <f>+K269</f>
        <v>A</v>
      </c>
      <c r="L270" s="412"/>
    </row>
    <row r="271" spans="1:12" s="415" customFormat="1">
      <c r="A271" s="412" t="s">
        <v>2944</v>
      </c>
      <c r="B271" s="412" t="str">
        <f t="shared" ca="1" si="122"/>
        <v>202503</v>
      </c>
      <c r="C271" s="412" t="str">
        <f t="shared" ca="1" si="123"/>
        <v>v1</v>
      </c>
      <c r="D271" s="413" t="str">
        <f ca="1">+D270</f>
        <v>03.03.</v>
      </c>
      <c r="E271" s="412">
        <f t="shared" si="124"/>
        <v>0</v>
      </c>
      <c r="F271" s="414">
        <f ca="1">OFFSET('Tabla III.1.'!$H$13,H271-1,I271-1)</f>
        <v>0</v>
      </c>
      <c r="G271" s="412" t="str">
        <f ca="1">OFFSET('Tabla III.1.'!$H$1,0,I271-1)</f>
        <v>03</v>
      </c>
      <c r="H271" s="111">
        <f>+H270</f>
        <v>7</v>
      </c>
      <c r="I271" s="111">
        <f>+I270+1</f>
        <v>3</v>
      </c>
      <c r="J271" s="111" t="str">
        <f ca="1">+'Tabla III.1.'!$C$9</f>
        <v>Tabla III.1.</v>
      </c>
      <c r="K271" s="111" t="str">
        <f>+K270</f>
        <v>A</v>
      </c>
      <c r="L271" s="412"/>
    </row>
    <row r="272" spans="1:12" s="415" customFormat="1">
      <c r="A272" s="412" t="s">
        <v>2944</v>
      </c>
      <c r="B272" s="412" t="str">
        <f t="shared" ca="1" si="122"/>
        <v>202503</v>
      </c>
      <c r="C272" s="412" t="str">
        <f t="shared" ca="1" si="123"/>
        <v>v1</v>
      </c>
      <c r="D272" s="413" t="str">
        <f ca="1">+D271</f>
        <v>03.03.</v>
      </c>
      <c r="E272" s="412">
        <f t="shared" si="124"/>
        <v>0</v>
      </c>
      <c r="F272" s="414">
        <f ca="1">OFFSET('Tabla III.1.'!$H$13,H272-1,I272-1)</f>
        <v>0</v>
      </c>
      <c r="G272" s="412" t="str">
        <f ca="1">OFFSET('Tabla III.1.'!$H$1,0,I272-1)</f>
        <v>04</v>
      </c>
      <c r="H272" s="111">
        <f>+H271</f>
        <v>7</v>
      </c>
      <c r="I272" s="111">
        <f>+I271+1</f>
        <v>4</v>
      </c>
      <c r="J272" s="111" t="str">
        <f ca="1">+'Tabla III.1.'!$C$9</f>
        <v>Tabla III.1.</v>
      </c>
      <c r="K272" s="111" t="str">
        <f>+K271</f>
        <v>A</v>
      </c>
      <c r="L272" s="412"/>
    </row>
    <row r="273" spans="1:12" s="415" customFormat="1">
      <c r="A273" s="412" t="s">
        <v>2944</v>
      </c>
      <c r="B273" s="412" t="str">
        <f t="shared" ca="1" si="122"/>
        <v>202503</v>
      </c>
      <c r="C273" s="412" t="str">
        <f t="shared" ca="1" si="123"/>
        <v>v1</v>
      </c>
      <c r="D273" s="413" t="str">
        <f ca="1">+D272</f>
        <v>03.03.</v>
      </c>
      <c r="E273" s="412">
        <f t="shared" si="124"/>
        <v>0</v>
      </c>
      <c r="F273" s="414">
        <f ca="1">OFFSET('Tabla III.1.'!$H$13,H273-1,I273-1)</f>
        <v>0</v>
      </c>
      <c r="G273" s="412" t="str">
        <f ca="1">OFFSET('Tabla III.1.'!$H$1,0,I273-1)</f>
        <v>05</v>
      </c>
      <c r="H273" s="111">
        <f>+H272</f>
        <v>7</v>
      </c>
      <c r="I273" s="111">
        <f>+I272+1</f>
        <v>5</v>
      </c>
      <c r="J273" s="111" t="str">
        <f ca="1">+'Tabla III.1.'!$C$9</f>
        <v>Tabla III.1.</v>
      </c>
      <c r="K273" s="111" t="str">
        <f>+K272</f>
        <v>A</v>
      </c>
      <c r="L273" s="412"/>
    </row>
    <row r="274" spans="1:12" s="415" customFormat="1">
      <c r="A274" s="412" t="s">
        <v>2944</v>
      </c>
      <c r="B274" s="412" t="str">
        <f t="shared" ca="1" si="122"/>
        <v>202503</v>
      </c>
      <c r="C274" s="412" t="str">
        <f t="shared" ca="1" si="123"/>
        <v>v1</v>
      </c>
      <c r="D274" s="413" t="str">
        <f ca="1">+D273</f>
        <v>03.03.</v>
      </c>
      <c r="E274" s="412">
        <f t="shared" si="124"/>
        <v>0</v>
      </c>
      <c r="F274" s="414">
        <f ca="1">OFFSET('Tabla III.1.'!$H$13,H274-1,I274-1)</f>
        <v>0</v>
      </c>
      <c r="G274" s="412" t="str">
        <f ca="1">OFFSET('Tabla III.1.'!$H$1,0,I274-1)</f>
        <v>06</v>
      </c>
      <c r="H274" s="111">
        <f>+H273</f>
        <v>7</v>
      </c>
      <c r="I274" s="111">
        <f>+I273+1</f>
        <v>6</v>
      </c>
      <c r="J274" s="111" t="str">
        <f ca="1">+'Tabla III.1.'!$C$9</f>
        <v>Tabla III.1.</v>
      </c>
      <c r="K274" s="111" t="str">
        <f>+K273</f>
        <v>A</v>
      </c>
      <c r="L274" s="412"/>
    </row>
    <row r="275" spans="1:12" s="112" customFormat="1">
      <c r="A275" s="107" t="s">
        <v>2944</v>
      </c>
      <c r="B275" s="107" t="str">
        <f t="shared" ca="1" si="122"/>
        <v>202502</v>
      </c>
      <c r="C275" s="107" t="str">
        <f t="shared" ca="1" si="123"/>
        <v>v2</v>
      </c>
      <c r="D275" s="399" t="str">
        <f ca="1">OFFSET('Tabla III.1.'!$F$13,H275-1,0)</f>
        <v>03.03.00.01.</v>
      </c>
      <c r="E275" s="107">
        <f t="shared" si="124"/>
        <v>0</v>
      </c>
      <c r="F275" s="108">
        <f ca="1">OFFSET('Tabla III.1.'!$H$13,H275-1,I275-1)</f>
        <v>0</v>
      </c>
      <c r="G275" s="107" t="str">
        <f ca="1">OFFSET('Tabla III.1.'!$H$1,0,I275-1)</f>
        <v>01</v>
      </c>
      <c r="H275" s="110">
        <f>+H269+1</f>
        <v>8</v>
      </c>
      <c r="I275" s="110">
        <v>1</v>
      </c>
      <c r="J275" s="110" t="str">
        <f ca="1">+'Tabla III.1.'!$C$9</f>
        <v>Tabla III.1.</v>
      </c>
      <c r="K275" s="110" t="s">
        <v>2266</v>
      </c>
      <c r="L275" s="107">
        <f>+L269+1</f>
        <v>8</v>
      </c>
    </row>
    <row r="276" spans="1:12" s="112" customFormat="1">
      <c r="A276" s="107" t="s">
        <v>2944</v>
      </c>
      <c r="B276" s="107" t="str">
        <f t="shared" ca="1" si="122"/>
        <v>202503</v>
      </c>
      <c r="C276" s="107" t="str">
        <f t="shared" ca="1" si="123"/>
        <v>v1</v>
      </c>
      <c r="D276" s="399" t="str">
        <f ca="1">+D275</f>
        <v>03.03.00.01.</v>
      </c>
      <c r="E276" s="107">
        <f t="shared" si="124"/>
        <v>0</v>
      </c>
      <c r="F276" s="108">
        <f ca="1">OFFSET('Tabla III.1.'!$H$13,H276-1,I276-1)</f>
        <v>0</v>
      </c>
      <c r="G276" s="107" t="str">
        <f ca="1">OFFSET('Tabla III.1.'!$H$1,0,I276-1)</f>
        <v>02</v>
      </c>
      <c r="H276" s="110">
        <f>+H275</f>
        <v>8</v>
      </c>
      <c r="I276" s="110">
        <f>+I275+1</f>
        <v>2</v>
      </c>
      <c r="J276" s="110" t="str">
        <f ca="1">+'Tabla III.1.'!$C$9</f>
        <v>Tabla III.1.</v>
      </c>
      <c r="K276" s="110" t="str">
        <f>+K275</f>
        <v>A</v>
      </c>
      <c r="L276" s="107"/>
    </row>
    <row r="277" spans="1:12" s="112" customFormat="1">
      <c r="A277" s="107" t="s">
        <v>2944</v>
      </c>
      <c r="B277" s="107" t="str">
        <f t="shared" ca="1" si="122"/>
        <v>202503</v>
      </c>
      <c r="C277" s="107" t="str">
        <f t="shared" ca="1" si="123"/>
        <v>v1</v>
      </c>
      <c r="D277" s="399" t="str">
        <f ca="1">+D276</f>
        <v>03.03.00.01.</v>
      </c>
      <c r="E277" s="107">
        <f t="shared" si="124"/>
        <v>0</v>
      </c>
      <c r="F277" s="108">
        <f ca="1">OFFSET('Tabla III.1.'!$H$13,H277-1,I277-1)</f>
        <v>0</v>
      </c>
      <c r="G277" s="107" t="str">
        <f ca="1">OFFSET('Tabla III.1.'!$H$1,0,I277-1)</f>
        <v>03</v>
      </c>
      <c r="H277" s="110">
        <f>+H276</f>
        <v>8</v>
      </c>
      <c r="I277" s="110">
        <f>+I276+1</f>
        <v>3</v>
      </c>
      <c r="J277" s="110" t="str">
        <f ca="1">+'Tabla III.1.'!$C$9</f>
        <v>Tabla III.1.</v>
      </c>
      <c r="K277" s="110" t="str">
        <f>+K276</f>
        <v>A</v>
      </c>
      <c r="L277" s="107"/>
    </row>
    <row r="278" spans="1:12" s="112" customFormat="1">
      <c r="A278" s="107" t="s">
        <v>2944</v>
      </c>
      <c r="B278" s="107" t="str">
        <f t="shared" ca="1" si="122"/>
        <v>202503</v>
      </c>
      <c r="C278" s="107" t="str">
        <f t="shared" ca="1" si="123"/>
        <v>v1</v>
      </c>
      <c r="D278" s="399" t="str">
        <f ca="1">+D277</f>
        <v>03.03.00.01.</v>
      </c>
      <c r="E278" s="107">
        <f t="shared" si="124"/>
        <v>0</v>
      </c>
      <c r="F278" s="108">
        <f ca="1">OFFSET('Tabla III.1.'!$H$13,H278-1,I278-1)</f>
        <v>0</v>
      </c>
      <c r="G278" s="107" t="str">
        <f ca="1">OFFSET('Tabla III.1.'!$H$1,0,I278-1)</f>
        <v>04</v>
      </c>
      <c r="H278" s="110">
        <f>+H277</f>
        <v>8</v>
      </c>
      <c r="I278" s="110">
        <f>+I277+1</f>
        <v>4</v>
      </c>
      <c r="J278" s="110" t="str">
        <f ca="1">+'Tabla III.1.'!$C$9</f>
        <v>Tabla III.1.</v>
      </c>
      <c r="K278" s="110" t="str">
        <f>+K277</f>
        <v>A</v>
      </c>
      <c r="L278" s="107"/>
    </row>
    <row r="279" spans="1:12" s="112" customFormat="1">
      <c r="A279" s="107" t="s">
        <v>2944</v>
      </c>
      <c r="B279" s="107" t="str">
        <f t="shared" ca="1" si="122"/>
        <v>202503</v>
      </c>
      <c r="C279" s="107" t="str">
        <f t="shared" ca="1" si="123"/>
        <v>v1</v>
      </c>
      <c r="D279" s="399" t="str">
        <f ca="1">+D278</f>
        <v>03.03.00.01.</v>
      </c>
      <c r="E279" s="107">
        <f t="shared" si="124"/>
        <v>0</v>
      </c>
      <c r="F279" s="108">
        <f ca="1">OFFSET('Tabla III.1.'!$H$13,H279-1,I279-1)</f>
        <v>0</v>
      </c>
      <c r="G279" s="107" t="str">
        <f ca="1">OFFSET('Tabla III.1.'!$H$1,0,I279-1)</f>
        <v>05</v>
      </c>
      <c r="H279" s="110">
        <f>+H278</f>
        <v>8</v>
      </c>
      <c r="I279" s="110">
        <f>+I278+1</f>
        <v>5</v>
      </c>
      <c r="J279" s="110" t="str">
        <f ca="1">+'Tabla III.1.'!$C$9</f>
        <v>Tabla III.1.</v>
      </c>
      <c r="K279" s="110" t="str">
        <f>+K278</f>
        <v>A</v>
      </c>
      <c r="L279" s="107"/>
    </row>
    <row r="280" spans="1:12" s="112" customFormat="1">
      <c r="A280" s="107" t="s">
        <v>2944</v>
      </c>
      <c r="B280" s="107" t="str">
        <f t="shared" ca="1" si="122"/>
        <v>202503</v>
      </c>
      <c r="C280" s="107" t="str">
        <f t="shared" ca="1" si="123"/>
        <v>v1</v>
      </c>
      <c r="D280" s="399" t="str">
        <f ca="1">+D279</f>
        <v>03.03.00.01.</v>
      </c>
      <c r="E280" s="107">
        <f t="shared" si="124"/>
        <v>0</v>
      </c>
      <c r="F280" s="108">
        <f ca="1">OFFSET('Tabla III.1.'!$H$13,H280-1,I280-1)</f>
        <v>0</v>
      </c>
      <c r="G280" s="107" t="str">
        <f ca="1">OFFSET('Tabla III.1.'!$H$1,0,I280-1)</f>
        <v>06</v>
      </c>
      <c r="H280" s="110">
        <f>+H279</f>
        <v>8</v>
      </c>
      <c r="I280" s="110">
        <f>+I279+1</f>
        <v>6</v>
      </c>
      <c r="J280" s="110" t="str">
        <f ca="1">+'Tabla III.1.'!$C$9</f>
        <v>Tabla III.1.</v>
      </c>
      <c r="K280" s="110" t="str">
        <f>+K279</f>
        <v>A</v>
      </c>
      <c r="L280" s="107"/>
    </row>
    <row r="281" spans="1:12" s="415" customFormat="1">
      <c r="A281" s="412" t="s">
        <v>2944</v>
      </c>
      <c r="B281" s="412" t="str">
        <f t="shared" ca="1" si="122"/>
        <v>202502</v>
      </c>
      <c r="C281" s="412" t="str">
        <f t="shared" ca="1" si="123"/>
        <v>v2</v>
      </c>
      <c r="D281" s="413" t="str">
        <f ca="1">OFFSET('Tabla III.1.'!$F$13,H281-1,0)</f>
        <v>03.03.00.02.</v>
      </c>
      <c r="E281" s="412">
        <f t="shared" si="124"/>
        <v>0</v>
      </c>
      <c r="F281" s="414">
        <f ca="1">OFFSET('Tabla III.1.'!$H$13,H281-1,I281-1)</f>
        <v>0</v>
      </c>
      <c r="G281" s="412" t="str">
        <f ca="1">OFFSET('Tabla III.1.'!$H$1,0,I281-1)</f>
        <v>01</v>
      </c>
      <c r="H281" s="111">
        <f>+H275+1</f>
        <v>9</v>
      </c>
      <c r="I281" s="111">
        <v>1</v>
      </c>
      <c r="J281" s="111" t="str">
        <f ca="1">+'Tabla III.1.'!$C$9</f>
        <v>Tabla III.1.</v>
      </c>
      <c r="K281" s="111" t="s">
        <v>2266</v>
      </c>
      <c r="L281" s="412">
        <f>+L275+1</f>
        <v>9</v>
      </c>
    </row>
    <row r="282" spans="1:12" s="415" customFormat="1">
      <c r="A282" s="412" t="s">
        <v>2944</v>
      </c>
      <c r="B282" s="412" t="str">
        <f t="shared" ca="1" si="122"/>
        <v>202503</v>
      </c>
      <c r="C282" s="412" t="str">
        <f t="shared" ca="1" si="123"/>
        <v>v1</v>
      </c>
      <c r="D282" s="413" t="str">
        <f ca="1">+D281</f>
        <v>03.03.00.02.</v>
      </c>
      <c r="E282" s="412">
        <f t="shared" si="124"/>
        <v>0</v>
      </c>
      <c r="F282" s="414">
        <f ca="1">OFFSET('Tabla III.1.'!$H$13,H282-1,I282-1)</f>
        <v>0</v>
      </c>
      <c r="G282" s="412" t="str">
        <f ca="1">OFFSET('Tabla III.1.'!$H$1,0,I282-1)</f>
        <v>02</v>
      </c>
      <c r="H282" s="111">
        <f>+H281</f>
        <v>9</v>
      </c>
      <c r="I282" s="111">
        <f>+I281+1</f>
        <v>2</v>
      </c>
      <c r="J282" s="111" t="str">
        <f ca="1">+'Tabla III.1.'!$C$9</f>
        <v>Tabla III.1.</v>
      </c>
      <c r="K282" s="111" t="str">
        <f>+K281</f>
        <v>A</v>
      </c>
      <c r="L282" s="412"/>
    </row>
    <row r="283" spans="1:12" s="415" customFormat="1">
      <c r="A283" s="412" t="s">
        <v>2944</v>
      </c>
      <c r="B283" s="412" t="str">
        <f t="shared" ca="1" si="122"/>
        <v>202503</v>
      </c>
      <c r="C283" s="412" t="str">
        <f t="shared" ca="1" si="123"/>
        <v>v1</v>
      </c>
      <c r="D283" s="413" t="str">
        <f ca="1">+D282</f>
        <v>03.03.00.02.</v>
      </c>
      <c r="E283" s="412">
        <f t="shared" si="124"/>
        <v>0</v>
      </c>
      <c r="F283" s="414">
        <f ca="1">OFFSET('Tabla III.1.'!$H$13,H283-1,I283-1)</f>
        <v>0</v>
      </c>
      <c r="G283" s="412" t="str">
        <f ca="1">OFFSET('Tabla III.1.'!$H$1,0,I283-1)</f>
        <v>03</v>
      </c>
      <c r="H283" s="111">
        <f>+H282</f>
        <v>9</v>
      </c>
      <c r="I283" s="111">
        <f>+I282+1</f>
        <v>3</v>
      </c>
      <c r="J283" s="111" t="str">
        <f ca="1">+'Tabla III.1.'!$C$9</f>
        <v>Tabla III.1.</v>
      </c>
      <c r="K283" s="111" t="str">
        <f>+K282</f>
        <v>A</v>
      </c>
      <c r="L283" s="412"/>
    </row>
    <row r="284" spans="1:12" s="415" customFormat="1">
      <c r="A284" s="412" t="s">
        <v>2944</v>
      </c>
      <c r="B284" s="412" t="str">
        <f t="shared" ca="1" si="122"/>
        <v>202503</v>
      </c>
      <c r="C284" s="412" t="str">
        <f t="shared" ca="1" si="123"/>
        <v>v1</v>
      </c>
      <c r="D284" s="413" t="str">
        <f ca="1">+D283</f>
        <v>03.03.00.02.</v>
      </c>
      <c r="E284" s="412">
        <f t="shared" si="124"/>
        <v>0</v>
      </c>
      <c r="F284" s="414">
        <f ca="1">OFFSET('Tabla III.1.'!$H$13,H284-1,I284-1)</f>
        <v>0</v>
      </c>
      <c r="G284" s="412" t="str">
        <f ca="1">OFFSET('Tabla III.1.'!$H$1,0,I284-1)</f>
        <v>04</v>
      </c>
      <c r="H284" s="111">
        <f>+H283</f>
        <v>9</v>
      </c>
      <c r="I284" s="111">
        <f>+I283+1</f>
        <v>4</v>
      </c>
      <c r="J284" s="111" t="str">
        <f ca="1">+'Tabla III.1.'!$C$9</f>
        <v>Tabla III.1.</v>
      </c>
      <c r="K284" s="111" t="str">
        <f>+K283</f>
        <v>A</v>
      </c>
      <c r="L284" s="412"/>
    </row>
    <row r="285" spans="1:12" s="415" customFormat="1">
      <c r="A285" s="412" t="s">
        <v>2944</v>
      </c>
      <c r="B285" s="412" t="str">
        <f t="shared" ca="1" si="122"/>
        <v>202503</v>
      </c>
      <c r="C285" s="412" t="str">
        <f t="shared" ca="1" si="123"/>
        <v>v1</v>
      </c>
      <c r="D285" s="413" t="str">
        <f ca="1">+D284</f>
        <v>03.03.00.02.</v>
      </c>
      <c r="E285" s="412">
        <f t="shared" si="124"/>
        <v>0</v>
      </c>
      <c r="F285" s="414">
        <f ca="1">OFFSET('Tabla III.1.'!$H$13,H285-1,I285-1)</f>
        <v>0</v>
      </c>
      <c r="G285" s="412" t="str">
        <f ca="1">OFFSET('Tabla III.1.'!$H$1,0,I285-1)</f>
        <v>05</v>
      </c>
      <c r="H285" s="111">
        <f>+H284</f>
        <v>9</v>
      </c>
      <c r="I285" s="111">
        <f>+I284+1</f>
        <v>5</v>
      </c>
      <c r="J285" s="111" t="str">
        <f ca="1">+'Tabla III.1.'!$C$9</f>
        <v>Tabla III.1.</v>
      </c>
      <c r="K285" s="111" t="str">
        <f>+K284</f>
        <v>A</v>
      </c>
      <c r="L285" s="412"/>
    </row>
    <row r="286" spans="1:12" s="415" customFormat="1">
      <c r="A286" s="412" t="s">
        <v>2944</v>
      </c>
      <c r="B286" s="412" t="str">
        <f t="shared" ca="1" si="122"/>
        <v>202503</v>
      </c>
      <c r="C286" s="412" t="str">
        <f t="shared" ca="1" si="123"/>
        <v>v1</v>
      </c>
      <c r="D286" s="413" t="str">
        <f ca="1">+D285</f>
        <v>03.03.00.02.</v>
      </c>
      <c r="E286" s="412">
        <f t="shared" si="124"/>
        <v>0</v>
      </c>
      <c r="F286" s="414">
        <f ca="1">OFFSET('Tabla III.1.'!$H$13,H286-1,I286-1)</f>
        <v>0</v>
      </c>
      <c r="G286" s="412" t="str">
        <f ca="1">OFFSET('Tabla III.1.'!$H$1,0,I286-1)</f>
        <v>06</v>
      </c>
      <c r="H286" s="111">
        <f>+H285</f>
        <v>9</v>
      </c>
      <c r="I286" s="111">
        <f>+I285+1</f>
        <v>6</v>
      </c>
      <c r="J286" s="111" t="str">
        <f ca="1">+'Tabla III.1.'!$C$9</f>
        <v>Tabla III.1.</v>
      </c>
      <c r="K286" s="111" t="str">
        <f>+K285</f>
        <v>A</v>
      </c>
      <c r="L286" s="412"/>
    </row>
    <row r="287" spans="1:12" s="112" customFormat="1">
      <c r="A287" s="107" t="s">
        <v>2944</v>
      </c>
      <c r="B287" s="107" t="str">
        <f t="shared" ca="1" si="122"/>
        <v>202502</v>
      </c>
      <c r="C287" s="107" t="str">
        <f t="shared" ca="1" si="123"/>
        <v>v2</v>
      </c>
      <c r="D287" s="399" t="str">
        <f ca="1">OFFSET('Tabla III.1.'!$F$13,H287-1,0)</f>
        <v>03.04.</v>
      </c>
      <c r="E287" s="107">
        <f t="shared" si="124"/>
        <v>0</v>
      </c>
      <c r="F287" s="108">
        <f ca="1">OFFSET('Tabla III.1.'!$H$13,H287-1,I287-1)</f>
        <v>0</v>
      </c>
      <c r="G287" s="107" t="str">
        <f ca="1">OFFSET('Tabla III.1.'!$H$1,0,I287-1)</f>
        <v>01</v>
      </c>
      <c r="H287" s="110">
        <f>+H281+1</f>
        <v>10</v>
      </c>
      <c r="I287" s="110">
        <v>1</v>
      </c>
      <c r="J287" s="110" t="str">
        <f ca="1">+'Tabla III.1.'!$C$9</f>
        <v>Tabla III.1.</v>
      </c>
      <c r="K287" s="110" t="s">
        <v>2266</v>
      </c>
      <c r="L287" s="107">
        <f>+L281+1</f>
        <v>10</v>
      </c>
    </row>
    <row r="288" spans="1:12" s="112" customFormat="1">
      <c r="A288" s="107" t="s">
        <v>2944</v>
      </c>
      <c r="B288" s="107" t="str">
        <f t="shared" ca="1" si="122"/>
        <v>202503</v>
      </c>
      <c r="C288" s="107" t="str">
        <f t="shared" ca="1" si="123"/>
        <v>v1</v>
      </c>
      <c r="D288" s="399" t="str">
        <f ca="1">+D287</f>
        <v>03.04.</v>
      </c>
      <c r="E288" s="107">
        <f t="shared" si="124"/>
        <v>0</v>
      </c>
      <c r="F288" s="108">
        <f ca="1">OFFSET('Tabla III.1.'!$H$13,H288-1,I288-1)</f>
        <v>0</v>
      </c>
      <c r="G288" s="107" t="str">
        <f ca="1">OFFSET('Tabla III.1.'!$H$1,0,I288-1)</f>
        <v>02</v>
      </c>
      <c r="H288" s="110">
        <f>+H287</f>
        <v>10</v>
      </c>
      <c r="I288" s="110">
        <f>+I287+1</f>
        <v>2</v>
      </c>
      <c r="J288" s="110" t="str">
        <f ca="1">+'Tabla III.1.'!$C$9</f>
        <v>Tabla III.1.</v>
      </c>
      <c r="K288" s="110" t="str">
        <f>+K287</f>
        <v>A</v>
      </c>
      <c r="L288" s="107"/>
    </row>
    <row r="289" spans="1:12" s="112" customFormat="1">
      <c r="A289" s="107" t="s">
        <v>2944</v>
      </c>
      <c r="B289" s="107" t="str">
        <f t="shared" ca="1" si="122"/>
        <v>202503</v>
      </c>
      <c r="C289" s="107" t="str">
        <f t="shared" ca="1" si="123"/>
        <v>v1</v>
      </c>
      <c r="D289" s="399" t="str">
        <f ca="1">+D288</f>
        <v>03.04.</v>
      </c>
      <c r="E289" s="107">
        <f t="shared" si="124"/>
        <v>0</v>
      </c>
      <c r="F289" s="108">
        <f ca="1">OFFSET('Tabla III.1.'!$H$13,H289-1,I289-1)</f>
        <v>0</v>
      </c>
      <c r="G289" s="107" t="str">
        <f ca="1">OFFSET('Tabla III.1.'!$H$1,0,I289-1)</f>
        <v>03</v>
      </c>
      <c r="H289" s="110">
        <f>+H288</f>
        <v>10</v>
      </c>
      <c r="I289" s="110">
        <f>+I288+1</f>
        <v>3</v>
      </c>
      <c r="J289" s="110" t="str">
        <f ca="1">+'Tabla III.1.'!$C$9</f>
        <v>Tabla III.1.</v>
      </c>
      <c r="K289" s="110" t="str">
        <f>+K288</f>
        <v>A</v>
      </c>
      <c r="L289" s="107"/>
    </row>
    <row r="290" spans="1:12" s="112" customFormat="1">
      <c r="A290" s="107" t="s">
        <v>2944</v>
      </c>
      <c r="B290" s="107" t="str">
        <f t="shared" ca="1" si="122"/>
        <v>202503</v>
      </c>
      <c r="C290" s="107" t="str">
        <f t="shared" ca="1" si="123"/>
        <v>v1</v>
      </c>
      <c r="D290" s="399" t="str">
        <f ca="1">+D289</f>
        <v>03.04.</v>
      </c>
      <c r="E290" s="107">
        <f t="shared" si="124"/>
        <v>0</v>
      </c>
      <c r="F290" s="108">
        <f ca="1">OFFSET('Tabla III.1.'!$H$13,H290-1,I290-1)</f>
        <v>0</v>
      </c>
      <c r="G290" s="107" t="str">
        <f ca="1">OFFSET('Tabla III.1.'!$H$1,0,I290-1)</f>
        <v>04</v>
      </c>
      <c r="H290" s="110">
        <f>+H289</f>
        <v>10</v>
      </c>
      <c r="I290" s="110">
        <f>+I289+1</f>
        <v>4</v>
      </c>
      <c r="J290" s="110" t="str">
        <f ca="1">+'Tabla III.1.'!$C$9</f>
        <v>Tabla III.1.</v>
      </c>
      <c r="K290" s="110" t="str">
        <f>+K289</f>
        <v>A</v>
      </c>
      <c r="L290" s="107"/>
    </row>
    <row r="291" spans="1:12" s="112" customFormat="1">
      <c r="A291" s="107" t="s">
        <v>2944</v>
      </c>
      <c r="B291" s="107" t="str">
        <f t="shared" ca="1" si="122"/>
        <v>202503</v>
      </c>
      <c r="C291" s="107" t="str">
        <f t="shared" ca="1" si="123"/>
        <v>v1</v>
      </c>
      <c r="D291" s="399" t="str">
        <f ca="1">+D290</f>
        <v>03.04.</v>
      </c>
      <c r="E291" s="107">
        <f t="shared" si="124"/>
        <v>0</v>
      </c>
      <c r="F291" s="108">
        <f ca="1">OFFSET('Tabla III.1.'!$H$13,H291-1,I291-1)</f>
        <v>0</v>
      </c>
      <c r="G291" s="107" t="str">
        <f ca="1">OFFSET('Tabla III.1.'!$H$1,0,I291-1)</f>
        <v>05</v>
      </c>
      <c r="H291" s="110">
        <f>+H290</f>
        <v>10</v>
      </c>
      <c r="I291" s="110">
        <f>+I290+1</f>
        <v>5</v>
      </c>
      <c r="J291" s="110" t="str">
        <f ca="1">+'Tabla III.1.'!$C$9</f>
        <v>Tabla III.1.</v>
      </c>
      <c r="K291" s="110" t="str">
        <f>+K290</f>
        <v>A</v>
      </c>
      <c r="L291" s="107"/>
    </row>
    <row r="292" spans="1:12" s="112" customFormat="1">
      <c r="A292" s="107" t="s">
        <v>2944</v>
      </c>
      <c r="B292" s="107" t="str">
        <f t="shared" ca="1" si="122"/>
        <v>202503</v>
      </c>
      <c r="C292" s="107" t="str">
        <f t="shared" ca="1" si="123"/>
        <v>v1</v>
      </c>
      <c r="D292" s="399" t="str">
        <f ca="1">+D291</f>
        <v>03.04.</v>
      </c>
      <c r="E292" s="107">
        <f t="shared" si="124"/>
        <v>0</v>
      </c>
      <c r="F292" s="108">
        <f ca="1">OFFSET('Tabla III.1.'!$H$13,H292-1,I292-1)</f>
        <v>0</v>
      </c>
      <c r="G292" s="107" t="str">
        <f ca="1">OFFSET('Tabla III.1.'!$H$1,0,I292-1)</f>
        <v>06</v>
      </c>
      <c r="H292" s="110">
        <f>+H291</f>
        <v>10</v>
      </c>
      <c r="I292" s="110">
        <f>+I291+1</f>
        <v>6</v>
      </c>
      <c r="J292" s="110" t="str">
        <f ca="1">+'Tabla III.1.'!$C$9</f>
        <v>Tabla III.1.</v>
      </c>
      <c r="K292" s="110" t="str">
        <f>+K291</f>
        <v>A</v>
      </c>
      <c r="L292" s="107"/>
    </row>
    <row r="293" spans="1:12" s="415" customFormat="1">
      <c r="A293" s="412" t="s">
        <v>2944</v>
      </c>
      <c r="B293" s="412" t="str">
        <f t="shared" ca="1" si="122"/>
        <v>202502</v>
      </c>
      <c r="C293" s="412" t="str">
        <f t="shared" ca="1" si="123"/>
        <v>v2</v>
      </c>
      <c r="D293" s="413" t="str">
        <f ca="1">OFFSET('Tabla III.1.'!$F$13,H293-1,0)</f>
        <v>03.04.00.01.</v>
      </c>
      <c r="E293" s="412">
        <f t="shared" si="124"/>
        <v>0</v>
      </c>
      <c r="F293" s="414">
        <f ca="1">OFFSET('Tabla III.1.'!$H$13,H293-1,I293-1)</f>
        <v>0</v>
      </c>
      <c r="G293" s="412" t="str">
        <f ca="1">OFFSET('Tabla III.1.'!$H$1,0,I293-1)</f>
        <v>01</v>
      </c>
      <c r="H293" s="111">
        <f>+H287+1</f>
        <v>11</v>
      </c>
      <c r="I293" s="111">
        <v>1</v>
      </c>
      <c r="J293" s="111" t="str">
        <f ca="1">+'Tabla III.1.'!$C$9</f>
        <v>Tabla III.1.</v>
      </c>
      <c r="K293" s="111" t="s">
        <v>2266</v>
      </c>
      <c r="L293" s="412">
        <f>+L287+1</f>
        <v>11</v>
      </c>
    </row>
    <row r="294" spans="1:12" s="415" customFormat="1">
      <c r="A294" s="412" t="s">
        <v>2944</v>
      </c>
      <c r="B294" s="412" t="str">
        <f t="shared" ca="1" si="122"/>
        <v>202503</v>
      </c>
      <c r="C294" s="412" t="str">
        <f t="shared" ca="1" si="123"/>
        <v>v1</v>
      </c>
      <c r="D294" s="413" t="str">
        <f ca="1">+D293</f>
        <v>03.04.00.01.</v>
      </c>
      <c r="E294" s="412">
        <f t="shared" si="124"/>
        <v>0</v>
      </c>
      <c r="F294" s="414">
        <f ca="1">OFFSET('Tabla III.1.'!$H$13,H294-1,I294-1)</f>
        <v>0</v>
      </c>
      <c r="G294" s="412" t="str">
        <f ca="1">OFFSET('Tabla III.1.'!$H$1,0,I294-1)</f>
        <v>02</v>
      </c>
      <c r="H294" s="111">
        <f>+H293</f>
        <v>11</v>
      </c>
      <c r="I294" s="111">
        <f>+I293+1</f>
        <v>2</v>
      </c>
      <c r="J294" s="111" t="str">
        <f ca="1">+'Tabla III.1.'!$C$9</f>
        <v>Tabla III.1.</v>
      </c>
      <c r="K294" s="111" t="str">
        <f>+K293</f>
        <v>A</v>
      </c>
      <c r="L294" s="412"/>
    </row>
    <row r="295" spans="1:12" s="415" customFormat="1">
      <c r="A295" s="412" t="s">
        <v>2944</v>
      </c>
      <c r="B295" s="412" t="str">
        <f t="shared" ca="1" si="122"/>
        <v>202503</v>
      </c>
      <c r="C295" s="412" t="str">
        <f t="shared" ca="1" si="123"/>
        <v>v1</v>
      </c>
      <c r="D295" s="413" t="str">
        <f ca="1">+D294</f>
        <v>03.04.00.01.</v>
      </c>
      <c r="E295" s="412">
        <f t="shared" si="124"/>
        <v>0</v>
      </c>
      <c r="F295" s="414">
        <f ca="1">OFFSET('Tabla III.1.'!$H$13,H295-1,I295-1)</f>
        <v>0</v>
      </c>
      <c r="G295" s="412" t="str">
        <f ca="1">OFFSET('Tabla III.1.'!$H$1,0,I295-1)</f>
        <v>03</v>
      </c>
      <c r="H295" s="111">
        <f>+H294</f>
        <v>11</v>
      </c>
      <c r="I295" s="111">
        <f>+I294+1</f>
        <v>3</v>
      </c>
      <c r="J295" s="111" t="str">
        <f ca="1">+'Tabla III.1.'!$C$9</f>
        <v>Tabla III.1.</v>
      </c>
      <c r="K295" s="111" t="str">
        <f>+K294</f>
        <v>A</v>
      </c>
      <c r="L295" s="412"/>
    </row>
    <row r="296" spans="1:12" s="415" customFormat="1">
      <c r="A296" s="412" t="s">
        <v>2944</v>
      </c>
      <c r="B296" s="412" t="str">
        <f t="shared" ca="1" si="122"/>
        <v>202503</v>
      </c>
      <c r="C296" s="412" t="str">
        <f t="shared" ca="1" si="123"/>
        <v>v1</v>
      </c>
      <c r="D296" s="413" t="str">
        <f ca="1">+D295</f>
        <v>03.04.00.01.</v>
      </c>
      <c r="E296" s="412">
        <f t="shared" si="124"/>
        <v>0</v>
      </c>
      <c r="F296" s="414">
        <f ca="1">OFFSET('Tabla III.1.'!$H$13,H296-1,I296-1)</f>
        <v>0</v>
      </c>
      <c r="G296" s="412" t="str">
        <f ca="1">OFFSET('Tabla III.1.'!$H$1,0,I296-1)</f>
        <v>04</v>
      </c>
      <c r="H296" s="111">
        <f>+H295</f>
        <v>11</v>
      </c>
      <c r="I296" s="111">
        <f>+I295+1</f>
        <v>4</v>
      </c>
      <c r="J296" s="111" t="str">
        <f ca="1">+'Tabla III.1.'!$C$9</f>
        <v>Tabla III.1.</v>
      </c>
      <c r="K296" s="111" t="str">
        <f>+K295</f>
        <v>A</v>
      </c>
      <c r="L296" s="412"/>
    </row>
    <row r="297" spans="1:12" s="415" customFormat="1">
      <c r="A297" s="412" t="s">
        <v>2944</v>
      </c>
      <c r="B297" s="412" t="str">
        <f t="shared" ca="1" si="122"/>
        <v>202503</v>
      </c>
      <c r="C297" s="412" t="str">
        <f t="shared" ca="1" si="123"/>
        <v>v1</v>
      </c>
      <c r="D297" s="413" t="str">
        <f ca="1">+D296</f>
        <v>03.04.00.01.</v>
      </c>
      <c r="E297" s="412">
        <f t="shared" si="124"/>
        <v>0</v>
      </c>
      <c r="F297" s="414">
        <f ca="1">OFFSET('Tabla III.1.'!$H$13,H297-1,I297-1)</f>
        <v>0</v>
      </c>
      <c r="G297" s="412" t="str">
        <f ca="1">OFFSET('Tabla III.1.'!$H$1,0,I297-1)</f>
        <v>05</v>
      </c>
      <c r="H297" s="111">
        <f>+H296</f>
        <v>11</v>
      </c>
      <c r="I297" s="111">
        <f>+I296+1</f>
        <v>5</v>
      </c>
      <c r="J297" s="111" t="str">
        <f ca="1">+'Tabla III.1.'!$C$9</f>
        <v>Tabla III.1.</v>
      </c>
      <c r="K297" s="111" t="str">
        <f>+K296</f>
        <v>A</v>
      </c>
      <c r="L297" s="412"/>
    </row>
    <row r="298" spans="1:12" s="415" customFormat="1">
      <c r="A298" s="412" t="s">
        <v>2944</v>
      </c>
      <c r="B298" s="412" t="str">
        <f t="shared" ca="1" si="122"/>
        <v>202503</v>
      </c>
      <c r="C298" s="412" t="str">
        <f t="shared" ca="1" si="123"/>
        <v>v1</v>
      </c>
      <c r="D298" s="413" t="str">
        <f ca="1">+D297</f>
        <v>03.04.00.01.</v>
      </c>
      <c r="E298" s="412">
        <f t="shared" si="124"/>
        <v>0</v>
      </c>
      <c r="F298" s="414">
        <f ca="1">OFFSET('Tabla III.1.'!$H$13,H298-1,I298-1)</f>
        <v>0</v>
      </c>
      <c r="G298" s="412" t="str">
        <f ca="1">OFFSET('Tabla III.1.'!$H$1,0,I298-1)</f>
        <v>06</v>
      </c>
      <c r="H298" s="111">
        <f>+H297</f>
        <v>11</v>
      </c>
      <c r="I298" s="111">
        <f>+I297+1</f>
        <v>6</v>
      </c>
      <c r="J298" s="111" t="str">
        <f ca="1">+'Tabla III.1.'!$C$9</f>
        <v>Tabla III.1.</v>
      </c>
      <c r="K298" s="111" t="str">
        <f>+K297</f>
        <v>A</v>
      </c>
      <c r="L298" s="412"/>
    </row>
    <row r="299" spans="1:12" s="112" customFormat="1">
      <c r="A299" s="107" t="s">
        <v>2944</v>
      </c>
      <c r="B299" s="107" t="str">
        <f t="shared" ca="1" si="122"/>
        <v>202502</v>
      </c>
      <c r="C299" s="107" t="str">
        <f t="shared" ca="1" si="123"/>
        <v>v2</v>
      </c>
      <c r="D299" s="399" t="str">
        <f ca="1">OFFSET('Tabla III.1.'!$F$13,H299-1,0)</f>
        <v>03.04.00.02.</v>
      </c>
      <c r="E299" s="107">
        <f t="shared" si="124"/>
        <v>0</v>
      </c>
      <c r="F299" s="108">
        <f ca="1">OFFSET('Tabla III.1.'!$H$13,H299-1,I299-1)</f>
        <v>0</v>
      </c>
      <c r="G299" s="107" t="str">
        <f ca="1">OFFSET('Tabla III.1.'!$H$1,0,I299-1)</f>
        <v>01</v>
      </c>
      <c r="H299" s="110">
        <f>+H293+1</f>
        <v>12</v>
      </c>
      <c r="I299" s="110">
        <v>1</v>
      </c>
      <c r="J299" s="110" t="str">
        <f ca="1">+'Tabla III.1.'!$C$9</f>
        <v>Tabla III.1.</v>
      </c>
      <c r="K299" s="110" t="s">
        <v>2266</v>
      </c>
      <c r="L299" s="107">
        <f>+L293+1</f>
        <v>12</v>
      </c>
    </row>
    <row r="300" spans="1:12" s="112" customFormat="1">
      <c r="A300" s="107" t="s">
        <v>2944</v>
      </c>
      <c r="B300" s="107" t="str">
        <f t="shared" ca="1" si="122"/>
        <v>202503</v>
      </c>
      <c r="C300" s="107" t="str">
        <f t="shared" ca="1" si="123"/>
        <v>v1</v>
      </c>
      <c r="D300" s="399" t="str">
        <f ca="1">+D299</f>
        <v>03.04.00.02.</v>
      </c>
      <c r="E300" s="107">
        <f t="shared" si="124"/>
        <v>0</v>
      </c>
      <c r="F300" s="108">
        <f ca="1">OFFSET('Tabla III.1.'!$H$13,H300-1,I300-1)</f>
        <v>0</v>
      </c>
      <c r="G300" s="107" t="str">
        <f ca="1">OFFSET('Tabla III.1.'!$H$1,0,I300-1)</f>
        <v>02</v>
      </c>
      <c r="H300" s="110">
        <f>+H299</f>
        <v>12</v>
      </c>
      <c r="I300" s="110">
        <f>+I299+1</f>
        <v>2</v>
      </c>
      <c r="J300" s="110" t="str">
        <f ca="1">+'Tabla III.1.'!$C$9</f>
        <v>Tabla III.1.</v>
      </c>
      <c r="K300" s="110" t="str">
        <f>+K299</f>
        <v>A</v>
      </c>
      <c r="L300" s="107"/>
    </row>
    <row r="301" spans="1:12" s="112" customFormat="1">
      <c r="A301" s="107" t="s">
        <v>2944</v>
      </c>
      <c r="B301" s="107" t="str">
        <f t="shared" ca="1" si="122"/>
        <v>202503</v>
      </c>
      <c r="C301" s="107" t="str">
        <f t="shared" ca="1" si="123"/>
        <v>v1</v>
      </c>
      <c r="D301" s="399" t="str">
        <f ca="1">+D300</f>
        <v>03.04.00.02.</v>
      </c>
      <c r="E301" s="107">
        <f t="shared" si="124"/>
        <v>0</v>
      </c>
      <c r="F301" s="108">
        <f ca="1">OFFSET('Tabla III.1.'!$H$13,H301-1,I301-1)</f>
        <v>0</v>
      </c>
      <c r="G301" s="107" t="str">
        <f ca="1">OFFSET('Tabla III.1.'!$H$1,0,I301-1)</f>
        <v>03</v>
      </c>
      <c r="H301" s="110">
        <f>+H300</f>
        <v>12</v>
      </c>
      <c r="I301" s="110">
        <f>+I300+1</f>
        <v>3</v>
      </c>
      <c r="J301" s="110" t="str">
        <f ca="1">+'Tabla III.1.'!$C$9</f>
        <v>Tabla III.1.</v>
      </c>
      <c r="K301" s="110" t="str">
        <f>+K300</f>
        <v>A</v>
      </c>
      <c r="L301" s="107"/>
    </row>
    <row r="302" spans="1:12" s="112" customFormat="1">
      <c r="A302" s="107" t="s">
        <v>2944</v>
      </c>
      <c r="B302" s="107" t="str">
        <f t="shared" ca="1" si="122"/>
        <v>202503</v>
      </c>
      <c r="C302" s="107" t="str">
        <f t="shared" ca="1" si="123"/>
        <v>v1</v>
      </c>
      <c r="D302" s="399" t="str">
        <f ca="1">+D301</f>
        <v>03.04.00.02.</v>
      </c>
      <c r="E302" s="107">
        <f t="shared" si="124"/>
        <v>0</v>
      </c>
      <c r="F302" s="108">
        <f ca="1">OFFSET('Tabla III.1.'!$H$13,H302-1,I302-1)</f>
        <v>0</v>
      </c>
      <c r="G302" s="107" t="str">
        <f ca="1">OFFSET('Tabla III.1.'!$H$1,0,I302-1)</f>
        <v>04</v>
      </c>
      <c r="H302" s="110">
        <f>+H301</f>
        <v>12</v>
      </c>
      <c r="I302" s="110">
        <f>+I301+1</f>
        <v>4</v>
      </c>
      <c r="J302" s="110" t="str">
        <f ca="1">+'Tabla III.1.'!$C$9</f>
        <v>Tabla III.1.</v>
      </c>
      <c r="K302" s="110" t="str">
        <f>+K301</f>
        <v>A</v>
      </c>
      <c r="L302" s="107"/>
    </row>
    <row r="303" spans="1:12" s="112" customFormat="1">
      <c r="A303" s="107" t="s">
        <v>2944</v>
      </c>
      <c r="B303" s="107" t="str">
        <f t="shared" ca="1" si="122"/>
        <v>202503</v>
      </c>
      <c r="C303" s="107" t="str">
        <f t="shared" ca="1" si="123"/>
        <v>v1</v>
      </c>
      <c r="D303" s="399" t="str">
        <f ca="1">+D302</f>
        <v>03.04.00.02.</v>
      </c>
      <c r="E303" s="107">
        <f t="shared" si="124"/>
        <v>0</v>
      </c>
      <c r="F303" s="108">
        <f ca="1">OFFSET('Tabla III.1.'!$H$13,H303-1,I303-1)</f>
        <v>0</v>
      </c>
      <c r="G303" s="107" t="str">
        <f ca="1">OFFSET('Tabla III.1.'!$H$1,0,I303-1)</f>
        <v>05</v>
      </c>
      <c r="H303" s="110">
        <f>+H302</f>
        <v>12</v>
      </c>
      <c r="I303" s="110">
        <f>+I302+1</f>
        <v>5</v>
      </c>
      <c r="J303" s="110" t="str">
        <f ca="1">+'Tabla III.1.'!$C$9</f>
        <v>Tabla III.1.</v>
      </c>
      <c r="K303" s="110" t="str">
        <f>+K302</f>
        <v>A</v>
      </c>
      <c r="L303" s="107"/>
    </row>
    <row r="304" spans="1:12" s="112" customFormat="1">
      <c r="A304" s="107" t="s">
        <v>2944</v>
      </c>
      <c r="B304" s="107" t="str">
        <f t="shared" ca="1" si="122"/>
        <v>202503</v>
      </c>
      <c r="C304" s="107" t="str">
        <f t="shared" ca="1" si="123"/>
        <v>v1</v>
      </c>
      <c r="D304" s="399" t="str">
        <f ca="1">+D303</f>
        <v>03.04.00.02.</v>
      </c>
      <c r="E304" s="107">
        <f t="shared" si="124"/>
        <v>0</v>
      </c>
      <c r="F304" s="108">
        <f ca="1">OFFSET('Tabla III.1.'!$H$13,H304-1,I304-1)</f>
        <v>0</v>
      </c>
      <c r="G304" s="107" t="str">
        <f ca="1">OFFSET('Tabla III.1.'!$H$1,0,I304-1)</f>
        <v>06</v>
      </c>
      <c r="H304" s="110">
        <f>+H303</f>
        <v>12</v>
      </c>
      <c r="I304" s="110">
        <f>+I303+1</f>
        <v>6</v>
      </c>
      <c r="J304" s="110" t="str">
        <f ca="1">+'Tabla III.1.'!$C$9</f>
        <v>Tabla III.1.</v>
      </c>
      <c r="K304" s="110" t="str">
        <f>+K303</f>
        <v>A</v>
      </c>
      <c r="L304" s="107"/>
    </row>
    <row r="305" spans="1:12" s="415" customFormat="1">
      <c r="A305" s="412" t="s">
        <v>2944</v>
      </c>
      <c r="B305" s="412" t="str">
        <f t="shared" ca="1" si="122"/>
        <v>202502</v>
      </c>
      <c r="C305" s="412" t="str">
        <f t="shared" ca="1" si="123"/>
        <v>v2</v>
      </c>
      <c r="D305" s="413" t="str">
        <f ca="1">OFFSET('Tabla III.1.'!$F$13,H305-1,0)</f>
        <v>03.99.</v>
      </c>
      <c r="E305" s="412">
        <f t="shared" si="124"/>
        <v>0</v>
      </c>
      <c r="F305" s="414">
        <f ca="1">OFFSET('Tabla III.1.'!$H$13,H305-1,I305-1)</f>
        <v>0</v>
      </c>
      <c r="G305" s="412" t="str">
        <f ca="1">OFFSET('Tabla III.1.'!$H$1,0,I305-1)</f>
        <v>01</v>
      </c>
      <c r="H305" s="111">
        <f>+H299+1</f>
        <v>13</v>
      </c>
      <c r="I305" s="111">
        <v>1</v>
      </c>
      <c r="J305" s="111" t="str">
        <f ca="1">+'Tabla III.1.'!$C$9</f>
        <v>Tabla III.1.</v>
      </c>
      <c r="K305" s="111" t="s">
        <v>2266</v>
      </c>
      <c r="L305" s="412">
        <f>+L299+1</f>
        <v>13</v>
      </c>
    </row>
    <row r="306" spans="1:12" s="415" customFormat="1">
      <c r="A306" s="412" t="s">
        <v>2944</v>
      </c>
      <c r="B306" s="412" t="str">
        <f t="shared" ca="1" si="122"/>
        <v>202503</v>
      </c>
      <c r="C306" s="412" t="str">
        <f t="shared" ca="1" si="123"/>
        <v>v1</v>
      </c>
      <c r="D306" s="413" t="str">
        <f ca="1">+D305</f>
        <v>03.99.</v>
      </c>
      <c r="E306" s="412">
        <f t="shared" si="124"/>
        <v>0</v>
      </c>
      <c r="F306" s="414">
        <f ca="1">OFFSET('Tabla III.1.'!$H$13,H306-1,I306-1)</f>
        <v>0</v>
      </c>
      <c r="G306" s="412" t="str">
        <f ca="1">OFFSET('Tabla III.1.'!$H$1,0,I306-1)</f>
        <v>02</v>
      </c>
      <c r="H306" s="111">
        <f>+H305</f>
        <v>13</v>
      </c>
      <c r="I306" s="111">
        <f>+I305+1</f>
        <v>2</v>
      </c>
      <c r="J306" s="111" t="str">
        <f ca="1">+'Tabla III.1.'!$C$9</f>
        <v>Tabla III.1.</v>
      </c>
      <c r="K306" s="111" t="str">
        <f>+K305</f>
        <v>A</v>
      </c>
      <c r="L306" s="412"/>
    </row>
    <row r="307" spans="1:12" s="415" customFormat="1">
      <c r="A307" s="412" t="s">
        <v>2944</v>
      </c>
      <c r="B307" s="412" t="str">
        <f t="shared" ca="1" si="122"/>
        <v>202503</v>
      </c>
      <c r="C307" s="412" t="str">
        <f t="shared" ca="1" si="123"/>
        <v>v1</v>
      </c>
      <c r="D307" s="413" t="str">
        <f ca="1">+D306</f>
        <v>03.99.</v>
      </c>
      <c r="E307" s="412">
        <f t="shared" si="124"/>
        <v>0</v>
      </c>
      <c r="F307" s="414">
        <f ca="1">OFFSET('Tabla III.1.'!$H$13,H307-1,I307-1)</f>
        <v>0</v>
      </c>
      <c r="G307" s="412" t="str">
        <f ca="1">OFFSET('Tabla III.1.'!$H$1,0,I307-1)</f>
        <v>03</v>
      </c>
      <c r="H307" s="111">
        <f>+H306</f>
        <v>13</v>
      </c>
      <c r="I307" s="111">
        <f>+I306+1</f>
        <v>3</v>
      </c>
      <c r="J307" s="111" t="str">
        <f ca="1">+'Tabla III.1.'!$C$9</f>
        <v>Tabla III.1.</v>
      </c>
      <c r="K307" s="111" t="str">
        <f>+K306</f>
        <v>A</v>
      </c>
      <c r="L307" s="412"/>
    </row>
    <row r="308" spans="1:12" s="415" customFormat="1">
      <c r="A308" s="412" t="s">
        <v>2944</v>
      </c>
      <c r="B308" s="412" t="str">
        <f t="shared" ca="1" si="122"/>
        <v>202503</v>
      </c>
      <c r="C308" s="412" t="str">
        <f t="shared" ca="1" si="123"/>
        <v>v1</v>
      </c>
      <c r="D308" s="413" t="str">
        <f ca="1">+D307</f>
        <v>03.99.</v>
      </c>
      <c r="E308" s="412">
        <f t="shared" si="124"/>
        <v>0</v>
      </c>
      <c r="F308" s="414">
        <f ca="1">OFFSET('Tabla III.1.'!$H$13,H308-1,I308-1)</f>
        <v>0</v>
      </c>
      <c r="G308" s="412" t="str">
        <f ca="1">OFFSET('Tabla III.1.'!$H$1,0,I308-1)</f>
        <v>04</v>
      </c>
      <c r="H308" s="111">
        <f>+H307</f>
        <v>13</v>
      </c>
      <c r="I308" s="111">
        <f>+I307+1</f>
        <v>4</v>
      </c>
      <c r="J308" s="111" t="str">
        <f ca="1">+'Tabla III.1.'!$C$9</f>
        <v>Tabla III.1.</v>
      </c>
      <c r="K308" s="111" t="str">
        <f>+K307</f>
        <v>A</v>
      </c>
      <c r="L308" s="412"/>
    </row>
    <row r="309" spans="1:12" s="415" customFormat="1">
      <c r="A309" s="412" t="s">
        <v>2944</v>
      </c>
      <c r="B309" s="412" t="str">
        <f t="shared" ca="1" si="122"/>
        <v>202503</v>
      </c>
      <c r="C309" s="412" t="str">
        <f t="shared" ca="1" si="123"/>
        <v>v1</v>
      </c>
      <c r="D309" s="413" t="str">
        <f ca="1">+D308</f>
        <v>03.99.</v>
      </c>
      <c r="E309" s="412">
        <f t="shared" si="124"/>
        <v>0</v>
      </c>
      <c r="F309" s="414">
        <f ca="1">OFFSET('Tabla III.1.'!$H$13,H309-1,I309-1)</f>
        <v>0</v>
      </c>
      <c r="G309" s="412" t="str">
        <f ca="1">OFFSET('Tabla III.1.'!$H$1,0,I309-1)</f>
        <v>05</v>
      </c>
      <c r="H309" s="111">
        <f>+H308</f>
        <v>13</v>
      </c>
      <c r="I309" s="111">
        <f>+I308+1</f>
        <v>5</v>
      </c>
      <c r="J309" s="111" t="str">
        <f ca="1">+'Tabla III.1.'!$C$9</f>
        <v>Tabla III.1.</v>
      </c>
      <c r="K309" s="111" t="str">
        <f>+K308</f>
        <v>A</v>
      </c>
      <c r="L309" s="412"/>
    </row>
    <row r="310" spans="1:12" s="415" customFormat="1">
      <c r="A310" s="412" t="s">
        <v>2944</v>
      </c>
      <c r="B310" s="412" t="str">
        <f t="shared" ca="1" si="122"/>
        <v>202503</v>
      </c>
      <c r="C310" s="412" t="str">
        <f t="shared" ca="1" si="123"/>
        <v>v1</v>
      </c>
      <c r="D310" s="413" t="str">
        <f ca="1">+D309</f>
        <v>03.99.</v>
      </c>
      <c r="E310" s="412">
        <f t="shared" si="124"/>
        <v>0</v>
      </c>
      <c r="F310" s="414">
        <f ca="1">OFFSET('Tabla III.1.'!$H$13,H310-1,I310-1)</f>
        <v>0</v>
      </c>
      <c r="G310" s="412" t="str">
        <f ca="1">OFFSET('Tabla III.1.'!$H$1,0,I310-1)</f>
        <v>06</v>
      </c>
      <c r="H310" s="111">
        <f>+H309</f>
        <v>13</v>
      </c>
      <c r="I310" s="111">
        <f>+I309+1</f>
        <v>6</v>
      </c>
      <c r="J310" s="111" t="str">
        <f ca="1">+'Tabla III.1.'!$C$9</f>
        <v>Tabla III.1.</v>
      </c>
      <c r="K310" s="111" t="str">
        <f>+K309</f>
        <v>A</v>
      </c>
      <c r="L310" s="412"/>
    </row>
    <row r="311" spans="1:12" s="112" customFormat="1">
      <c r="A311" s="107" t="s">
        <v>2944</v>
      </c>
      <c r="B311" s="107" t="str">
        <f t="shared" ca="1" si="122"/>
        <v>202502</v>
      </c>
      <c r="C311" s="107" t="str">
        <f t="shared" ca="1" si="123"/>
        <v>v2</v>
      </c>
      <c r="D311" s="399" t="str">
        <f ca="1">OFFSET('Tabla III.1.'!$F$46,H311-1,0)</f>
        <v>04.01.</v>
      </c>
      <c r="E311" s="107">
        <f t="shared" si="124"/>
        <v>0</v>
      </c>
      <c r="F311" s="108">
        <f ca="1">OFFSET('Tabla III.1.'!$H$46,H311-1,I311-1)</f>
        <v>0</v>
      </c>
      <c r="G311" s="107" t="str">
        <f ca="1">OFFSET('Tabla III.1.'!$H$1,0,I311-1)</f>
        <v>01</v>
      </c>
      <c r="H311" s="110">
        <v>1</v>
      </c>
      <c r="I311" s="110">
        <v>1</v>
      </c>
      <c r="J311" s="110" t="str">
        <f ca="1">+'Tabla III.1.'!$C$9</f>
        <v>Tabla III.1.</v>
      </c>
      <c r="K311" s="110" t="s">
        <v>2267</v>
      </c>
      <c r="L311" s="107">
        <v>1</v>
      </c>
    </row>
    <row r="312" spans="1:12" s="112" customFormat="1">
      <c r="A312" s="107" t="s">
        <v>2944</v>
      </c>
      <c r="B312" s="107" t="str">
        <f t="shared" ca="1" si="122"/>
        <v>202503</v>
      </c>
      <c r="C312" s="107" t="str">
        <f t="shared" ca="1" si="123"/>
        <v>v1</v>
      </c>
      <c r="D312" s="399" t="str">
        <f ca="1">+D311</f>
        <v>04.01.</v>
      </c>
      <c r="E312" s="107">
        <f t="shared" si="124"/>
        <v>0</v>
      </c>
      <c r="F312" s="108">
        <f ca="1">OFFSET('Tabla III.1.'!$H$46,H312-1,I312-1)</f>
        <v>0</v>
      </c>
      <c r="G312" s="107" t="str">
        <f ca="1">OFFSET('Tabla III.1.'!$H$1,0,I312-1)</f>
        <v>02</v>
      </c>
      <c r="H312" s="110">
        <f>+H311</f>
        <v>1</v>
      </c>
      <c r="I312" s="110">
        <f>+I311+1</f>
        <v>2</v>
      </c>
      <c r="J312" s="110" t="str">
        <f ca="1">+'Tabla III.1.'!$C$9</f>
        <v>Tabla III.1.</v>
      </c>
      <c r="K312" s="110" t="str">
        <f>+K311</f>
        <v>B</v>
      </c>
      <c r="L312" s="107"/>
    </row>
    <row r="313" spans="1:12" s="112" customFormat="1">
      <c r="A313" s="107" t="s">
        <v>2944</v>
      </c>
      <c r="B313" s="107" t="str">
        <f t="shared" ca="1" si="122"/>
        <v>202503</v>
      </c>
      <c r="C313" s="107" t="str">
        <f t="shared" ca="1" si="123"/>
        <v>v1</v>
      </c>
      <c r="D313" s="399" t="str">
        <f ca="1">+D312</f>
        <v>04.01.</v>
      </c>
      <c r="E313" s="107">
        <f t="shared" si="124"/>
        <v>0</v>
      </c>
      <c r="F313" s="108">
        <f ca="1">OFFSET('Tabla III.1.'!$H$46,H313-1,I313-1)</f>
        <v>0</v>
      </c>
      <c r="G313" s="107" t="str">
        <f ca="1">OFFSET('Tabla III.1.'!$H$1,0,I313-1)</f>
        <v>03</v>
      </c>
      <c r="H313" s="110">
        <f>+H312</f>
        <v>1</v>
      </c>
      <c r="I313" s="110">
        <f>+I312+1</f>
        <v>3</v>
      </c>
      <c r="J313" s="110" t="str">
        <f ca="1">+'Tabla III.1.'!$C$9</f>
        <v>Tabla III.1.</v>
      </c>
      <c r="K313" s="110" t="str">
        <f>+K312</f>
        <v>B</v>
      </c>
      <c r="L313" s="107"/>
    </row>
    <row r="314" spans="1:12" s="112" customFormat="1">
      <c r="A314" s="107" t="s">
        <v>2944</v>
      </c>
      <c r="B314" s="107" t="str">
        <f t="shared" ca="1" si="122"/>
        <v>202503</v>
      </c>
      <c r="C314" s="107" t="str">
        <f t="shared" ca="1" si="123"/>
        <v>v1</v>
      </c>
      <c r="D314" s="399" t="str">
        <f ca="1">+D313</f>
        <v>04.01.</v>
      </c>
      <c r="E314" s="107">
        <f t="shared" si="124"/>
        <v>0</v>
      </c>
      <c r="F314" s="108">
        <f ca="1">OFFSET('Tabla III.1.'!$H$46,H314-1,I314-1)</f>
        <v>0</v>
      </c>
      <c r="G314" s="107" t="str">
        <f ca="1">OFFSET('Tabla III.1.'!$H$1,0,I314-1)</f>
        <v>04</v>
      </c>
      <c r="H314" s="110">
        <f>+H313</f>
        <v>1</v>
      </c>
      <c r="I314" s="110">
        <f>+I313+1</f>
        <v>4</v>
      </c>
      <c r="J314" s="110" t="str">
        <f ca="1">+'Tabla III.1.'!$C$9</f>
        <v>Tabla III.1.</v>
      </c>
      <c r="K314" s="110" t="str">
        <f>+K313</f>
        <v>B</v>
      </c>
      <c r="L314" s="107"/>
    </row>
    <row r="315" spans="1:12" s="112" customFormat="1">
      <c r="A315" s="107" t="s">
        <v>2944</v>
      </c>
      <c r="B315" s="107" t="str">
        <f t="shared" ca="1" si="122"/>
        <v>202503</v>
      </c>
      <c r="C315" s="107" t="str">
        <f t="shared" ca="1" si="123"/>
        <v>v1</v>
      </c>
      <c r="D315" s="399" t="str">
        <f ca="1">+D314</f>
        <v>04.01.</v>
      </c>
      <c r="E315" s="107">
        <f t="shared" si="124"/>
        <v>0</v>
      </c>
      <c r="F315" s="108">
        <f ca="1">OFFSET('Tabla III.1.'!$H$46,H315-1,I315-1)</f>
        <v>0</v>
      </c>
      <c r="G315" s="107" t="str">
        <f ca="1">OFFSET('Tabla III.1.'!$H$1,0,I315-1)</f>
        <v>05</v>
      </c>
      <c r="H315" s="110">
        <f>+H314</f>
        <v>1</v>
      </c>
      <c r="I315" s="110">
        <f>+I314+1</f>
        <v>5</v>
      </c>
      <c r="J315" s="110" t="str">
        <f ca="1">+'Tabla III.1.'!$C$9</f>
        <v>Tabla III.1.</v>
      </c>
      <c r="K315" s="110" t="str">
        <f>+K314</f>
        <v>B</v>
      </c>
      <c r="L315" s="107"/>
    </row>
    <row r="316" spans="1:12" s="112" customFormat="1">
      <c r="A316" s="107" t="s">
        <v>2944</v>
      </c>
      <c r="B316" s="107" t="str">
        <f t="shared" ca="1" si="122"/>
        <v>202503</v>
      </c>
      <c r="C316" s="107" t="str">
        <f t="shared" ca="1" si="123"/>
        <v>v1</v>
      </c>
      <c r="D316" s="399" t="str">
        <f ca="1">+D315</f>
        <v>04.01.</v>
      </c>
      <c r="E316" s="107">
        <f t="shared" si="124"/>
        <v>0</v>
      </c>
      <c r="F316" s="108">
        <f ca="1">OFFSET('Tabla III.1.'!$H$46,H316-1,I316-1)</f>
        <v>0</v>
      </c>
      <c r="G316" s="107" t="str">
        <f ca="1">OFFSET('Tabla III.1.'!$H$1,0,I316-1)</f>
        <v>06</v>
      </c>
      <c r="H316" s="110">
        <f>+H315</f>
        <v>1</v>
      </c>
      <c r="I316" s="110">
        <f>+I315+1</f>
        <v>6</v>
      </c>
      <c r="J316" s="110" t="str">
        <f ca="1">+'Tabla III.1.'!$C$9</f>
        <v>Tabla III.1.</v>
      </c>
      <c r="K316" s="110" t="str">
        <f>+K315</f>
        <v>B</v>
      </c>
      <c r="L316" s="107"/>
    </row>
    <row r="317" spans="1:12" s="415" customFormat="1">
      <c r="A317" s="412" t="s">
        <v>2944</v>
      </c>
      <c r="B317" s="412" t="str">
        <f t="shared" ca="1" si="122"/>
        <v>202502</v>
      </c>
      <c r="C317" s="412" t="str">
        <f t="shared" ca="1" si="123"/>
        <v>v2</v>
      </c>
      <c r="D317" s="413" t="str">
        <f ca="1">OFFSET('Tabla III.1.'!$F$46,H317-1,0)</f>
        <v>04.01.01.</v>
      </c>
      <c r="E317" s="412">
        <f t="shared" si="124"/>
        <v>0</v>
      </c>
      <c r="F317" s="414">
        <f ca="1">OFFSET('Tabla III.1.'!$H$46,H317-1,I317-1)</f>
        <v>0</v>
      </c>
      <c r="G317" s="412" t="str">
        <f ca="1">OFFSET('Tabla III.1.'!$H$1,0,I317-1)</f>
        <v>01</v>
      </c>
      <c r="H317" s="111">
        <f>+H311+1</f>
        <v>2</v>
      </c>
      <c r="I317" s="111">
        <v>1</v>
      </c>
      <c r="J317" s="111" t="str">
        <f ca="1">+'Tabla III.1.'!$C$9</f>
        <v>Tabla III.1.</v>
      </c>
      <c r="K317" s="111" t="s">
        <v>2267</v>
      </c>
      <c r="L317" s="412">
        <f>+L311+1</f>
        <v>2</v>
      </c>
    </row>
    <row r="318" spans="1:12" s="415" customFormat="1">
      <c r="A318" s="412" t="s">
        <v>2944</v>
      </c>
      <c r="B318" s="412" t="str">
        <f t="shared" ca="1" si="122"/>
        <v>202503</v>
      </c>
      <c r="C318" s="412" t="str">
        <f t="shared" ca="1" si="123"/>
        <v>v1</v>
      </c>
      <c r="D318" s="413" t="str">
        <f ca="1">+D317</f>
        <v>04.01.01.</v>
      </c>
      <c r="E318" s="412">
        <f t="shared" si="124"/>
        <v>0</v>
      </c>
      <c r="F318" s="414">
        <f ca="1">OFFSET('Tabla III.1.'!$H$46,H318-1,I318-1)</f>
        <v>0</v>
      </c>
      <c r="G318" s="412" t="str">
        <f ca="1">OFFSET('Tabla III.1.'!$H$1,0,I318-1)</f>
        <v>02</v>
      </c>
      <c r="H318" s="111">
        <f>+H317</f>
        <v>2</v>
      </c>
      <c r="I318" s="111">
        <f>+I317+1</f>
        <v>2</v>
      </c>
      <c r="J318" s="111" t="str">
        <f ca="1">+'Tabla III.1.'!$C$9</f>
        <v>Tabla III.1.</v>
      </c>
      <c r="K318" s="111" t="str">
        <f>+K317</f>
        <v>B</v>
      </c>
      <c r="L318" s="412"/>
    </row>
    <row r="319" spans="1:12" s="415" customFormat="1">
      <c r="A319" s="412" t="s">
        <v>2944</v>
      </c>
      <c r="B319" s="412" t="str">
        <f t="shared" ca="1" si="122"/>
        <v>202503</v>
      </c>
      <c r="C319" s="412" t="str">
        <f t="shared" ca="1" si="123"/>
        <v>v1</v>
      </c>
      <c r="D319" s="413" t="str">
        <f ca="1">+D318</f>
        <v>04.01.01.</v>
      </c>
      <c r="E319" s="412">
        <f t="shared" si="124"/>
        <v>0</v>
      </c>
      <c r="F319" s="414">
        <f ca="1">OFFSET('Tabla III.1.'!$H$46,H319-1,I319-1)</f>
        <v>0</v>
      </c>
      <c r="G319" s="412" t="str">
        <f ca="1">OFFSET('Tabla III.1.'!$H$1,0,I319-1)</f>
        <v>03</v>
      </c>
      <c r="H319" s="111">
        <f>+H318</f>
        <v>2</v>
      </c>
      <c r="I319" s="111">
        <f>+I318+1</f>
        <v>3</v>
      </c>
      <c r="J319" s="111" t="str">
        <f ca="1">+'Tabla III.1.'!$C$9</f>
        <v>Tabla III.1.</v>
      </c>
      <c r="K319" s="111" t="str">
        <f>+K318</f>
        <v>B</v>
      </c>
      <c r="L319" s="412"/>
    </row>
    <row r="320" spans="1:12" s="415" customFormat="1">
      <c r="A320" s="412" t="s">
        <v>2944</v>
      </c>
      <c r="B320" s="412" t="str">
        <f t="shared" ca="1" si="122"/>
        <v>202503</v>
      </c>
      <c r="C320" s="412" t="str">
        <f t="shared" ca="1" si="123"/>
        <v>v1</v>
      </c>
      <c r="D320" s="413" t="str">
        <f ca="1">+D319</f>
        <v>04.01.01.</v>
      </c>
      <c r="E320" s="412">
        <f t="shared" si="124"/>
        <v>0</v>
      </c>
      <c r="F320" s="414">
        <f ca="1">OFFSET('Tabla III.1.'!$H$46,H320-1,I320-1)</f>
        <v>0</v>
      </c>
      <c r="G320" s="412" t="str">
        <f ca="1">OFFSET('Tabla III.1.'!$H$1,0,I320-1)</f>
        <v>04</v>
      </c>
      <c r="H320" s="111">
        <f>+H319</f>
        <v>2</v>
      </c>
      <c r="I320" s="111">
        <f>+I319+1</f>
        <v>4</v>
      </c>
      <c r="J320" s="111" t="str">
        <f ca="1">+'Tabla III.1.'!$C$9</f>
        <v>Tabla III.1.</v>
      </c>
      <c r="K320" s="111" t="str">
        <f>+K319</f>
        <v>B</v>
      </c>
      <c r="L320" s="412"/>
    </row>
    <row r="321" spans="1:12" s="415" customFormat="1">
      <c r="A321" s="412" t="s">
        <v>2944</v>
      </c>
      <c r="B321" s="412" t="str">
        <f t="shared" ca="1" si="122"/>
        <v>202503</v>
      </c>
      <c r="C321" s="412" t="str">
        <f t="shared" ca="1" si="123"/>
        <v>v1</v>
      </c>
      <c r="D321" s="413" t="str">
        <f ca="1">+D320</f>
        <v>04.01.01.</v>
      </c>
      <c r="E321" s="412">
        <f t="shared" si="124"/>
        <v>0</v>
      </c>
      <c r="F321" s="414">
        <f ca="1">OFFSET('Tabla III.1.'!$H$46,H321-1,I321-1)</f>
        <v>0</v>
      </c>
      <c r="G321" s="412" t="str">
        <f ca="1">OFFSET('Tabla III.1.'!$H$1,0,I321-1)</f>
        <v>05</v>
      </c>
      <c r="H321" s="111">
        <f>+H320</f>
        <v>2</v>
      </c>
      <c r="I321" s="111">
        <f>+I320+1</f>
        <v>5</v>
      </c>
      <c r="J321" s="111" t="str">
        <f ca="1">+'Tabla III.1.'!$C$9</f>
        <v>Tabla III.1.</v>
      </c>
      <c r="K321" s="111" t="str">
        <f>+K320</f>
        <v>B</v>
      </c>
      <c r="L321" s="412"/>
    </row>
    <row r="322" spans="1:12" s="415" customFormat="1">
      <c r="A322" s="412" t="s">
        <v>2944</v>
      </c>
      <c r="B322" s="412" t="str">
        <f t="shared" ref="B322:B385" ca="1" si="125">IF(G322="01",(IF(TRIM&gt;1,CONCATENATE(ANUAL,"0",TRIM-1),CONCATENATE(ANUAL-1,"04"))),PERIODO)</f>
        <v>202503</v>
      </c>
      <c r="C322" s="412" t="str">
        <f t="shared" ref="C322:C385" ca="1" si="126">IF(G322="01","v2","v1")</f>
        <v>v1</v>
      </c>
      <c r="D322" s="413" t="str">
        <f ca="1">+D321</f>
        <v>04.01.01.</v>
      </c>
      <c r="E322" s="412">
        <f t="shared" ref="E322:E385" si="127">RUC</f>
        <v>0</v>
      </c>
      <c r="F322" s="414">
        <f ca="1">OFFSET('Tabla III.1.'!$H$46,H322-1,I322-1)</f>
        <v>0</v>
      </c>
      <c r="G322" s="412" t="str">
        <f ca="1">OFFSET('Tabla III.1.'!$H$1,0,I322-1)</f>
        <v>06</v>
      </c>
      <c r="H322" s="111">
        <f>+H321</f>
        <v>2</v>
      </c>
      <c r="I322" s="111">
        <f>+I321+1</f>
        <v>6</v>
      </c>
      <c r="J322" s="111" t="str">
        <f ca="1">+'Tabla III.1.'!$C$9</f>
        <v>Tabla III.1.</v>
      </c>
      <c r="K322" s="111" t="str">
        <f>+K321</f>
        <v>B</v>
      </c>
      <c r="L322" s="412"/>
    </row>
    <row r="323" spans="1:12" s="112" customFormat="1">
      <c r="A323" s="107" t="s">
        <v>2944</v>
      </c>
      <c r="B323" s="107" t="str">
        <f t="shared" ca="1" si="125"/>
        <v>202502</v>
      </c>
      <c r="C323" s="107" t="str">
        <f t="shared" ca="1" si="126"/>
        <v>v2</v>
      </c>
      <c r="D323" s="399" t="str">
        <f ca="1">OFFSET('Tabla III.1.'!$F$46,H323-1,0)</f>
        <v>04.01.01.01.</v>
      </c>
      <c r="E323" s="107">
        <f t="shared" si="127"/>
        <v>0</v>
      </c>
      <c r="F323" s="108">
        <f ca="1">OFFSET('Tabla III.1.'!$H$46,H323-1,I323-1)</f>
        <v>0</v>
      </c>
      <c r="G323" s="107" t="str">
        <f ca="1">OFFSET('Tabla III.1.'!$H$1,0,I323-1)</f>
        <v>01</v>
      </c>
      <c r="H323" s="110">
        <f>+H317+1</f>
        <v>3</v>
      </c>
      <c r="I323" s="110">
        <v>1</v>
      </c>
      <c r="J323" s="110" t="str">
        <f ca="1">+'Tabla III.1.'!$C$9</f>
        <v>Tabla III.1.</v>
      </c>
      <c r="K323" s="110" t="s">
        <v>2267</v>
      </c>
      <c r="L323" s="107">
        <f>+L317+1</f>
        <v>3</v>
      </c>
    </row>
    <row r="324" spans="1:12" s="112" customFormat="1">
      <c r="A324" s="107" t="s">
        <v>2944</v>
      </c>
      <c r="B324" s="107" t="str">
        <f t="shared" ca="1" si="125"/>
        <v>202503</v>
      </c>
      <c r="C324" s="107" t="str">
        <f t="shared" ca="1" si="126"/>
        <v>v1</v>
      </c>
      <c r="D324" s="399" t="str">
        <f ca="1">+D323</f>
        <v>04.01.01.01.</v>
      </c>
      <c r="E324" s="107">
        <f t="shared" si="127"/>
        <v>0</v>
      </c>
      <c r="F324" s="108">
        <f ca="1">OFFSET('Tabla III.1.'!$H$46,H324-1,I324-1)</f>
        <v>0</v>
      </c>
      <c r="G324" s="107" t="str">
        <f ca="1">OFFSET('Tabla III.1.'!$H$1,0,I324-1)</f>
        <v>02</v>
      </c>
      <c r="H324" s="110">
        <f>+H323</f>
        <v>3</v>
      </c>
      <c r="I324" s="110">
        <f>+I323+1</f>
        <v>2</v>
      </c>
      <c r="J324" s="110" t="str">
        <f ca="1">+'Tabla III.1.'!$C$9</f>
        <v>Tabla III.1.</v>
      </c>
      <c r="K324" s="110" t="str">
        <f>+K323</f>
        <v>B</v>
      </c>
      <c r="L324" s="107"/>
    </row>
    <row r="325" spans="1:12" s="112" customFormat="1">
      <c r="A325" s="107" t="s">
        <v>2944</v>
      </c>
      <c r="B325" s="107" t="str">
        <f t="shared" ca="1" si="125"/>
        <v>202503</v>
      </c>
      <c r="C325" s="107" t="str">
        <f t="shared" ca="1" si="126"/>
        <v>v1</v>
      </c>
      <c r="D325" s="399" t="str">
        <f ca="1">+D324</f>
        <v>04.01.01.01.</v>
      </c>
      <c r="E325" s="107">
        <f t="shared" si="127"/>
        <v>0</v>
      </c>
      <c r="F325" s="108">
        <f ca="1">OFFSET('Tabla III.1.'!$H$46,H325-1,I325-1)</f>
        <v>0</v>
      </c>
      <c r="G325" s="107" t="str">
        <f ca="1">OFFSET('Tabla III.1.'!$H$1,0,I325-1)</f>
        <v>03</v>
      </c>
      <c r="H325" s="110">
        <f>+H324</f>
        <v>3</v>
      </c>
      <c r="I325" s="110">
        <f>+I324+1</f>
        <v>3</v>
      </c>
      <c r="J325" s="110" t="str">
        <f ca="1">+'Tabla III.1.'!$C$9</f>
        <v>Tabla III.1.</v>
      </c>
      <c r="K325" s="110" t="str">
        <f>+K324</f>
        <v>B</v>
      </c>
      <c r="L325" s="107"/>
    </row>
    <row r="326" spans="1:12" s="112" customFormat="1">
      <c r="A326" s="107" t="s">
        <v>2944</v>
      </c>
      <c r="B326" s="107" t="str">
        <f t="shared" ca="1" si="125"/>
        <v>202503</v>
      </c>
      <c r="C326" s="107" t="str">
        <f t="shared" ca="1" si="126"/>
        <v>v1</v>
      </c>
      <c r="D326" s="399" t="str">
        <f ca="1">+D325</f>
        <v>04.01.01.01.</v>
      </c>
      <c r="E326" s="107">
        <f t="shared" si="127"/>
        <v>0</v>
      </c>
      <c r="F326" s="108">
        <f ca="1">OFFSET('Tabla III.1.'!$H$46,H326-1,I326-1)</f>
        <v>0</v>
      </c>
      <c r="G326" s="107" t="str">
        <f ca="1">OFFSET('Tabla III.1.'!$H$1,0,I326-1)</f>
        <v>04</v>
      </c>
      <c r="H326" s="110">
        <f>+H325</f>
        <v>3</v>
      </c>
      <c r="I326" s="110">
        <f>+I325+1</f>
        <v>4</v>
      </c>
      <c r="J326" s="110" t="str">
        <f ca="1">+'Tabla III.1.'!$C$9</f>
        <v>Tabla III.1.</v>
      </c>
      <c r="K326" s="110" t="str">
        <f>+K325</f>
        <v>B</v>
      </c>
      <c r="L326" s="107"/>
    </row>
    <row r="327" spans="1:12" s="112" customFormat="1">
      <c r="A327" s="107" t="s">
        <v>2944</v>
      </c>
      <c r="B327" s="107" t="str">
        <f t="shared" ca="1" si="125"/>
        <v>202503</v>
      </c>
      <c r="C327" s="107" t="str">
        <f t="shared" ca="1" si="126"/>
        <v>v1</v>
      </c>
      <c r="D327" s="399" t="str">
        <f ca="1">+D326</f>
        <v>04.01.01.01.</v>
      </c>
      <c r="E327" s="107">
        <f t="shared" si="127"/>
        <v>0</v>
      </c>
      <c r="F327" s="108">
        <f ca="1">OFFSET('Tabla III.1.'!$H$46,H327-1,I327-1)</f>
        <v>0</v>
      </c>
      <c r="G327" s="107" t="str">
        <f ca="1">OFFSET('Tabla III.1.'!$H$1,0,I327-1)</f>
        <v>05</v>
      </c>
      <c r="H327" s="110">
        <f>+H326</f>
        <v>3</v>
      </c>
      <c r="I327" s="110">
        <f>+I326+1</f>
        <v>5</v>
      </c>
      <c r="J327" s="110" t="str">
        <f ca="1">+'Tabla III.1.'!$C$9</f>
        <v>Tabla III.1.</v>
      </c>
      <c r="K327" s="110" t="str">
        <f>+K326</f>
        <v>B</v>
      </c>
      <c r="L327" s="107"/>
    </row>
    <row r="328" spans="1:12" s="112" customFormat="1">
      <c r="A328" s="107" t="s">
        <v>2944</v>
      </c>
      <c r="B328" s="107" t="str">
        <f t="shared" ca="1" si="125"/>
        <v>202503</v>
      </c>
      <c r="C328" s="107" t="str">
        <f t="shared" ca="1" si="126"/>
        <v>v1</v>
      </c>
      <c r="D328" s="399" t="str">
        <f ca="1">+D327</f>
        <v>04.01.01.01.</v>
      </c>
      <c r="E328" s="107">
        <f t="shared" si="127"/>
        <v>0</v>
      </c>
      <c r="F328" s="108">
        <f ca="1">OFFSET('Tabla III.1.'!$H$46,H328-1,I328-1)</f>
        <v>0</v>
      </c>
      <c r="G328" s="107" t="str">
        <f ca="1">OFFSET('Tabla III.1.'!$H$1,0,I328-1)</f>
        <v>06</v>
      </c>
      <c r="H328" s="110">
        <f>+H327</f>
        <v>3</v>
      </c>
      <c r="I328" s="110">
        <f>+I327+1</f>
        <v>6</v>
      </c>
      <c r="J328" s="110" t="str">
        <f ca="1">+'Tabla III.1.'!$C$9</f>
        <v>Tabla III.1.</v>
      </c>
      <c r="K328" s="110" t="str">
        <f>+K327</f>
        <v>B</v>
      </c>
      <c r="L328" s="107"/>
    </row>
    <row r="329" spans="1:12" s="415" customFormat="1">
      <c r="A329" s="412" t="s">
        <v>2944</v>
      </c>
      <c r="B329" s="412" t="str">
        <f t="shared" ca="1" si="125"/>
        <v>202502</v>
      </c>
      <c r="C329" s="412" t="str">
        <f t="shared" ca="1" si="126"/>
        <v>v2</v>
      </c>
      <c r="D329" s="413" t="str">
        <f ca="1">OFFSET('Tabla III.1.'!$F$46,H329-1,0)</f>
        <v>04.01.01.02.</v>
      </c>
      <c r="E329" s="412">
        <f t="shared" si="127"/>
        <v>0</v>
      </c>
      <c r="F329" s="414">
        <f ca="1">OFFSET('Tabla III.1.'!$H$46,H329-1,I329-1)</f>
        <v>0</v>
      </c>
      <c r="G329" s="412" t="str">
        <f ca="1">OFFSET('Tabla III.1.'!$H$1,0,I329-1)</f>
        <v>01</v>
      </c>
      <c r="H329" s="111">
        <f>+H323+1</f>
        <v>4</v>
      </c>
      <c r="I329" s="111">
        <v>1</v>
      </c>
      <c r="J329" s="111" t="str">
        <f ca="1">+'Tabla III.1.'!$C$9</f>
        <v>Tabla III.1.</v>
      </c>
      <c r="K329" s="111" t="s">
        <v>2267</v>
      </c>
      <c r="L329" s="412">
        <f>+L323+1</f>
        <v>4</v>
      </c>
    </row>
    <row r="330" spans="1:12" s="415" customFormat="1">
      <c r="A330" s="412" t="s">
        <v>2944</v>
      </c>
      <c r="B330" s="412" t="str">
        <f t="shared" ca="1" si="125"/>
        <v>202503</v>
      </c>
      <c r="C330" s="412" t="str">
        <f t="shared" ca="1" si="126"/>
        <v>v1</v>
      </c>
      <c r="D330" s="413" t="str">
        <f ca="1">+D329</f>
        <v>04.01.01.02.</v>
      </c>
      <c r="E330" s="412">
        <f t="shared" si="127"/>
        <v>0</v>
      </c>
      <c r="F330" s="414">
        <f ca="1">OFFSET('Tabla III.1.'!$H$46,H330-1,I330-1)</f>
        <v>0</v>
      </c>
      <c r="G330" s="412" t="str">
        <f ca="1">OFFSET('Tabla III.1.'!$H$1,0,I330-1)</f>
        <v>02</v>
      </c>
      <c r="H330" s="111">
        <f>+H329</f>
        <v>4</v>
      </c>
      <c r="I330" s="111">
        <f>+I329+1</f>
        <v>2</v>
      </c>
      <c r="J330" s="111" t="str">
        <f ca="1">+'Tabla III.1.'!$C$9</f>
        <v>Tabla III.1.</v>
      </c>
      <c r="K330" s="111" t="str">
        <f>+K329</f>
        <v>B</v>
      </c>
      <c r="L330" s="412"/>
    </row>
    <row r="331" spans="1:12" s="415" customFormat="1">
      <c r="A331" s="412" t="s">
        <v>2944</v>
      </c>
      <c r="B331" s="412" t="str">
        <f t="shared" ca="1" si="125"/>
        <v>202503</v>
      </c>
      <c r="C331" s="412" t="str">
        <f t="shared" ca="1" si="126"/>
        <v>v1</v>
      </c>
      <c r="D331" s="413" t="str">
        <f ca="1">+D330</f>
        <v>04.01.01.02.</v>
      </c>
      <c r="E331" s="412">
        <f t="shared" si="127"/>
        <v>0</v>
      </c>
      <c r="F331" s="414">
        <f ca="1">OFFSET('Tabla III.1.'!$H$46,H331-1,I331-1)</f>
        <v>0</v>
      </c>
      <c r="G331" s="412" t="str">
        <f ca="1">OFFSET('Tabla III.1.'!$H$1,0,I331-1)</f>
        <v>03</v>
      </c>
      <c r="H331" s="111">
        <f>+H330</f>
        <v>4</v>
      </c>
      <c r="I331" s="111">
        <f>+I330+1</f>
        <v>3</v>
      </c>
      <c r="J331" s="111" t="str">
        <f ca="1">+'Tabla III.1.'!$C$9</f>
        <v>Tabla III.1.</v>
      </c>
      <c r="K331" s="111" t="str">
        <f>+K330</f>
        <v>B</v>
      </c>
      <c r="L331" s="412"/>
    </row>
    <row r="332" spans="1:12" s="415" customFormat="1">
      <c r="A332" s="412" t="s">
        <v>2944</v>
      </c>
      <c r="B332" s="412" t="str">
        <f t="shared" ca="1" si="125"/>
        <v>202503</v>
      </c>
      <c r="C332" s="412" t="str">
        <f t="shared" ca="1" si="126"/>
        <v>v1</v>
      </c>
      <c r="D332" s="413" t="str">
        <f ca="1">+D331</f>
        <v>04.01.01.02.</v>
      </c>
      <c r="E332" s="412">
        <f t="shared" si="127"/>
        <v>0</v>
      </c>
      <c r="F332" s="414">
        <f ca="1">OFFSET('Tabla III.1.'!$H$46,H332-1,I332-1)</f>
        <v>0</v>
      </c>
      <c r="G332" s="412" t="str">
        <f ca="1">OFFSET('Tabla III.1.'!$H$1,0,I332-1)</f>
        <v>04</v>
      </c>
      <c r="H332" s="111">
        <f>+H331</f>
        <v>4</v>
      </c>
      <c r="I332" s="111">
        <f>+I331+1</f>
        <v>4</v>
      </c>
      <c r="J332" s="111" t="str">
        <f ca="1">+'Tabla III.1.'!$C$9</f>
        <v>Tabla III.1.</v>
      </c>
      <c r="K332" s="111" t="str">
        <f>+K331</f>
        <v>B</v>
      </c>
      <c r="L332" s="412"/>
    </row>
    <row r="333" spans="1:12" s="415" customFormat="1">
      <c r="A333" s="412" t="s">
        <v>2944</v>
      </c>
      <c r="B333" s="412" t="str">
        <f t="shared" ca="1" si="125"/>
        <v>202503</v>
      </c>
      <c r="C333" s="412" t="str">
        <f t="shared" ca="1" si="126"/>
        <v>v1</v>
      </c>
      <c r="D333" s="413" t="str">
        <f ca="1">+D332</f>
        <v>04.01.01.02.</v>
      </c>
      <c r="E333" s="412">
        <f t="shared" si="127"/>
        <v>0</v>
      </c>
      <c r="F333" s="414">
        <f ca="1">OFFSET('Tabla III.1.'!$H$46,H333-1,I333-1)</f>
        <v>0</v>
      </c>
      <c r="G333" s="412" t="str">
        <f ca="1">OFFSET('Tabla III.1.'!$H$1,0,I333-1)</f>
        <v>05</v>
      </c>
      <c r="H333" s="111">
        <f>+H332</f>
        <v>4</v>
      </c>
      <c r="I333" s="111">
        <f>+I332+1</f>
        <v>5</v>
      </c>
      <c r="J333" s="111" t="str">
        <f ca="1">+'Tabla III.1.'!$C$9</f>
        <v>Tabla III.1.</v>
      </c>
      <c r="K333" s="111" t="str">
        <f>+K332</f>
        <v>B</v>
      </c>
      <c r="L333" s="412"/>
    </row>
    <row r="334" spans="1:12" s="415" customFormat="1">
      <c r="A334" s="412" t="s">
        <v>2944</v>
      </c>
      <c r="B334" s="412" t="str">
        <f t="shared" ca="1" si="125"/>
        <v>202503</v>
      </c>
      <c r="C334" s="412" t="str">
        <f t="shared" ca="1" si="126"/>
        <v>v1</v>
      </c>
      <c r="D334" s="413" t="str">
        <f ca="1">+D333</f>
        <v>04.01.01.02.</v>
      </c>
      <c r="E334" s="412">
        <f t="shared" si="127"/>
        <v>0</v>
      </c>
      <c r="F334" s="414">
        <f ca="1">OFFSET('Tabla III.1.'!$H$46,H334-1,I334-1)</f>
        <v>0</v>
      </c>
      <c r="G334" s="412" t="str">
        <f ca="1">OFFSET('Tabla III.1.'!$H$1,0,I334-1)</f>
        <v>06</v>
      </c>
      <c r="H334" s="111">
        <f>+H333</f>
        <v>4</v>
      </c>
      <c r="I334" s="111">
        <f>+I333+1</f>
        <v>6</v>
      </c>
      <c r="J334" s="111" t="str">
        <f ca="1">+'Tabla III.1.'!$C$9</f>
        <v>Tabla III.1.</v>
      </c>
      <c r="K334" s="111" t="str">
        <f>+K333</f>
        <v>B</v>
      </c>
      <c r="L334" s="412"/>
    </row>
    <row r="335" spans="1:12" s="112" customFormat="1">
      <c r="A335" s="107" t="s">
        <v>2944</v>
      </c>
      <c r="B335" s="107" t="str">
        <f t="shared" ca="1" si="125"/>
        <v>202502</v>
      </c>
      <c r="C335" s="107" t="str">
        <f t="shared" ca="1" si="126"/>
        <v>v2</v>
      </c>
      <c r="D335" s="399" t="str">
        <f ca="1">OFFSET('Tabla III.1.'!$F$46,H335-1,0)</f>
        <v>04.01.02.</v>
      </c>
      <c r="E335" s="107">
        <f t="shared" si="127"/>
        <v>0</v>
      </c>
      <c r="F335" s="108">
        <f ca="1">OFFSET('Tabla III.1.'!$H$46,H335-1,I335-1)</f>
        <v>0</v>
      </c>
      <c r="G335" s="107" t="str">
        <f ca="1">OFFSET('Tabla III.1.'!$H$1,0,I335-1)</f>
        <v>01</v>
      </c>
      <c r="H335" s="110">
        <f>+H329+1</f>
        <v>5</v>
      </c>
      <c r="I335" s="110">
        <v>1</v>
      </c>
      <c r="J335" s="110" t="str">
        <f ca="1">+'Tabla III.1.'!$C$9</f>
        <v>Tabla III.1.</v>
      </c>
      <c r="K335" s="110" t="s">
        <v>2267</v>
      </c>
      <c r="L335" s="107">
        <f>+L329+1</f>
        <v>5</v>
      </c>
    </row>
    <row r="336" spans="1:12" s="112" customFormat="1">
      <c r="A336" s="107" t="s">
        <v>2944</v>
      </c>
      <c r="B336" s="107" t="str">
        <f t="shared" ca="1" si="125"/>
        <v>202503</v>
      </c>
      <c r="C336" s="107" t="str">
        <f t="shared" ca="1" si="126"/>
        <v>v1</v>
      </c>
      <c r="D336" s="399" t="str">
        <f ca="1">+D335</f>
        <v>04.01.02.</v>
      </c>
      <c r="E336" s="107">
        <f t="shared" si="127"/>
        <v>0</v>
      </c>
      <c r="F336" s="108">
        <f ca="1">OFFSET('Tabla III.1.'!$H$46,H336-1,I336-1)</f>
        <v>0</v>
      </c>
      <c r="G336" s="107" t="str">
        <f ca="1">OFFSET('Tabla III.1.'!$H$1,0,I336-1)</f>
        <v>02</v>
      </c>
      <c r="H336" s="110">
        <f>+H335</f>
        <v>5</v>
      </c>
      <c r="I336" s="110">
        <f>+I335+1</f>
        <v>2</v>
      </c>
      <c r="J336" s="110" t="str">
        <f ca="1">+'Tabla III.1.'!$C$9</f>
        <v>Tabla III.1.</v>
      </c>
      <c r="K336" s="110" t="str">
        <f>+K335</f>
        <v>B</v>
      </c>
      <c r="L336" s="107"/>
    </row>
    <row r="337" spans="1:12" s="112" customFormat="1">
      <c r="A337" s="107" t="s">
        <v>2944</v>
      </c>
      <c r="B337" s="107" t="str">
        <f t="shared" ca="1" si="125"/>
        <v>202503</v>
      </c>
      <c r="C337" s="107" t="str">
        <f t="shared" ca="1" si="126"/>
        <v>v1</v>
      </c>
      <c r="D337" s="399" t="str">
        <f ca="1">+D336</f>
        <v>04.01.02.</v>
      </c>
      <c r="E337" s="107">
        <f t="shared" si="127"/>
        <v>0</v>
      </c>
      <c r="F337" s="108">
        <f ca="1">OFFSET('Tabla III.1.'!$H$46,H337-1,I337-1)</f>
        <v>0</v>
      </c>
      <c r="G337" s="107" t="str">
        <f ca="1">OFFSET('Tabla III.1.'!$H$1,0,I337-1)</f>
        <v>03</v>
      </c>
      <c r="H337" s="110">
        <f>+H336</f>
        <v>5</v>
      </c>
      <c r="I337" s="110">
        <f>+I336+1</f>
        <v>3</v>
      </c>
      <c r="J337" s="110" t="str">
        <f ca="1">+'Tabla III.1.'!$C$9</f>
        <v>Tabla III.1.</v>
      </c>
      <c r="K337" s="110" t="str">
        <f>+K336</f>
        <v>B</v>
      </c>
      <c r="L337" s="107"/>
    </row>
    <row r="338" spans="1:12" s="112" customFormat="1">
      <c r="A338" s="107" t="s">
        <v>2944</v>
      </c>
      <c r="B338" s="107" t="str">
        <f t="shared" ca="1" si="125"/>
        <v>202503</v>
      </c>
      <c r="C338" s="107" t="str">
        <f t="shared" ca="1" si="126"/>
        <v>v1</v>
      </c>
      <c r="D338" s="399" t="str">
        <f ca="1">+D337</f>
        <v>04.01.02.</v>
      </c>
      <c r="E338" s="107">
        <f t="shared" si="127"/>
        <v>0</v>
      </c>
      <c r="F338" s="108">
        <f ca="1">OFFSET('Tabla III.1.'!$H$46,H338-1,I338-1)</f>
        <v>0</v>
      </c>
      <c r="G338" s="107" t="str">
        <f ca="1">OFFSET('Tabla III.1.'!$H$1,0,I338-1)</f>
        <v>04</v>
      </c>
      <c r="H338" s="110">
        <f>+H337</f>
        <v>5</v>
      </c>
      <c r="I338" s="110">
        <f>+I337+1</f>
        <v>4</v>
      </c>
      <c r="J338" s="110" t="str">
        <f ca="1">+'Tabla III.1.'!$C$9</f>
        <v>Tabla III.1.</v>
      </c>
      <c r="K338" s="110" t="str">
        <f>+K337</f>
        <v>B</v>
      </c>
      <c r="L338" s="107"/>
    </row>
    <row r="339" spans="1:12" s="112" customFormat="1">
      <c r="A339" s="107" t="s">
        <v>2944</v>
      </c>
      <c r="B339" s="107" t="str">
        <f t="shared" ca="1" si="125"/>
        <v>202503</v>
      </c>
      <c r="C339" s="107" t="str">
        <f t="shared" ca="1" si="126"/>
        <v>v1</v>
      </c>
      <c r="D339" s="399" t="str">
        <f ca="1">+D338</f>
        <v>04.01.02.</v>
      </c>
      <c r="E339" s="107">
        <f t="shared" si="127"/>
        <v>0</v>
      </c>
      <c r="F339" s="108">
        <f ca="1">OFFSET('Tabla III.1.'!$H$46,H339-1,I339-1)</f>
        <v>0</v>
      </c>
      <c r="G339" s="107" t="str">
        <f ca="1">OFFSET('Tabla III.1.'!$H$1,0,I339-1)</f>
        <v>05</v>
      </c>
      <c r="H339" s="110">
        <f>+H338</f>
        <v>5</v>
      </c>
      <c r="I339" s="110">
        <f>+I338+1</f>
        <v>5</v>
      </c>
      <c r="J339" s="110" t="str">
        <f ca="1">+'Tabla III.1.'!$C$9</f>
        <v>Tabla III.1.</v>
      </c>
      <c r="K339" s="110" t="str">
        <f>+K338</f>
        <v>B</v>
      </c>
      <c r="L339" s="107"/>
    </row>
    <row r="340" spans="1:12" s="112" customFormat="1">
      <c r="A340" s="107" t="s">
        <v>2944</v>
      </c>
      <c r="B340" s="107" t="str">
        <f t="shared" ca="1" si="125"/>
        <v>202503</v>
      </c>
      <c r="C340" s="107" t="str">
        <f t="shared" ca="1" si="126"/>
        <v>v1</v>
      </c>
      <c r="D340" s="399" t="str">
        <f ca="1">+D339</f>
        <v>04.01.02.</v>
      </c>
      <c r="E340" s="107">
        <f t="shared" si="127"/>
        <v>0</v>
      </c>
      <c r="F340" s="108">
        <f ca="1">OFFSET('Tabla III.1.'!$H$46,H340-1,I340-1)</f>
        <v>0</v>
      </c>
      <c r="G340" s="107" t="str">
        <f ca="1">OFFSET('Tabla III.1.'!$H$1,0,I340-1)</f>
        <v>06</v>
      </c>
      <c r="H340" s="110">
        <f>+H339</f>
        <v>5</v>
      </c>
      <c r="I340" s="110">
        <f>+I339+1</f>
        <v>6</v>
      </c>
      <c r="J340" s="110" t="str">
        <f ca="1">+'Tabla III.1.'!$C$9</f>
        <v>Tabla III.1.</v>
      </c>
      <c r="K340" s="110" t="str">
        <f>+K339</f>
        <v>B</v>
      </c>
      <c r="L340" s="107"/>
    </row>
    <row r="341" spans="1:12" s="415" customFormat="1">
      <c r="A341" s="412" t="s">
        <v>2944</v>
      </c>
      <c r="B341" s="412" t="str">
        <f t="shared" ca="1" si="125"/>
        <v>202502</v>
      </c>
      <c r="C341" s="412" t="str">
        <f t="shared" ca="1" si="126"/>
        <v>v2</v>
      </c>
      <c r="D341" s="413" t="str">
        <f ca="1">OFFSET('Tabla III.1.'!$F$46,H341-1,0)</f>
        <v>04.01.02.01.</v>
      </c>
      <c r="E341" s="412">
        <f t="shared" si="127"/>
        <v>0</v>
      </c>
      <c r="F341" s="414">
        <f ca="1">OFFSET('Tabla III.1.'!$H$46,H341-1,I341-1)</f>
        <v>0</v>
      </c>
      <c r="G341" s="412" t="str">
        <f ca="1">OFFSET('Tabla III.1.'!$H$1,0,I341-1)</f>
        <v>01</v>
      </c>
      <c r="H341" s="111">
        <f>+H335+1</f>
        <v>6</v>
      </c>
      <c r="I341" s="111">
        <v>1</v>
      </c>
      <c r="J341" s="111" t="str">
        <f ca="1">+'Tabla III.1.'!$C$9</f>
        <v>Tabla III.1.</v>
      </c>
      <c r="K341" s="111" t="s">
        <v>2267</v>
      </c>
      <c r="L341" s="412">
        <f>+L335+1</f>
        <v>6</v>
      </c>
    </row>
    <row r="342" spans="1:12" s="415" customFormat="1">
      <c r="A342" s="412" t="s">
        <v>2944</v>
      </c>
      <c r="B342" s="412" t="str">
        <f t="shared" ca="1" si="125"/>
        <v>202503</v>
      </c>
      <c r="C342" s="412" t="str">
        <f t="shared" ca="1" si="126"/>
        <v>v1</v>
      </c>
      <c r="D342" s="413" t="str">
        <f ca="1">+D341</f>
        <v>04.01.02.01.</v>
      </c>
      <c r="E342" s="412">
        <f t="shared" si="127"/>
        <v>0</v>
      </c>
      <c r="F342" s="414">
        <f ca="1">OFFSET('Tabla III.1.'!$H$46,H342-1,I342-1)</f>
        <v>0</v>
      </c>
      <c r="G342" s="412" t="str">
        <f ca="1">OFFSET('Tabla III.1.'!$H$1,0,I342-1)</f>
        <v>02</v>
      </c>
      <c r="H342" s="111">
        <f>+H341</f>
        <v>6</v>
      </c>
      <c r="I342" s="111">
        <f>+I341+1</f>
        <v>2</v>
      </c>
      <c r="J342" s="111" t="str">
        <f ca="1">+'Tabla III.1.'!$C$9</f>
        <v>Tabla III.1.</v>
      </c>
      <c r="K342" s="111" t="str">
        <f>+K341</f>
        <v>B</v>
      </c>
      <c r="L342" s="412"/>
    </row>
    <row r="343" spans="1:12" s="415" customFormat="1">
      <c r="A343" s="412" t="s">
        <v>2944</v>
      </c>
      <c r="B343" s="412" t="str">
        <f t="shared" ca="1" si="125"/>
        <v>202503</v>
      </c>
      <c r="C343" s="412" t="str">
        <f t="shared" ca="1" si="126"/>
        <v>v1</v>
      </c>
      <c r="D343" s="413" t="str">
        <f ca="1">+D342</f>
        <v>04.01.02.01.</v>
      </c>
      <c r="E343" s="412">
        <f t="shared" si="127"/>
        <v>0</v>
      </c>
      <c r="F343" s="414">
        <f ca="1">OFFSET('Tabla III.1.'!$H$46,H343-1,I343-1)</f>
        <v>0</v>
      </c>
      <c r="G343" s="412" t="str">
        <f ca="1">OFFSET('Tabla III.1.'!$H$1,0,I343-1)</f>
        <v>03</v>
      </c>
      <c r="H343" s="111">
        <f>+H342</f>
        <v>6</v>
      </c>
      <c r="I343" s="111">
        <f>+I342+1</f>
        <v>3</v>
      </c>
      <c r="J343" s="111" t="str">
        <f ca="1">+'Tabla III.1.'!$C$9</f>
        <v>Tabla III.1.</v>
      </c>
      <c r="K343" s="111" t="str">
        <f>+K342</f>
        <v>B</v>
      </c>
      <c r="L343" s="412"/>
    </row>
    <row r="344" spans="1:12" s="415" customFormat="1">
      <c r="A344" s="412" t="s">
        <v>2944</v>
      </c>
      <c r="B344" s="412" t="str">
        <f t="shared" ca="1" si="125"/>
        <v>202503</v>
      </c>
      <c r="C344" s="412" t="str">
        <f t="shared" ca="1" si="126"/>
        <v>v1</v>
      </c>
      <c r="D344" s="413" t="str">
        <f ca="1">+D343</f>
        <v>04.01.02.01.</v>
      </c>
      <c r="E344" s="412">
        <f t="shared" si="127"/>
        <v>0</v>
      </c>
      <c r="F344" s="414">
        <f ca="1">OFFSET('Tabla III.1.'!$H$46,H344-1,I344-1)</f>
        <v>0</v>
      </c>
      <c r="G344" s="412" t="str">
        <f ca="1">OFFSET('Tabla III.1.'!$H$1,0,I344-1)</f>
        <v>04</v>
      </c>
      <c r="H344" s="111">
        <f>+H343</f>
        <v>6</v>
      </c>
      <c r="I344" s="111">
        <f>+I343+1</f>
        <v>4</v>
      </c>
      <c r="J344" s="111" t="str">
        <f ca="1">+'Tabla III.1.'!$C$9</f>
        <v>Tabla III.1.</v>
      </c>
      <c r="K344" s="111" t="str">
        <f>+K343</f>
        <v>B</v>
      </c>
      <c r="L344" s="412"/>
    </row>
    <row r="345" spans="1:12" s="415" customFormat="1">
      <c r="A345" s="412" t="s">
        <v>2944</v>
      </c>
      <c r="B345" s="412" t="str">
        <f t="shared" ca="1" si="125"/>
        <v>202503</v>
      </c>
      <c r="C345" s="412" t="str">
        <f t="shared" ca="1" si="126"/>
        <v>v1</v>
      </c>
      <c r="D345" s="413" t="str">
        <f ca="1">+D344</f>
        <v>04.01.02.01.</v>
      </c>
      <c r="E345" s="412">
        <f t="shared" si="127"/>
        <v>0</v>
      </c>
      <c r="F345" s="414">
        <f ca="1">OFFSET('Tabla III.1.'!$H$46,H345-1,I345-1)</f>
        <v>0</v>
      </c>
      <c r="G345" s="412" t="str">
        <f ca="1">OFFSET('Tabla III.1.'!$H$1,0,I345-1)</f>
        <v>05</v>
      </c>
      <c r="H345" s="111">
        <f>+H344</f>
        <v>6</v>
      </c>
      <c r="I345" s="111">
        <f>+I344+1</f>
        <v>5</v>
      </c>
      <c r="J345" s="111" t="str">
        <f ca="1">+'Tabla III.1.'!$C$9</f>
        <v>Tabla III.1.</v>
      </c>
      <c r="K345" s="111" t="str">
        <f>+K344</f>
        <v>B</v>
      </c>
      <c r="L345" s="412"/>
    </row>
    <row r="346" spans="1:12" s="415" customFormat="1">
      <c r="A346" s="412" t="s">
        <v>2944</v>
      </c>
      <c r="B346" s="412" t="str">
        <f t="shared" ca="1" si="125"/>
        <v>202503</v>
      </c>
      <c r="C346" s="412" t="str">
        <f t="shared" ca="1" si="126"/>
        <v>v1</v>
      </c>
      <c r="D346" s="413" t="str">
        <f ca="1">+D345</f>
        <v>04.01.02.01.</v>
      </c>
      <c r="E346" s="412">
        <f t="shared" si="127"/>
        <v>0</v>
      </c>
      <c r="F346" s="414">
        <f ca="1">OFFSET('Tabla III.1.'!$H$46,H346-1,I346-1)</f>
        <v>0</v>
      </c>
      <c r="G346" s="412" t="str">
        <f ca="1">OFFSET('Tabla III.1.'!$H$1,0,I346-1)</f>
        <v>06</v>
      </c>
      <c r="H346" s="111">
        <f>+H345</f>
        <v>6</v>
      </c>
      <c r="I346" s="111">
        <f>+I345+1</f>
        <v>6</v>
      </c>
      <c r="J346" s="111" t="str">
        <f ca="1">+'Tabla III.1.'!$C$9</f>
        <v>Tabla III.1.</v>
      </c>
      <c r="K346" s="111" t="str">
        <f>+K345</f>
        <v>B</v>
      </c>
      <c r="L346" s="412"/>
    </row>
    <row r="347" spans="1:12" s="112" customFormat="1">
      <c r="A347" s="107" t="s">
        <v>2944</v>
      </c>
      <c r="B347" s="107" t="str">
        <f t="shared" ca="1" si="125"/>
        <v>202502</v>
      </c>
      <c r="C347" s="107" t="str">
        <f t="shared" ca="1" si="126"/>
        <v>v2</v>
      </c>
      <c r="D347" s="399" t="str">
        <f ca="1">OFFSET('Tabla III.1.'!$F$46,H347-1,0)</f>
        <v>04.01.02.02.</v>
      </c>
      <c r="E347" s="107">
        <f t="shared" si="127"/>
        <v>0</v>
      </c>
      <c r="F347" s="108">
        <f ca="1">OFFSET('Tabla III.1.'!$H$46,H347-1,I347-1)</f>
        <v>0</v>
      </c>
      <c r="G347" s="107" t="str">
        <f ca="1">OFFSET('Tabla III.1.'!$H$1,0,I347-1)</f>
        <v>01</v>
      </c>
      <c r="H347" s="110">
        <f>+H341+1</f>
        <v>7</v>
      </c>
      <c r="I347" s="110">
        <v>1</v>
      </c>
      <c r="J347" s="110" t="str">
        <f ca="1">+'Tabla III.1.'!$C$9</f>
        <v>Tabla III.1.</v>
      </c>
      <c r="K347" s="110" t="s">
        <v>2267</v>
      </c>
      <c r="L347" s="107">
        <f>+L341+1</f>
        <v>7</v>
      </c>
    </row>
    <row r="348" spans="1:12" s="112" customFormat="1">
      <c r="A348" s="107" t="s">
        <v>2944</v>
      </c>
      <c r="B348" s="107" t="str">
        <f t="shared" ca="1" si="125"/>
        <v>202503</v>
      </c>
      <c r="C348" s="107" t="str">
        <f t="shared" ca="1" si="126"/>
        <v>v1</v>
      </c>
      <c r="D348" s="399" t="str">
        <f ca="1">+D347</f>
        <v>04.01.02.02.</v>
      </c>
      <c r="E348" s="107">
        <f t="shared" si="127"/>
        <v>0</v>
      </c>
      <c r="F348" s="108">
        <f ca="1">OFFSET('Tabla III.1.'!$H$46,H348-1,I348-1)</f>
        <v>0</v>
      </c>
      <c r="G348" s="107" t="str">
        <f ca="1">OFFSET('Tabla III.1.'!$H$1,0,I348-1)</f>
        <v>02</v>
      </c>
      <c r="H348" s="110">
        <f>+H347</f>
        <v>7</v>
      </c>
      <c r="I348" s="110">
        <f>+I347+1</f>
        <v>2</v>
      </c>
      <c r="J348" s="110" t="str">
        <f ca="1">+'Tabla III.1.'!$C$9</f>
        <v>Tabla III.1.</v>
      </c>
      <c r="K348" s="110" t="str">
        <f>+K347</f>
        <v>B</v>
      </c>
      <c r="L348" s="107"/>
    </row>
    <row r="349" spans="1:12" s="112" customFormat="1">
      <c r="A349" s="107" t="s">
        <v>2944</v>
      </c>
      <c r="B349" s="107" t="str">
        <f t="shared" ca="1" si="125"/>
        <v>202503</v>
      </c>
      <c r="C349" s="107" t="str">
        <f t="shared" ca="1" si="126"/>
        <v>v1</v>
      </c>
      <c r="D349" s="399" t="str">
        <f ca="1">+D348</f>
        <v>04.01.02.02.</v>
      </c>
      <c r="E349" s="107">
        <f t="shared" si="127"/>
        <v>0</v>
      </c>
      <c r="F349" s="108">
        <f ca="1">OFFSET('Tabla III.1.'!$H$46,H349-1,I349-1)</f>
        <v>0</v>
      </c>
      <c r="G349" s="107" t="str">
        <f ca="1">OFFSET('Tabla III.1.'!$H$1,0,I349-1)</f>
        <v>03</v>
      </c>
      <c r="H349" s="110">
        <f>+H348</f>
        <v>7</v>
      </c>
      <c r="I349" s="110">
        <f>+I348+1</f>
        <v>3</v>
      </c>
      <c r="J349" s="110" t="str">
        <f ca="1">+'Tabla III.1.'!$C$9</f>
        <v>Tabla III.1.</v>
      </c>
      <c r="K349" s="110" t="str">
        <f>+K348</f>
        <v>B</v>
      </c>
      <c r="L349" s="107"/>
    </row>
    <row r="350" spans="1:12" s="112" customFormat="1">
      <c r="A350" s="107" t="s">
        <v>2944</v>
      </c>
      <c r="B350" s="107" t="str">
        <f t="shared" ca="1" si="125"/>
        <v>202503</v>
      </c>
      <c r="C350" s="107" t="str">
        <f t="shared" ca="1" si="126"/>
        <v>v1</v>
      </c>
      <c r="D350" s="399" t="str">
        <f ca="1">+D349</f>
        <v>04.01.02.02.</v>
      </c>
      <c r="E350" s="107">
        <f t="shared" si="127"/>
        <v>0</v>
      </c>
      <c r="F350" s="108">
        <f ca="1">OFFSET('Tabla III.1.'!$H$46,H350-1,I350-1)</f>
        <v>0</v>
      </c>
      <c r="G350" s="107" t="str">
        <f ca="1">OFFSET('Tabla III.1.'!$H$1,0,I350-1)</f>
        <v>04</v>
      </c>
      <c r="H350" s="110">
        <f>+H349</f>
        <v>7</v>
      </c>
      <c r="I350" s="110">
        <f>+I349+1</f>
        <v>4</v>
      </c>
      <c r="J350" s="110" t="str">
        <f ca="1">+'Tabla III.1.'!$C$9</f>
        <v>Tabla III.1.</v>
      </c>
      <c r="K350" s="110" t="str">
        <f>+K349</f>
        <v>B</v>
      </c>
      <c r="L350" s="107"/>
    </row>
    <row r="351" spans="1:12" s="112" customFormat="1">
      <c r="A351" s="107" t="s">
        <v>2944</v>
      </c>
      <c r="B351" s="107" t="str">
        <f t="shared" ca="1" si="125"/>
        <v>202503</v>
      </c>
      <c r="C351" s="107" t="str">
        <f t="shared" ca="1" si="126"/>
        <v>v1</v>
      </c>
      <c r="D351" s="399" t="str">
        <f ca="1">+D350</f>
        <v>04.01.02.02.</v>
      </c>
      <c r="E351" s="107">
        <f t="shared" si="127"/>
        <v>0</v>
      </c>
      <c r="F351" s="108">
        <f ca="1">OFFSET('Tabla III.1.'!$H$46,H351-1,I351-1)</f>
        <v>0</v>
      </c>
      <c r="G351" s="107" t="str">
        <f ca="1">OFFSET('Tabla III.1.'!$H$1,0,I351-1)</f>
        <v>05</v>
      </c>
      <c r="H351" s="110">
        <f>+H350</f>
        <v>7</v>
      </c>
      <c r="I351" s="110">
        <f>+I350+1</f>
        <v>5</v>
      </c>
      <c r="J351" s="110" t="str">
        <f ca="1">+'Tabla III.1.'!$C$9</f>
        <v>Tabla III.1.</v>
      </c>
      <c r="K351" s="110" t="str">
        <f>+K350</f>
        <v>B</v>
      </c>
      <c r="L351" s="107"/>
    </row>
    <row r="352" spans="1:12" s="112" customFormat="1">
      <c r="A352" s="107" t="s">
        <v>2944</v>
      </c>
      <c r="B352" s="107" t="str">
        <f t="shared" ca="1" si="125"/>
        <v>202503</v>
      </c>
      <c r="C352" s="107" t="str">
        <f t="shared" ca="1" si="126"/>
        <v>v1</v>
      </c>
      <c r="D352" s="399" t="str">
        <f ca="1">+D351</f>
        <v>04.01.02.02.</v>
      </c>
      <c r="E352" s="107">
        <f t="shared" si="127"/>
        <v>0</v>
      </c>
      <c r="F352" s="108">
        <f ca="1">OFFSET('Tabla III.1.'!$H$46,H352-1,I352-1)</f>
        <v>0</v>
      </c>
      <c r="G352" s="107" t="str">
        <f ca="1">OFFSET('Tabla III.1.'!$H$1,0,I352-1)</f>
        <v>06</v>
      </c>
      <c r="H352" s="110">
        <f>+H351</f>
        <v>7</v>
      </c>
      <c r="I352" s="110">
        <f>+I351+1</f>
        <v>6</v>
      </c>
      <c r="J352" s="110" t="str">
        <f ca="1">+'Tabla III.1.'!$C$9</f>
        <v>Tabla III.1.</v>
      </c>
      <c r="K352" s="110" t="str">
        <f>+K351</f>
        <v>B</v>
      </c>
      <c r="L352" s="107"/>
    </row>
    <row r="353" spans="1:12" s="415" customFormat="1">
      <c r="A353" s="412" t="s">
        <v>2944</v>
      </c>
      <c r="B353" s="412" t="str">
        <f t="shared" ca="1" si="125"/>
        <v>202502</v>
      </c>
      <c r="C353" s="412" t="str">
        <f t="shared" ca="1" si="126"/>
        <v>v2</v>
      </c>
      <c r="D353" s="413" t="str">
        <f ca="1">OFFSET('Tabla III.1.'!$F$46,H353-1,0)</f>
        <v>04.01.03.</v>
      </c>
      <c r="E353" s="412">
        <f t="shared" si="127"/>
        <v>0</v>
      </c>
      <c r="F353" s="414">
        <f ca="1">OFFSET('Tabla III.1.'!$H$46,H353-1,I353-1)</f>
        <v>0</v>
      </c>
      <c r="G353" s="412" t="str">
        <f ca="1">OFFSET('Tabla III.1.'!$H$1,0,I353-1)</f>
        <v>01</v>
      </c>
      <c r="H353" s="111">
        <f>+H347+1</f>
        <v>8</v>
      </c>
      <c r="I353" s="111">
        <v>1</v>
      </c>
      <c r="J353" s="111" t="str">
        <f ca="1">+'Tabla III.1.'!$C$9</f>
        <v>Tabla III.1.</v>
      </c>
      <c r="K353" s="111" t="s">
        <v>2267</v>
      </c>
      <c r="L353" s="412">
        <f>+L347+1</f>
        <v>8</v>
      </c>
    </row>
    <row r="354" spans="1:12" s="415" customFormat="1">
      <c r="A354" s="412" t="s">
        <v>2944</v>
      </c>
      <c r="B354" s="412" t="str">
        <f t="shared" ca="1" si="125"/>
        <v>202503</v>
      </c>
      <c r="C354" s="412" t="str">
        <f t="shared" ca="1" si="126"/>
        <v>v1</v>
      </c>
      <c r="D354" s="413" t="str">
        <f ca="1">+D353</f>
        <v>04.01.03.</v>
      </c>
      <c r="E354" s="412">
        <f t="shared" si="127"/>
        <v>0</v>
      </c>
      <c r="F354" s="414">
        <f ca="1">OFFSET('Tabla III.1.'!$H$46,H354-1,I354-1)</f>
        <v>0</v>
      </c>
      <c r="G354" s="412" t="str">
        <f ca="1">OFFSET('Tabla III.1.'!$H$1,0,I354-1)</f>
        <v>02</v>
      </c>
      <c r="H354" s="111">
        <f>+H353</f>
        <v>8</v>
      </c>
      <c r="I354" s="111">
        <f>+I353+1</f>
        <v>2</v>
      </c>
      <c r="J354" s="111" t="str">
        <f ca="1">+'Tabla III.1.'!$C$9</f>
        <v>Tabla III.1.</v>
      </c>
      <c r="K354" s="111" t="str">
        <f>+K353</f>
        <v>B</v>
      </c>
      <c r="L354" s="412"/>
    </row>
    <row r="355" spans="1:12" s="415" customFormat="1">
      <c r="A355" s="412" t="s">
        <v>2944</v>
      </c>
      <c r="B355" s="412" t="str">
        <f t="shared" ca="1" si="125"/>
        <v>202503</v>
      </c>
      <c r="C355" s="412" t="str">
        <f t="shared" ca="1" si="126"/>
        <v>v1</v>
      </c>
      <c r="D355" s="413" t="str">
        <f ca="1">+D354</f>
        <v>04.01.03.</v>
      </c>
      <c r="E355" s="412">
        <f t="shared" si="127"/>
        <v>0</v>
      </c>
      <c r="F355" s="414">
        <f ca="1">OFFSET('Tabla III.1.'!$H$46,H355-1,I355-1)</f>
        <v>0</v>
      </c>
      <c r="G355" s="412" t="str">
        <f ca="1">OFFSET('Tabla III.1.'!$H$1,0,I355-1)</f>
        <v>03</v>
      </c>
      <c r="H355" s="111">
        <f>+H354</f>
        <v>8</v>
      </c>
      <c r="I355" s="111">
        <f>+I354+1</f>
        <v>3</v>
      </c>
      <c r="J355" s="111" t="str">
        <f ca="1">+'Tabla III.1.'!$C$9</f>
        <v>Tabla III.1.</v>
      </c>
      <c r="K355" s="111" t="str">
        <f>+K354</f>
        <v>B</v>
      </c>
      <c r="L355" s="412"/>
    </row>
    <row r="356" spans="1:12" s="415" customFormat="1">
      <c r="A356" s="412" t="s">
        <v>2944</v>
      </c>
      <c r="B356" s="412" t="str">
        <f t="shared" ca="1" si="125"/>
        <v>202503</v>
      </c>
      <c r="C356" s="412" t="str">
        <f t="shared" ca="1" si="126"/>
        <v>v1</v>
      </c>
      <c r="D356" s="413" t="str">
        <f ca="1">+D355</f>
        <v>04.01.03.</v>
      </c>
      <c r="E356" s="412">
        <f t="shared" si="127"/>
        <v>0</v>
      </c>
      <c r="F356" s="414">
        <f ca="1">OFFSET('Tabla III.1.'!$H$46,H356-1,I356-1)</f>
        <v>0</v>
      </c>
      <c r="G356" s="412" t="str">
        <f ca="1">OFFSET('Tabla III.1.'!$H$1,0,I356-1)</f>
        <v>04</v>
      </c>
      <c r="H356" s="111">
        <f>+H355</f>
        <v>8</v>
      </c>
      <c r="I356" s="111">
        <f>+I355+1</f>
        <v>4</v>
      </c>
      <c r="J356" s="111" t="str">
        <f ca="1">+'Tabla III.1.'!$C$9</f>
        <v>Tabla III.1.</v>
      </c>
      <c r="K356" s="111" t="str">
        <f>+K355</f>
        <v>B</v>
      </c>
      <c r="L356" s="412"/>
    </row>
    <row r="357" spans="1:12" s="415" customFormat="1">
      <c r="A357" s="412" t="s">
        <v>2944</v>
      </c>
      <c r="B357" s="412" t="str">
        <f t="shared" ca="1" si="125"/>
        <v>202503</v>
      </c>
      <c r="C357" s="412" t="str">
        <f t="shared" ca="1" si="126"/>
        <v>v1</v>
      </c>
      <c r="D357" s="413" t="str">
        <f ca="1">+D356</f>
        <v>04.01.03.</v>
      </c>
      <c r="E357" s="412">
        <f t="shared" si="127"/>
        <v>0</v>
      </c>
      <c r="F357" s="414">
        <f ca="1">OFFSET('Tabla III.1.'!$H$46,H357-1,I357-1)</f>
        <v>0</v>
      </c>
      <c r="G357" s="412" t="str">
        <f ca="1">OFFSET('Tabla III.1.'!$H$1,0,I357-1)</f>
        <v>05</v>
      </c>
      <c r="H357" s="111">
        <f>+H356</f>
        <v>8</v>
      </c>
      <c r="I357" s="111">
        <f>+I356+1</f>
        <v>5</v>
      </c>
      <c r="J357" s="111" t="str">
        <f ca="1">+'Tabla III.1.'!$C$9</f>
        <v>Tabla III.1.</v>
      </c>
      <c r="K357" s="111" t="str">
        <f>+K356</f>
        <v>B</v>
      </c>
      <c r="L357" s="412"/>
    </row>
    <row r="358" spans="1:12" s="415" customFormat="1">
      <c r="A358" s="412" t="s">
        <v>2944</v>
      </c>
      <c r="B358" s="412" t="str">
        <f t="shared" ca="1" si="125"/>
        <v>202503</v>
      </c>
      <c r="C358" s="412" t="str">
        <f t="shared" ca="1" si="126"/>
        <v>v1</v>
      </c>
      <c r="D358" s="413" t="str">
        <f ca="1">+D357</f>
        <v>04.01.03.</v>
      </c>
      <c r="E358" s="412">
        <f t="shared" si="127"/>
        <v>0</v>
      </c>
      <c r="F358" s="414">
        <f ca="1">OFFSET('Tabla III.1.'!$H$46,H358-1,I358-1)</f>
        <v>0</v>
      </c>
      <c r="G358" s="412" t="str">
        <f ca="1">OFFSET('Tabla III.1.'!$H$1,0,I358-1)</f>
        <v>06</v>
      </c>
      <c r="H358" s="111">
        <f>+H357</f>
        <v>8</v>
      </c>
      <c r="I358" s="111">
        <f>+I357+1</f>
        <v>6</v>
      </c>
      <c r="J358" s="111" t="str">
        <f ca="1">+'Tabla III.1.'!$C$9</f>
        <v>Tabla III.1.</v>
      </c>
      <c r="K358" s="111" t="str">
        <f>+K357</f>
        <v>B</v>
      </c>
      <c r="L358" s="412"/>
    </row>
    <row r="359" spans="1:12" s="112" customFormat="1">
      <c r="A359" s="107" t="s">
        <v>2944</v>
      </c>
      <c r="B359" s="107" t="str">
        <f t="shared" ca="1" si="125"/>
        <v>202502</v>
      </c>
      <c r="C359" s="107" t="str">
        <f t="shared" ca="1" si="126"/>
        <v>v2</v>
      </c>
      <c r="D359" s="399" t="str">
        <f ca="1">OFFSET('Tabla III.1.'!$F$46,H359-1,0)</f>
        <v>04.01.03.01.</v>
      </c>
      <c r="E359" s="107">
        <f t="shared" si="127"/>
        <v>0</v>
      </c>
      <c r="F359" s="108">
        <f ca="1">OFFSET('Tabla III.1.'!$H$46,H359-1,I359-1)</f>
        <v>0</v>
      </c>
      <c r="G359" s="107" t="str">
        <f ca="1">OFFSET('Tabla III.1.'!$H$1,0,I359-1)</f>
        <v>01</v>
      </c>
      <c r="H359" s="110">
        <f>+H353+1</f>
        <v>9</v>
      </c>
      <c r="I359" s="110">
        <v>1</v>
      </c>
      <c r="J359" s="110" t="str">
        <f ca="1">+'Tabla III.1.'!$C$9</f>
        <v>Tabla III.1.</v>
      </c>
      <c r="K359" s="110" t="s">
        <v>2267</v>
      </c>
      <c r="L359" s="107">
        <f>+L353+1</f>
        <v>9</v>
      </c>
    </row>
    <row r="360" spans="1:12" s="112" customFormat="1">
      <c r="A360" s="107" t="s">
        <v>2944</v>
      </c>
      <c r="B360" s="107" t="str">
        <f t="shared" ca="1" si="125"/>
        <v>202503</v>
      </c>
      <c r="C360" s="107" t="str">
        <f t="shared" ca="1" si="126"/>
        <v>v1</v>
      </c>
      <c r="D360" s="399" t="str">
        <f ca="1">+D359</f>
        <v>04.01.03.01.</v>
      </c>
      <c r="E360" s="107">
        <f t="shared" si="127"/>
        <v>0</v>
      </c>
      <c r="F360" s="108">
        <f ca="1">OFFSET('Tabla III.1.'!$H$46,H360-1,I360-1)</f>
        <v>0</v>
      </c>
      <c r="G360" s="107" t="str">
        <f ca="1">OFFSET('Tabla III.1.'!$H$1,0,I360-1)</f>
        <v>02</v>
      </c>
      <c r="H360" s="110">
        <f>+H359</f>
        <v>9</v>
      </c>
      <c r="I360" s="110">
        <f>+I359+1</f>
        <v>2</v>
      </c>
      <c r="J360" s="110" t="str">
        <f ca="1">+'Tabla III.1.'!$C$9</f>
        <v>Tabla III.1.</v>
      </c>
      <c r="K360" s="110" t="str">
        <f>+K359</f>
        <v>B</v>
      </c>
      <c r="L360" s="107"/>
    </row>
    <row r="361" spans="1:12" s="112" customFormat="1">
      <c r="A361" s="107" t="s">
        <v>2944</v>
      </c>
      <c r="B361" s="107" t="str">
        <f t="shared" ca="1" si="125"/>
        <v>202503</v>
      </c>
      <c r="C361" s="107" t="str">
        <f t="shared" ca="1" si="126"/>
        <v>v1</v>
      </c>
      <c r="D361" s="399" t="str">
        <f ca="1">+D360</f>
        <v>04.01.03.01.</v>
      </c>
      <c r="E361" s="107">
        <f t="shared" si="127"/>
        <v>0</v>
      </c>
      <c r="F361" s="108">
        <f ca="1">OFFSET('Tabla III.1.'!$H$46,H361-1,I361-1)</f>
        <v>0</v>
      </c>
      <c r="G361" s="107" t="str">
        <f ca="1">OFFSET('Tabla III.1.'!$H$1,0,I361-1)</f>
        <v>03</v>
      </c>
      <c r="H361" s="110">
        <f>+H360</f>
        <v>9</v>
      </c>
      <c r="I361" s="110">
        <f>+I360+1</f>
        <v>3</v>
      </c>
      <c r="J361" s="110" t="str">
        <f ca="1">+'Tabla III.1.'!$C$9</f>
        <v>Tabla III.1.</v>
      </c>
      <c r="K361" s="110" t="str">
        <f>+K360</f>
        <v>B</v>
      </c>
      <c r="L361" s="107"/>
    </row>
    <row r="362" spans="1:12" s="112" customFormat="1">
      <c r="A362" s="107" t="s">
        <v>2944</v>
      </c>
      <c r="B362" s="107" t="str">
        <f t="shared" ca="1" si="125"/>
        <v>202503</v>
      </c>
      <c r="C362" s="107" t="str">
        <f t="shared" ca="1" si="126"/>
        <v>v1</v>
      </c>
      <c r="D362" s="399" t="str">
        <f ca="1">+D361</f>
        <v>04.01.03.01.</v>
      </c>
      <c r="E362" s="107">
        <f t="shared" si="127"/>
        <v>0</v>
      </c>
      <c r="F362" s="108">
        <f ca="1">OFFSET('Tabla III.1.'!$H$46,H362-1,I362-1)</f>
        <v>0</v>
      </c>
      <c r="G362" s="107" t="str">
        <f ca="1">OFFSET('Tabla III.1.'!$H$1,0,I362-1)</f>
        <v>04</v>
      </c>
      <c r="H362" s="110">
        <f>+H361</f>
        <v>9</v>
      </c>
      <c r="I362" s="110">
        <f>+I361+1</f>
        <v>4</v>
      </c>
      <c r="J362" s="110" t="str">
        <f ca="1">+'Tabla III.1.'!$C$9</f>
        <v>Tabla III.1.</v>
      </c>
      <c r="K362" s="110" t="str">
        <f>+K361</f>
        <v>B</v>
      </c>
      <c r="L362" s="107"/>
    </row>
    <row r="363" spans="1:12" s="112" customFormat="1">
      <c r="A363" s="107" t="s">
        <v>2944</v>
      </c>
      <c r="B363" s="107" t="str">
        <f t="shared" ca="1" si="125"/>
        <v>202503</v>
      </c>
      <c r="C363" s="107" t="str">
        <f t="shared" ca="1" si="126"/>
        <v>v1</v>
      </c>
      <c r="D363" s="399" t="str">
        <f ca="1">+D362</f>
        <v>04.01.03.01.</v>
      </c>
      <c r="E363" s="107">
        <f t="shared" si="127"/>
        <v>0</v>
      </c>
      <c r="F363" s="108">
        <f ca="1">OFFSET('Tabla III.1.'!$H$46,H363-1,I363-1)</f>
        <v>0</v>
      </c>
      <c r="G363" s="107" t="str">
        <f ca="1">OFFSET('Tabla III.1.'!$H$1,0,I363-1)</f>
        <v>05</v>
      </c>
      <c r="H363" s="110">
        <f>+H362</f>
        <v>9</v>
      </c>
      <c r="I363" s="110">
        <f>+I362+1</f>
        <v>5</v>
      </c>
      <c r="J363" s="110" t="str">
        <f ca="1">+'Tabla III.1.'!$C$9</f>
        <v>Tabla III.1.</v>
      </c>
      <c r="K363" s="110" t="str">
        <f>+K362</f>
        <v>B</v>
      </c>
      <c r="L363" s="107"/>
    </row>
    <row r="364" spans="1:12" s="112" customFormat="1">
      <c r="A364" s="107" t="s">
        <v>2944</v>
      </c>
      <c r="B364" s="107" t="str">
        <f t="shared" ca="1" si="125"/>
        <v>202503</v>
      </c>
      <c r="C364" s="107" t="str">
        <f t="shared" ca="1" si="126"/>
        <v>v1</v>
      </c>
      <c r="D364" s="399" t="str">
        <f ca="1">+D363</f>
        <v>04.01.03.01.</v>
      </c>
      <c r="E364" s="107">
        <f t="shared" si="127"/>
        <v>0</v>
      </c>
      <c r="F364" s="108">
        <f ca="1">OFFSET('Tabla III.1.'!$H$46,H364-1,I364-1)</f>
        <v>0</v>
      </c>
      <c r="G364" s="107" t="str">
        <f ca="1">OFFSET('Tabla III.1.'!$H$1,0,I364-1)</f>
        <v>06</v>
      </c>
      <c r="H364" s="110">
        <f>+H363</f>
        <v>9</v>
      </c>
      <c r="I364" s="110">
        <f>+I363+1</f>
        <v>6</v>
      </c>
      <c r="J364" s="110" t="str">
        <f ca="1">+'Tabla III.1.'!$C$9</f>
        <v>Tabla III.1.</v>
      </c>
      <c r="K364" s="110" t="str">
        <f>+K363</f>
        <v>B</v>
      </c>
      <c r="L364" s="107"/>
    </row>
    <row r="365" spans="1:12" s="415" customFormat="1">
      <c r="A365" s="412" t="s">
        <v>2944</v>
      </c>
      <c r="B365" s="412" t="str">
        <f t="shared" ca="1" si="125"/>
        <v>202502</v>
      </c>
      <c r="C365" s="412" t="str">
        <f t="shared" ca="1" si="126"/>
        <v>v2</v>
      </c>
      <c r="D365" s="413" t="str">
        <f ca="1">OFFSET('Tabla III.1.'!$F$46,H365-1,0)</f>
        <v>04.01.03.02.</v>
      </c>
      <c r="E365" s="412">
        <f t="shared" si="127"/>
        <v>0</v>
      </c>
      <c r="F365" s="414">
        <f ca="1">OFFSET('Tabla III.1.'!$H$46,H365-1,I365-1)</f>
        <v>0</v>
      </c>
      <c r="G365" s="412" t="str">
        <f ca="1">OFFSET('Tabla III.1.'!$H$1,0,I365-1)</f>
        <v>01</v>
      </c>
      <c r="H365" s="111">
        <f>+H359+1</f>
        <v>10</v>
      </c>
      <c r="I365" s="111">
        <v>1</v>
      </c>
      <c r="J365" s="111" t="str">
        <f ca="1">+'Tabla III.1.'!$C$9</f>
        <v>Tabla III.1.</v>
      </c>
      <c r="K365" s="111" t="s">
        <v>2267</v>
      </c>
      <c r="L365" s="412">
        <f>+L359+1</f>
        <v>10</v>
      </c>
    </row>
    <row r="366" spans="1:12" s="415" customFormat="1">
      <c r="A366" s="412" t="s">
        <v>2944</v>
      </c>
      <c r="B366" s="412" t="str">
        <f t="shared" ca="1" si="125"/>
        <v>202503</v>
      </c>
      <c r="C366" s="412" t="str">
        <f t="shared" ca="1" si="126"/>
        <v>v1</v>
      </c>
      <c r="D366" s="413" t="str">
        <f ca="1">+D365</f>
        <v>04.01.03.02.</v>
      </c>
      <c r="E366" s="412">
        <f t="shared" si="127"/>
        <v>0</v>
      </c>
      <c r="F366" s="414">
        <f ca="1">OFFSET('Tabla III.1.'!$H$46,H366-1,I366-1)</f>
        <v>0</v>
      </c>
      <c r="G366" s="412" t="str">
        <f ca="1">OFFSET('Tabla III.1.'!$H$1,0,I366-1)</f>
        <v>02</v>
      </c>
      <c r="H366" s="111">
        <f>+H365</f>
        <v>10</v>
      </c>
      <c r="I366" s="111">
        <f>+I365+1</f>
        <v>2</v>
      </c>
      <c r="J366" s="111" t="str">
        <f ca="1">+'Tabla III.1.'!$C$9</f>
        <v>Tabla III.1.</v>
      </c>
      <c r="K366" s="111" t="str">
        <f>+K365</f>
        <v>B</v>
      </c>
      <c r="L366" s="412"/>
    </row>
    <row r="367" spans="1:12" s="415" customFormat="1">
      <c r="A367" s="412" t="s">
        <v>2944</v>
      </c>
      <c r="B367" s="412" t="str">
        <f t="shared" ca="1" si="125"/>
        <v>202503</v>
      </c>
      <c r="C367" s="412" t="str">
        <f t="shared" ca="1" si="126"/>
        <v>v1</v>
      </c>
      <c r="D367" s="413" t="str">
        <f ca="1">+D366</f>
        <v>04.01.03.02.</v>
      </c>
      <c r="E367" s="412">
        <f t="shared" si="127"/>
        <v>0</v>
      </c>
      <c r="F367" s="414">
        <f ca="1">OFFSET('Tabla III.1.'!$H$46,H367-1,I367-1)</f>
        <v>0</v>
      </c>
      <c r="G367" s="412" t="str">
        <f ca="1">OFFSET('Tabla III.1.'!$H$1,0,I367-1)</f>
        <v>03</v>
      </c>
      <c r="H367" s="111">
        <f>+H366</f>
        <v>10</v>
      </c>
      <c r="I367" s="111">
        <f>+I366+1</f>
        <v>3</v>
      </c>
      <c r="J367" s="111" t="str">
        <f ca="1">+'Tabla III.1.'!$C$9</f>
        <v>Tabla III.1.</v>
      </c>
      <c r="K367" s="111" t="str">
        <f>+K366</f>
        <v>B</v>
      </c>
      <c r="L367" s="412"/>
    </row>
    <row r="368" spans="1:12" s="415" customFormat="1">
      <c r="A368" s="412" t="s">
        <v>2944</v>
      </c>
      <c r="B368" s="412" t="str">
        <f t="shared" ca="1" si="125"/>
        <v>202503</v>
      </c>
      <c r="C368" s="412" t="str">
        <f t="shared" ca="1" si="126"/>
        <v>v1</v>
      </c>
      <c r="D368" s="413" t="str">
        <f ca="1">+D367</f>
        <v>04.01.03.02.</v>
      </c>
      <c r="E368" s="412">
        <f t="shared" si="127"/>
        <v>0</v>
      </c>
      <c r="F368" s="414">
        <f ca="1">OFFSET('Tabla III.1.'!$H$46,H368-1,I368-1)</f>
        <v>0</v>
      </c>
      <c r="G368" s="412" t="str">
        <f ca="1">OFFSET('Tabla III.1.'!$H$1,0,I368-1)</f>
        <v>04</v>
      </c>
      <c r="H368" s="111">
        <f>+H367</f>
        <v>10</v>
      </c>
      <c r="I368" s="111">
        <f>+I367+1</f>
        <v>4</v>
      </c>
      <c r="J368" s="111" t="str">
        <f ca="1">+'Tabla III.1.'!$C$9</f>
        <v>Tabla III.1.</v>
      </c>
      <c r="K368" s="111" t="str">
        <f>+K367</f>
        <v>B</v>
      </c>
      <c r="L368" s="412"/>
    </row>
    <row r="369" spans="1:12" s="415" customFormat="1">
      <c r="A369" s="412" t="s">
        <v>2944</v>
      </c>
      <c r="B369" s="412" t="str">
        <f t="shared" ca="1" si="125"/>
        <v>202503</v>
      </c>
      <c r="C369" s="412" t="str">
        <f t="shared" ca="1" si="126"/>
        <v>v1</v>
      </c>
      <c r="D369" s="413" t="str">
        <f ca="1">+D368</f>
        <v>04.01.03.02.</v>
      </c>
      <c r="E369" s="412">
        <f t="shared" si="127"/>
        <v>0</v>
      </c>
      <c r="F369" s="414">
        <f ca="1">OFFSET('Tabla III.1.'!$H$46,H369-1,I369-1)</f>
        <v>0</v>
      </c>
      <c r="G369" s="412" t="str">
        <f ca="1">OFFSET('Tabla III.1.'!$H$1,0,I369-1)</f>
        <v>05</v>
      </c>
      <c r="H369" s="111">
        <f>+H368</f>
        <v>10</v>
      </c>
      <c r="I369" s="111">
        <f>+I368+1</f>
        <v>5</v>
      </c>
      <c r="J369" s="111" t="str">
        <f ca="1">+'Tabla III.1.'!$C$9</f>
        <v>Tabla III.1.</v>
      </c>
      <c r="K369" s="111" t="str">
        <f>+K368</f>
        <v>B</v>
      </c>
      <c r="L369" s="412"/>
    </row>
    <row r="370" spans="1:12" s="415" customFormat="1">
      <c r="A370" s="412" t="s">
        <v>2944</v>
      </c>
      <c r="B370" s="412" t="str">
        <f t="shared" ca="1" si="125"/>
        <v>202503</v>
      </c>
      <c r="C370" s="412" t="str">
        <f t="shared" ca="1" si="126"/>
        <v>v1</v>
      </c>
      <c r="D370" s="413" t="str">
        <f ca="1">+D369</f>
        <v>04.01.03.02.</v>
      </c>
      <c r="E370" s="412">
        <f t="shared" si="127"/>
        <v>0</v>
      </c>
      <c r="F370" s="414">
        <f ca="1">OFFSET('Tabla III.1.'!$H$46,H370-1,I370-1)</f>
        <v>0</v>
      </c>
      <c r="G370" s="412" t="str">
        <f ca="1">OFFSET('Tabla III.1.'!$H$1,0,I370-1)</f>
        <v>06</v>
      </c>
      <c r="H370" s="111">
        <f>+H369</f>
        <v>10</v>
      </c>
      <c r="I370" s="111">
        <f>+I369+1</f>
        <v>6</v>
      </c>
      <c r="J370" s="111" t="str">
        <f ca="1">+'Tabla III.1.'!$C$9</f>
        <v>Tabla III.1.</v>
      </c>
      <c r="K370" s="111" t="str">
        <f>+K369</f>
        <v>B</v>
      </c>
      <c r="L370" s="412"/>
    </row>
    <row r="371" spans="1:12" s="112" customFormat="1">
      <c r="A371" s="107" t="s">
        <v>2944</v>
      </c>
      <c r="B371" s="107" t="str">
        <f t="shared" ca="1" si="125"/>
        <v>202502</v>
      </c>
      <c r="C371" s="107" t="str">
        <f t="shared" ca="1" si="126"/>
        <v>v2</v>
      </c>
      <c r="D371" s="399" t="str">
        <f ca="1">OFFSET('Tabla III.1.'!$F$46,H371-1,0)</f>
        <v>04.02.01.</v>
      </c>
      <c r="E371" s="107">
        <f t="shared" si="127"/>
        <v>0</v>
      </c>
      <c r="F371" s="108">
        <f ca="1">OFFSET('Tabla III.1.'!$H$46,H371-1,I371-1)</f>
        <v>0</v>
      </c>
      <c r="G371" s="107" t="str">
        <f ca="1">OFFSET('Tabla III.1.'!$H$1,0,I371-1)</f>
        <v>01</v>
      </c>
      <c r="H371" s="110">
        <f>+H365+1</f>
        <v>11</v>
      </c>
      <c r="I371" s="110">
        <v>1</v>
      </c>
      <c r="J371" s="110" t="str">
        <f ca="1">+'Tabla III.1.'!$C$9</f>
        <v>Tabla III.1.</v>
      </c>
      <c r="K371" s="110" t="s">
        <v>2267</v>
      </c>
      <c r="L371" s="107">
        <f>+L365+1</f>
        <v>11</v>
      </c>
    </row>
    <row r="372" spans="1:12" s="112" customFormat="1">
      <c r="A372" s="107" t="s">
        <v>2944</v>
      </c>
      <c r="B372" s="107" t="str">
        <f t="shared" ca="1" si="125"/>
        <v>202503</v>
      </c>
      <c r="C372" s="107" t="str">
        <f t="shared" ca="1" si="126"/>
        <v>v1</v>
      </c>
      <c r="D372" s="399" t="str">
        <f ca="1">+D371</f>
        <v>04.02.01.</v>
      </c>
      <c r="E372" s="107">
        <f t="shared" si="127"/>
        <v>0</v>
      </c>
      <c r="F372" s="108">
        <f ca="1">OFFSET('Tabla III.1.'!$H$46,H372-1,I372-1)</f>
        <v>0</v>
      </c>
      <c r="G372" s="107" t="str">
        <f ca="1">OFFSET('Tabla III.1.'!$H$1,0,I372-1)</f>
        <v>02</v>
      </c>
      <c r="H372" s="110">
        <f>+H371</f>
        <v>11</v>
      </c>
      <c r="I372" s="110">
        <f>+I371+1</f>
        <v>2</v>
      </c>
      <c r="J372" s="110" t="str">
        <f ca="1">+'Tabla III.1.'!$C$9</f>
        <v>Tabla III.1.</v>
      </c>
      <c r="K372" s="110" t="str">
        <f>+K371</f>
        <v>B</v>
      </c>
      <c r="L372" s="107"/>
    </row>
    <row r="373" spans="1:12" s="112" customFormat="1">
      <c r="A373" s="107" t="s">
        <v>2944</v>
      </c>
      <c r="B373" s="107" t="str">
        <f t="shared" ca="1" si="125"/>
        <v>202503</v>
      </c>
      <c r="C373" s="107" t="str">
        <f t="shared" ca="1" si="126"/>
        <v>v1</v>
      </c>
      <c r="D373" s="399" t="str">
        <f ca="1">+D372</f>
        <v>04.02.01.</v>
      </c>
      <c r="E373" s="107">
        <f t="shared" si="127"/>
        <v>0</v>
      </c>
      <c r="F373" s="108">
        <f ca="1">OFFSET('Tabla III.1.'!$H$46,H373-1,I373-1)</f>
        <v>0</v>
      </c>
      <c r="G373" s="107" t="str">
        <f ca="1">OFFSET('Tabla III.1.'!$H$1,0,I373-1)</f>
        <v>03</v>
      </c>
      <c r="H373" s="110">
        <f>+H372</f>
        <v>11</v>
      </c>
      <c r="I373" s="110">
        <f>+I372+1</f>
        <v>3</v>
      </c>
      <c r="J373" s="110" t="str">
        <f ca="1">+'Tabla III.1.'!$C$9</f>
        <v>Tabla III.1.</v>
      </c>
      <c r="K373" s="110" t="str">
        <f>+K372</f>
        <v>B</v>
      </c>
      <c r="L373" s="107"/>
    </row>
    <row r="374" spans="1:12" s="112" customFormat="1">
      <c r="A374" s="107" t="s">
        <v>2944</v>
      </c>
      <c r="B374" s="107" t="str">
        <f t="shared" ca="1" si="125"/>
        <v>202503</v>
      </c>
      <c r="C374" s="107" t="str">
        <f t="shared" ca="1" si="126"/>
        <v>v1</v>
      </c>
      <c r="D374" s="399" t="str">
        <f ca="1">+D373</f>
        <v>04.02.01.</v>
      </c>
      <c r="E374" s="107">
        <f t="shared" si="127"/>
        <v>0</v>
      </c>
      <c r="F374" s="108">
        <f ca="1">OFFSET('Tabla III.1.'!$H$46,H374-1,I374-1)</f>
        <v>0</v>
      </c>
      <c r="G374" s="107" t="str">
        <f ca="1">OFFSET('Tabla III.1.'!$H$1,0,I374-1)</f>
        <v>04</v>
      </c>
      <c r="H374" s="110">
        <f>+H373</f>
        <v>11</v>
      </c>
      <c r="I374" s="110">
        <f>+I373+1</f>
        <v>4</v>
      </c>
      <c r="J374" s="110" t="str">
        <f ca="1">+'Tabla III.1.'!$C$9</f>
        <v>Tabla III.1.</v>
      </c>
      <c r="K374" s="110" t="str">
        <f>+K373</f>
        <v>B</v>
      </c>
      <c r="L374" s="107"/>
    </row>
    <row r="375" spans="1:12" s="112" customFormat="1">
      <c r="A375" s="107" t="s">
        <v>2944</v>
      </c>
      <c r="B375" s="107" t="str">
        <f t="shared" ca="1" si="125"/>
        <v>202503</v>
      </c>
      <c r="C375" s="107" t="str">
        <f t="shared" ca="1" si="126"/>
        <v>v1</v>
      </c>
      <c r="D375" s="399" t="str">
        <f ca="1">+D374</f>
        <v>04.02.01.</v>
      </c>
      <c r="E375" s="107">
        <f t="shared" si="127"/>
        <v>0</v>
      </c>
      <c r="F375" s="108">
        <f ca="1">OFFSET('Tabla III.1.'!$H$46,H375-1,I375-1)</f>
        <v>0</v>
      </c>
      <c r="G375" s="107" t="str">
        <f ca="1">OFFSET('Tabla III.1.'!$H$1,0,I375-1)</f>
        <v>05</v>
      </c>
      <c r="H375" s="110">
        <f>+H374</f>
        <v>11</v>
      </c>
      <c r="I375" s="110">
        <f>+I374+1</f>
        <v>5</v>
      </c>
      <c r="J375" s="110" t="str">
        <f ca="1">+'Tabla III.1.'!$C$9</f>
        <v>Tabla III.1.</v>
      </c>
      <c r="K375" s="110" t="str">
        <f>+K374</f>
        <v>B</v>
      </c>
      <c r="L375" s="107"/>
    </row>
    <row r="376" spans="1:12" s="112" customFormat="1">
      <c r="A376" s="107" t="s">
        <v>2944</v>
      </c>
      <c r="B376" s="107" t="str">
        <f t="shared" ca="1" si="125"/>
        <v>202503</v>
      </c>
      <c r="C376" s="107" t="str">
        <f t="shared" ca="1" si="126"/>
        <v>v1</v>
      </c>
      <c r="D376" s="399" t="str">
        <f ca="1">+D375</f>
        <v>04.02.01.</v>
      </c>
      <c r="E376" s="107">
        <f t="shared" si="127"/>
        <v>0</v>
      </c>
      <c r="F376" s="108">
        <f ca="1">OFFSET('Tabla III.1.'!$H$46,H376-1,I376-1)</f>
        <v>0</v>
      </c>
      <c r="G376" s="107" t="str">
        <f ca="1">OFFSET('Tabla III.1.'!$H$1,0,I376-1)</f>
        <v>06</v>
      </c>
      <c r="H376" s="110">
        <f>+H375</f>
        <v>11</v>
      </c>
      <c r="I376" s="110">
        <f>+I375+1</f>
        <v>6</v>
      </c>
      <c r="J376" s="110" t="str">
        <f ca="1">+'Tabla III.1.'!$C$9</f>
        <v>Tabla III.1.</v>
      </c>
      <c r="K376" s="110" t="str">
        <f>+K375</f>
        <v>B</v>
      </c>
      <c r="L376" s="107"/>
    </row>
    <row r="377" spans="1:12" s="415" customFormat="1">
      <c r="A377" s="412" t="s">
        <v>2944</v>
      </c>
      <c r="B377" s="412" t="str">
        <f t="shared" ca="1" si="125"/>
        <v>202502</v>
      </c>
      <c r="C377" s="412" t="str">
        <f t="shared" ca="1" si="126"/>
        <v>v2</v>
      </c>
      <c r="D377" s="413" t="str">
        <f ca="1">OFFSET('Tabla III.1.'!$F$46,H377-1,0)</f>
        <v>04.02.01.01.</v>
      </c>
      <c r="E377" s="412">
        <f t="shared" si="127"/>
        <v>0</v>
      </c>
      <c r="F377" s="414">
        <f ca="1">OFFSET('Tabla III.1.'!$H$46,H377-1,I377-1)</f>
        <v>0</v>
      </c>
      <c r="G377" s="412" t="str">
        <f ca="1">OFFSET('Tabla III.1.'!$H$1,0,I377-1)</f>
        <v>01</v>
      </c>
      <c r="H377" s="111">
        <f>+H371+1</f>
        <v>12</v>
      </c>
      <c r="I377" s="111">
        <v>1</v>
      </c>
      <c r="J377" s="111" t="str">
        <f ca="1">+'Tabla III.1.'!$C$9</f>
        <v>Tabla III.1.</v>
      </c>
      <c r="K377" s="111" t="s">
        <v>2267</v>
      </c>
      <c r="L377" s="412">
        <f>+L371+1</f>
        <v>12</v>
      </c>
    </row>
    <row r="378" spans="1:12" s="415" customFormat="1">
      <c r="A378" s="412" t="s">
        <v>2944</v>
      </c>
      <c r="B378" s="412" t="str">
        <f t="shared" ca="1" si="125"/>
        <v>202503</v>
      </c>
      <c r="C378" s="412" t="str">
        <f t="shared" ca="1" si="126"/>
        <v>v1</v>
      </c>
      <c r="D378" s="413" t="str">
        <f ca="1">+D377</f>
        <v>04.02.01.01.</v>
      </c>
      <c r="E378" s="412">
        <f t="shared" si="127"/>
        <v>0</v>
      </c>
      <c r="F378" s="414">
        <f ca="1">OFFSET('Tabla III.1.'!$H$46,H378-1,I378-1)</f>
        <v>0</v>
      </c>
      <c r="G378" s="412" t="str">
        <f ca="1">OFFSET('Tabla III.1.'!$H$1,0,I378-1)</f>
        <v>02</v>
      </c>
      <c r="H378" s="111">
        <f>+H377</f>
        <v>12</v>
      </c>
      <c r="I378" s="111">
        <f>+I377+1</f>
        <v>2</v>
      </c>
      <c r="J378" s="111" t="str">
        <f ca="1">+'Tabla III.1.'!$C$9</f>
        <v>Tabla III.1.</v>
      </c>
      <c r="K378" s="111" t="str">
        <f>+K377</f>
        <v>B</v>
      </c>
      <c r="L378" s="412"/>
    </row>
    <row r="379" spans="1:12" s="415" customFormat="1">
      <c r="A379" s="412" t="s">
        <v>2944</v>
      </c>
      <c r="B379" s="412" t="str">
        <f t="shared" ca="1" si="125"/>
        <v>202503</v>
      </c>
      <c r="C379" s="412" t="str">
        <f t="shared" ca="1" si="126"/>
        <v>v1</v>
      </c>
      <c r="D379" s="413" t="str">
        <f ca="1">+D378</f>
        <v>04.02.01.01.</v>
      </c>
      <c r="E379" s="412">
        <f t="shared" si="127"/>
        <v>0</v>
      </c>
      <c r="F379" s="414">
        <f ca="1">OFFSET('Tabla III.1.'!$H$46,H379-1,I379-1)</f>
        <v>0</v>
      </c>
      <c r="G379" s="412" t="str">
        <f ca="1">OFFSET('Tabla III.1.'!$H$1,0,I379-1)</f>
        <v>03</v>
      </c>
      <c r="H379" s="111">
        <f>+H378</f>
        <v>12</v>
      </c>
      <c r="I379" s="111">
        <f>+I378+1</f>
        <v>3</v>
      </c>
      <c r="J379" s="111" t="str">
        <f ca="1">+'Tabla III.1.'!$C$9</f>
        <v>Tabla III.1.</v>
      </c>
      <c r="K379" s="111" t="str">
        <f>+K378</f>
        <v>B</v>
      </c>
      <c r="L379" s="412"/>
    </row>
    <row r="380" spans="1:12" s="415" customFormat="1">
      <c r="A380" s="412" t="s">
        <v>2944</v>
      </c>
      <c r="B380" s="412" t="str">
        <f t="shared" ca="1" si="125"/>
        <v>202503</v>
      </c>
      <c r="C380" s="412" t="str">
        <f t="shared" ca="1" si="126"/>
        <v>v1</v>
      </c>
      <c r="D380" s="413" t="str">
        <f ca="1">+D379</f>
        <v>04.02.01.01.</v>
      </c>
      <c r="E380" s="412">
        <f t="shared" si="127"/>
        <v>0</v>
      </c>
      <c r="F380" s="414">
        <f ca="1">OFFSET('Tabla III.1.'!$H$46,H380-1,I380-1)</f>
        <v>0</v>
      </c>
      <c r="G380" s="412" t="str">
        <f ca="1">OFFSET('Tabla III.1.'!$H$1,0,I380-1)</f>
        <v>04</v>
      </c>
      <c r="H380" s="111">
        <f>+H379</f>
        <v>12</v>
      </c>
      <c r="I380" s="111">
        <f>+I379+1</f>
        <v>4</v>
      </c>
      <c r="J380" s="111" t="str">
        <f ca="1">+'Tabla III.1.'!$C$9</f>
        <v>Tabla III.1.</v>
      </c>
      <c r="K380" s="111" t="str">
        <f>+K379</f>
        <v>B</v>
      </c>
      <c r="L380" s="412"/>
    </row>
    <row r="381" spans="1:12" s="415" customFormat="1">
      <c r="A381" s="412" t="s">
        <v>2944</v>
      </c>
      <c r="B381" s="412" t="str">
        <f t="shared" ca="1" si="125"/>
        <v>202503</v>
      </c>
      <c r="C381" s="412" t="str">
        <f t="shared" ca="1" si="126"/>
        <v>v1</v>
      </c>
      <c r="D381" s="413" t="str">
        <f ca="1">+D380</f>
        <v>04.02.01.01.</v>
      </c>
      <c r="E381" s="412">
        <f t="shared" si="127"/>
        <v>0</v>
      </c>
      <c r="F381" s="414">
        <f ca="1">OFFSET('Tabla III.1.'!$H$46,H381-1,I381-1)</f>
        <v>0</v>
      </c>
      <c r="G381" s="412" t="str">
        <f ca="1">OFFSET('Tabla III.1.'!$H$1,0,I381-1)</f>
        <v>05</v>
      </c>
      <c r="H381" s="111">
        <f>+H380</f>
        <v>12</v>
      </c>
      <c r="I381" s="111">
        <f>+I380+1</f>
        <v>5</v>
      </c>
      <c r="J381" s="111" t="str">
        <f ca="1">+'Tabla III.1.'!$C$9</f>
        <v>Tabla III.1.</v>
      </c>
      <c r="K381" s="111" t="str">
        <f>+K380</f>
        <v>B</v>
      </c>
      <c r="L381" s="412"/>
    </row>
    <row r="382" spans="1:12" s="415" customFormat="1">
      <c r="A382" s="412" t="s">
        <v>2944</v>
      </c>
      <c r="B382" s="412" t="str">
        <f t="shared" ca="1" si="125"/>
        <v>202503</v>
      </c>
      <c r="C382" s="412" t="str">
        <f t="shared" ca="1" si="126"/>
        <v>v1</v>
      </c>
      <c r="D382" s="413" t="str">
        <f ca="1">+D381</f>
        <v>04.02.01.01.</v>
      </c>
      <c r="E382" s="412">
        <f t="shared" si="127"/>
        <v>0</v>
      </c>
      <c r="F382" s="414">
        <f ca="1">OFFSET('Tabla III.1.'!$H$46,H382-1,I382-1)</f>
        <v>0</v>
      </c>
      <c r="G382" s="412" t="str">
        <f ca="1">OFFSET('Tabla III.1.'!$H$1,0,I382-1)</f>
        <v>06</v>
      </c>
      <c r="H382" s="111">
        <f>+H381</f>
        <v>12</v>
      </c>
      <c r="I382" s="111">
        <f>+I381+1</f>
        <v>6</v>
      </c>
      <c r="J382" s="111" t="str">
        <f ca="1">+'Tabla III.1.'!$C$9</f>
        <v>Tabla III.1.</v>
      </c>
      <c r="K382" s="111" t="str">
        <f>+K381</f>
        <v>B</v>
      </c>
      <c r="L382" s="412"/>
    </row>
    <row r="383" spans="1:12" s="112" customFormat="1">
      <c r="A383" s="107" t="s">
        <v>2944</v>
      </c>
      <c r="B383" s="107" t="str">
        <f t="shared" ca="1" si="125"/>
        <v>202502</v>
      </c>
      <c r="C383" s="107" t="str">
        <f t="shared" ca="1" si="126"/>
        <v>v2</v>
      </c>
      <c r="D383" s="399" t="str">
        <f ca="1">OFFSET('Tabla III.1.'!$F$46,H383-1,0)</f>
        <v>04.02.01.02.</v>
      </c>
      <c r="E383" s="107">
        <f t="shared" si="127"/>
        <v>0</v>
      </c>
      <c r="F383" s="108">
        <f ca="1">OFFSET('Tabla III.1.'!$H$46,H383-1,I383-1)</f>
        <v>0</v>
      </c>
      <c r="G383" s="107" t="str">
        <f ca="1">OFFSET('Tabla III.1.'!$H$1,0,I383-1)</f>
        <v>01</v>
      </c>
      <c r="H383" s="110">
        <f>+H377+1</f>
        <v>13</v>
      </c>
      <c r="I383" s="110">
        <v>1</v>
      </c>
      <c r="J383" s="110" t="str">
        <f ca="1">+'Tabla III.1.'!$C$9</f>
        <v>Tabla III.1.</v>
      </c>
      <c r="K383" s="110" t="s">
        <v>2267</v>
      </c>
      <c r="L383" s="107">
        <f>+L377+1</f>
        <v>13</v>
      </c>
    </row>
    <row r="384" spans="1:12" s="112" customFormat="1">
      <c r="A384" s="107" t="s">
        <v>2944</v>
      </c>
      <c r="B384" s="107" t="str">
        <f t="shared" ca="1" si="125"/>
        <v>202503</v>
      </c>
      <c r="C384" s="107" t="str">
        <f t="shared" ca="1" si="126"/>
        <v>v1</v>
      </c>
      <c r="D384" s="399" t="str">
        <f ca="1">+D383</f>
        <v>04.02.01.02.</v>
      </c>
      <c r="E384" s="107">
        <f t="shared" si="127"/>
        <v>0</v>
      </c>
      <c r="F384" s="108">
        <f ca="1">OFFSET('Tabla III.1.'!$H$46,H384-1,I384-1)</f>
        <v>0</v>
      </c>
      <c r="G384" s="107" t="str">
        <f ca="1">OFFSET('Tabla III.1.'!$H$1,0,I384-1)</f>
        <v>02</v>
      </c>
      <c r="H384" s="110">
        <f>+H383</f>
        <v>13</v>
      </c>
      <c r="I384" s="110">
        <f>+I383+1</f>
        <v>2</v>
      </c>
      <c r="J384" s="110" t="str">
        <f ca="1">+'Tabla III.1.'!$C$9</f>
        <v>Tabla III.1.</v>
      </c>
      <c r="K384" s="110" t="str">
        <f>+K383</f>
        <v>B</v>
      </c>
      <c r="L384" s="107"/>
    </row>
    <row r="385" spans="1:12" s="112" customFormat="1">
      <c r="A385" s="107" t="s">
        <v>2944</v>
      </c>
      <c r="B385" s="107" t="str">
        <f t="shared" ca="1" si="125"/>
        <v>202503</v>
      </c>
      <c r="C385" s="107" t="str">
        <f t="shared" ca="1" si="126"/>
        <v>v1</v>
      </c>
      <c r="D385" s="399" t="str">
        <f ca="1">+D384</f>
        <v>04.02.01.02.</v>
      </c>
      <c r="E385" s="107">
        <f t="shared" si="127"/>
        <v>0</v>
      </c>
      <c r="F385" s="108">
        <f ca="1">OFFSET('Tabla III.1.'!$H$46,H385-1,I385-1)</f>
        <v>0</v>
      </c>
      <c r="G385" s="107" t="str">
        <f ca="1">OFFSET('Tabla III.1.'!$H$1,0,I385-1)</f>
        <v>03</v>
      </c>
      <c r="H385" s="110">
        <f>+H384</f>
        <v>13</v>
      </c>
      <c r="I385" s="110">
        <f>+I384+1</f>
        <v>3</v>
      </c>
      <c r="J385" s="110" t="str">
        <f ca="1">+'Tabla III.1.'!$C$9</f>
        <v>Tabla III.1.</v>
      </c>
      <c r="K385" s="110" t="str">
        <f>+K384</f>
        <v>B</v>
      </c>
      <c r="L385" s="107"/>
    </row>
    <row r="386" spans="1:12" s="112" customFormat="1">
      <c r="A386" s="107" t="s">
        <v>2944</v>
      </c>
      <c r="B386" s="107" t="str">
        <f t="shared" ref="B386:B449" ca="1" si="128">IF(G386="01",(IF(TRIM&gt;1,CONCATENATE(ANUAL,"0",TRIM-1),CONCATENATE(ANUAL-1,"04"))),PERIODO)</f>
        <v>202503</v>
      </c>
      <c r="C386" s="107" t="str">
        <f t="shared" ref="C386:C485" ca="1" si="129">IF(G386="01","v2","v1")</f>
        <v>v1</v>
      </c>
      <c r="D386" s="399" t="str">
        <f ca="1">+D385</f>
        <v>04.02.01.02.</v>
      </c>
      <c r="E386" s="107">
        <f t="shared" ref="E386:E485" si="130">RUC</f>
        <v>0</v>
      </c>
      <c r="F386" s="108">
        <f ca="1">OFFSET('Tabla III.1.'!$H$46,H386-1,I386-1)</f>
        <v>0</v>
      </c>
      <c r="G386" s="107" t="str">
        <f ca="1">OFFSET('Tabla III.1.'!$H$1,0,I386-1)</f>
        <v>04</v>
      </c>
      <c r="H386" s="110">
        <f>+H385</f>
        <v>13</v>
      </c>
      <c r="I386" s="110">
        <f>+I385+1</f>
        <v>4</v>
      </c>
      <c r="J386" s="110" t="str">
        <f ca="1">+'Tabla III.1.'!$C$9</f>
        <v>Tabla III.1.</v>
      </c>
      <c r="K386" s="110" t="str">
        <f>+K385</f>
        <v>B</v>
      </c>
      <c r="L386" s="107"/>
    </row>
    <row r="387" spans="1:12" s="112" customFormat="1">
      <c r="A387" s="107" t="s">
        <v>2944</v>
      </c>
      <c r="B387" s="107" t="str">
        <f t="shared" ca="1" si="128"/>
        <v>202503</v>
      </c>
      <c r="C387" s="107" t="str">
        <f t="shared" ca="1" si="129"/>
        <v>v1</v>
      </c>
      <c r="D387" s="399" t="str">
        <f ca="1">+D386</f>
        <v>04.02.01.02.</v>
      </c>
      <c r="E387" s="107">
        <f t="shared" si="130"/>
        <v>0</v>
      </c>
      <c r="F387" s="108">
        <f ca="1">OFFSET('Tabla III.1.'!$H$46,H387-1,I387-1)</f>
        <v>0</v>
      </c>
      <c r="G387" s="107" t="str">
        <f ca="1">OFFSET('Tabla III.1.'!$H$1,0,I387-1)</f>
        <v>05</v>
      </c>
      <c r="H387" s="110">
        <f>+H386</f>
        <v>13</v>
      </c>
      <c r="I387" s="110">
        <f>+I386+1</f>
        <v>5</v>
      </c>
      <c r="J387" s="110" t="str">
        <f ca="1">+'Tabla III.1.'!$C$9</f>
        <v>Tabla III.1.</v>
      </c>
      <c r="K387" s="110" t="str">
        <f>+K386</f>
        <v>B</v>
      </c>
      <c r="L387" s="107"/>
    </row>
    <row r="388" spans="1:12" s="112" customFormat="1">
      <c r="A388" s="107" t="s">
        <v>2944</v>
      </c>
      <c r="B388" s="107" t="str">
        <f t="shared" ca="1" si="128"/>
        <v>202503</v>
      </c>
      <c r="C388" s="107" t="str">
        <f t="shared" ca="1" si="129"/>
        <v>v1</v>
      </c>
      <c r="D388" s="399" t="str">
        <f ca="1">+D387</f>
        <v>04.02.01.02.</v>
      </c>
      <c r="E388" s="107">
        <f t="shared" si="130"/>
        <v>0</v>
      </c>
      <c r="F388" s="108">
        <f ca="1">OFFSET('Tabla III.1.'!$H$46,H388-1,I388-1)</f>
        <v>0</v>
      </c>
      <c r="G388" s="107" t="str">
        <f ca="1">OFFSET('Tabla III.1.'!$H$1,0,I388-1)</f>
        <v>06</v>
      </c>
      <c r="H388" s="110">
        <f>+H387</f>
        <v>13</v>
      </c>
      <c r="I388" s="110">
        <f>+I387+1</f>
        <v>6</v>
      </c>
      <c r="J388" s="110" t="str">
        <f ca="1">+'Tabla III.1.'!$C$9</f>
        <v>Tabla III.1.</v>
      </c>
      <c r="K388" s="110" t="str">
        <f>+K387</f>
        <v>B</v>
      </c>
      <c r="L388" s="107"/>
    </row>
    <row r="389" spans="1:12" s="415" customFormat="1">
      <c r="A389" s="412" t="s">
        <v>2944</v>
      </c>
      <c r="B389" s="412" t="str">
        <f t="shared" ca="1" si="128"/>
        <v>202502</v>
      </c>
      <c r="C389" s="412" t="str">
        <f t="shared" ca="1" si="129"/>
        <v>v2</v>
      </c>
      <c r="D389" s="413" t="str">
        <f ca="1">OFFSET('Tabla III.1.'!$F$46,H389-1,0)</f>
        <v>04.03.</v>
      </c>
      <c r="E389" s="412">
        <f t="shared" si="130"/>
        <v>0</v>
      </c>
      <c r="F389" s="414">
        <f ca="1">OFFSET('Tabla III.1.'!$H$46,H389-1,I389-1)</f>
        <v>0</v>
      </c>
      <c r="G389" s="412" t="str">
        <f ca="1">OFFSET('Tabla III.1.'!$H$1,0,I389-1)</f>
        <v>01</v>
      </c>
      <c r="H389" s="111">
        <f>+H383+1</f>
        <v>14</v>
      </c>
      <c r="I389" s="111">
        <v>1</v>
      </c>
      <c r="J389" s="111" t="str">
        <f ca="1">+'Tabla III.1.'!$C$9</f>
        <v>Tabla III.1.</v>
      </c>
      <c r="K389" s="111" t="s">
        <v>2267</v>
      </c>
      <c r="L389" s="412">
        <f>+L383+1</f>
        <v>14</v>
      </c>
    </row>
    <row r="390" spans="1:12" s="415" customFormat="1">
      <c r="A390" s="412" t="s">
        <v>2944</v>
      </c>
      <c r="B390" s="412" t="str">
        <f t="shared" ca="1" si="128"/>
        <v>202503</v>
      </c>
      <c r="C390" s="412" t="str">
        <f t="shared" ca="1" si="129"/>
        <v>v1</v>
      </c>
      <c r="D390" s="413" t="str">
        <f ca="1">+D389</f>
        <v>04.03.</v>
      </c>
      <c r="E390" s="412">
        <f t="shared" si="130"/>
        <v>0</v>
      </c>
      <c r="F390" s="414">
        <f ca="1">OFFSET('Tabla III.1.'!$H$46,H390-1,I390-1)</f>
        <v>0</v>
      </c>
      <c r="G390" s="412" t="str">
        <f ca="1">OFFSET('Tabla III.1.'!$H$1,0,I390-1)</f>
        <v>02</v>
      </c>
      <c r="H390" s="111">
        <f>+H389</f>
        <v>14</v>
      </c>
      <c r="I390" s="111">
        <f>+I389+1</f>
        <v>2</v>
      </c>
      <c r="J390" s="111" t="str">
        <f ca="1">+'Tabla III.1.'!$C$9</f>
        <v>Tabla III.1.</v>
      </c>
      <c r="K390" s="111" t="str">
        <f>+K389</f>
        <v>B</v>
      </c>
      <c r="L390" s="412"/>
    </row>
    <row r="391" spans="1:12" s="415" customFormat="1">
      <c r="A391" s="412" t="s">
        <v>2944</v>
      </c>
      <c r="B391" s="412" t="str">
        <f t="shared" ca="1" si="128"/>
        <v>202503</v>
      </c>
      <c r="C391" s="412" t="str">
        <f t="shared" ca="1" si="129"/>
        <v>v1</v>
      </c>
      <c r="D391" s="413" t="str">
        <f ca="1">+D390</f>
        <v>04.03.</v>
      </c>
      <c r="E391" s="412">
        <f t="shared" si="130"/>
        <v>0</v>
      </c>
      <c r="F391" s="414">
        <f ca="1">OFFSET('Tabla III.1.'!$H$46,H391-1,I391-1)</f>
        <v>0</v>
      </c>
      <c r="G391" s="412" t="str">
        <f ca="1">OFFSET('Tabla III.1.'!$H$1,0,I391-1)</f>
        <v>03</v>
      </c>
      <c r="H391" s="111">
        <f>+H390</f>
        <v>14</v>
      </c>
      <c r="I391" s="111">
        <f>+I390+1</f>
        <v>3</v>
      </c>
      <c r="J391" s="111" t="str">
        <f ca="1">+'Tabla III.1.'!$C$9</f>
        <v>Tabla III.1.</v>
      </c>
      <c r="K391" s="111" t="str">
        <f>+K390</f>
        <v>B</v>
      </c>
      <c r="L391" s="412"/>
    </row>
    <row r="392" spans="1:12" s="415" customFormat="1">
      <c r="A392" s="412" t="s">
        <v>2944</v>
      </c>
      <c r="B392" s="412" t="str">
        <f t="shared" ca="1" si="128"/>
        <v>202503</v>
      </c>
      <c r="C392" s="412" t="str">
        <f t="shared" ca="1" si="129"/>
        <v>v1</v>
      </c>
      <c r="D392" s="413" t="str">
        <f ca="1">+D391</f>
        <v>04.03.</v>
      </c>
      <c r="E392" s="412">
        <f t="shared" si="130"/>
        <v>0</v>
      </c>
      <c r="F392" s="414">
        <f ca="1">OFFSET('Tabla III.1.'!$H$46,H392-1,I392-1)</f>
        <v>0</v>
      </c>
      <c r="G392" s="412" t="str">
        <f ca="1">OFFSET('Tabla III.1.'!$H$1,0,I392-1)</f>
        <v>04</v>
      </c>
      <c r="H392" s="111">
        <f>+H391</f>
        <v>14</v>
      </c>
      <c r="I392" s="111">
        <f>+I391+1</f>
        <v>4</v>
      </c>
      <c r="J392" s="111" t="str">
        <f ca="1">+'Tabla III.1.'!$C$9</f>
        <v>Tabla III.1.</v>
      </c>
      <c r="K392" s="111" t="str">
        <f>+K391</f>
        <v>B</v>
      </c>
      <c r="L392" s="412"/>
    </row>
    <row r="393" spans="1:12" s="415" customFormat="1">
      <c r="A393" s="412" t="s">
        <v>2944</v>
      </c>
      <c r="B393" s="412" t="str">
        <f t="shared" ca="1" si="128"/>
        <v>202503</v>
      </c>
      <c r="C393" s="412" t="str">
        <f t="shared" ca="1" si="129"/>
        <v>v1</v>
      </c>
      <c r="D393" s="413" t="str">
        <f ca="1">+D392</f>
        <v>04.03.</v>
      </c>
      <c r="E393" s="412">
        <f t="shared" si="130"/>
        <v>0</v>
      </c>
      <c r="F393" s="414">
        <f ca="1">OFFSET('Tabla III.1.'!$H$46,H393-1,I393-1)</f>
        <v>0</v>
      </c>
      <c r="G393" s="412" t="str">
        <f ca="1">OFFSET('Tabla III.1.'!$H$1,0,I393-1)</f>
        <v>05</v>
      </c>
      <c r="H393" s="111">
        <f>+H392</f>
        <v>14</v>
      </c>
      <c r="I393" s="111">
        <f>+I392+1</f>
        <v>5</v>
      </c>
      <c r="J393" s="111" t="str">
        <f ca="1">+'Tabla III.1.'!$C$9</f>
        <v>Tabla III.1.</v>
      </c>
      <c r="K393" s="111" t="str">
        <f>+K392</f>
        <v>B</v>
      </c>
      <c r="L393" s="412"/>
    </row>
    <row r="394" spans="1:12" s="415" customFormat="1">
      <c r="A394" s="412" t="s">
        <v>2944</v>
      </c>
      <c r="B394" s="412" t="str">
        <f t="shared" ca="1" si="128"/>
        <v>202503</v>
      </c>
      <c r="C394" s="412" t="str">
        <f t="shared" ca="1" si="129"/>
        <v>v1</v>
      </c>
      <c r="D394" s="413" t="str">
        <f ca="1">+D393</f>
        <v>04.03.</v>
      </c>
      <c r="E394" s="412">
        <f t="shared" si="130"/>
        <v>0</v>
      </c>
      <c r="F394" s="414">
        <f ca="1">OFFSET('Tabla III.1.'!$H$46,H394-1,I394-1)</f>
        <v>0</v>
      </c>
      <c r="G394" s="412" t="str">
        <f ca="1">OFFSET('Tabla III.1.'!$H$1,0,I394-1)</f>
        <v>06</v>
      </c>
      <c r="H394" s="111">
        <f>+H393</f>
        <v>14</v>
      </c>
      <c r="I394" s="111">
        <f>+I393+1</f>
        <v>6</v>
      </c>
      <c r="J394" s="111" t="str">
        <f ca="1">+'Tabla III.1.'!$C$9</f>
        <v>Tabla III.1.</v>
      </c>
      <c r="K394" s="111" t="str">
        <f>+K393</f>
        <v>B</v>
      </c>
      <c r="L394" s="412"/>
    </row>
    <row r="395" spans="1:12" s="112" customFormat="1">
      <c r="A395" s="107" t="s">
        <v>2944</v>
      </c>
      <c r="B395" s="107" t="str">
        <f t="shared" ca="1" si="128"/>
        <v>202502</v>
      </c>
      <c r="C395" s="107" t="str">
        <f t="shared" ca="1" si="129"/>
        <v>v2</v>
      </c>
      <c r="D395" s="399" t="str">
        <f ca="1">OFFSET('Tabla III.1.'!$F$46,H395-1,0)</f>
        <v>04.03.01.</v>
      </c>
      <c r="E395" s="107">
        <f t="shared" si="130"/>
        <v>0</v>
      </c>
      <c r="F395" s="108">
        <f ca="1">OFFSET('Tabla III.1.'!$H$46,H395-1,I395-1)</f>
        <v>0</v>
      </c>
      <c r="G395" s="107" t="str">
        <f ca="1">OFFSET('Tabla III.1.'!$H$1,0,I395-1)</f>
        <v>01</v>
      </c>
      <c r="H395" s="110">
        <f>+H389+1</f>
        <v>15</v>
      </c>
      <c r="I395" s="110">
        <v>1</v>
      </c>
      <c r="J395" s="110" t="str">
        <f ca="1">+'Tabla III.1.'!$C$9</f>
        <v>Tabla III.1.</v>
      </c>
      <c r="K395" s="110" t="s">
        <v>2267</v>
      </c>
      <c r="L395" s="107">
        <f>+L389+1</f>
        <v>15</v>
      </c>
    </row>
    <row r="396" spans="1:12" s="112" customFormat="1">
      <c r="A396" s="107" t="s">
        <v>2944</v>
      </c>
      <c r="B396" s="107" t="str">
        <f t="shared" ca="1" si="128"/>
        <v>202503</v>
      </c>
      <c r="C396" s="107" t="str">
        <f t="shared" ca="1" si="129"/>
        <v>v1</v>
      </c>
      <c r="D396" s="399" t="str">
        <f ca="1">+D395</f>
        <v>04.03.01.</v>
      </c>
      <c r="E396" s="107">
        <f t="shared" si="130"/>
        <v>0</v>
      </c>
      <c r="F396" s="108">
        <f ca="1">OFFSET('Tabla III.1.'!$H$46,H396-1,I396-1)</f>
        <v>0</v>
      </c>
      <c r="G396" s="107" t="str">
        <f ca="1">OFFSET('Tabla III.1.'!$H$1,0,I396-1)</f>
        <v>02</v>
      </c>
      <c r="H396" s="110">
        <f>+H395</f>
        <v>15</v>
      </c>
      <c r="I396" s="110">
        <f>+I395+1</f>
        <v>2</v>
      </c>
      <c r="J396" s="110" t="str">
        <f ca="1">+'Tabla III.1.'!$C$9</f>
        <v>Tabla III.1.</v>
      </c>
      <c r="K396" s="110" t="str">
        <f>+K395</f>
        <v>B</v>
      </c>
      <c r="L396" s="107"/>
    </row>
    <row r="397" spans="1:12" s="112" customFormat="1">
      <c r="A397" s="107" t="s">
        <v>2944</v>
      </c>
      <c r="B397" s="107" t="str">
        <f t="shared" ca="1" si="128"/>
        <v>202503</v>
      </c>
      <c r="C397" s="107" t="str">
        <f t="shared" ca="1" si="129"/>
        <v>v1</v>
      </c>
      <c r="D397" s="399" t="str">
        <f ca="1">+D396</f>
        <v>04.03.01.</v>
      </c>
      <c r="E397" s="107">
        <f t="shared" si="130"/>
        <v>0</v>
      </c>
      <c r="F397" s="108">
        <f ca="1">OFFSET('Tabla III.1.'!$H$46,H397-1,I397-1)</f>
        <v>0</v>
      </c>
      <c r="G397" s="107" t="str">
        <f ca="1">OFFSET('Tabla III.1.'!$H$1,0,I397-1)</f>
        <v>03</v>
      </c>
      <c r="H397" s="110">
        <f>+H396</f>
        <v>15</v>
      </c>
      <c r="I397" s="110">
        <f>+I396+1</f>
        <v>3</v>
      </c>
      <c r="J397" s="110" t="str">
        <f ca="1">+'Tabla III.1.'!$C$9</f>
        <v>Tabla III.1.</v>
      </c>
      <c r="K397" s="110" t="str">
        <f>+K396</f>
        <v>B</v>
      </c>
      <c r="L397" s="107"/>
    </row>
    <row r="398" spans="1:12" s="112" customFormat="1">
      <c r="A398" s="107" t="s">
        <v>2944</v>
      </c>
      <c r="B398" s="107" t="str">
        <f t="shared" ca="1" si="128"/>
        <v>202503</v>
      </c>
      <c r="C398" s="107" t="str">
        <f t="shared" ca="1" si="129"/>
        <v>v1</v>
      </c>
      <c r="D398" s="399" t="str">
        <f ca="1">+D397</f>
        <v>04.03.01.</v>
      </c>
      <c r="E398" s="107">
        <f t="shared" si="130"/>
        <v>0</v>
      </c>
      <c r="F398" s="108">
        <f ca="1">OFFSET('Tabla III.1.'!$H$46,H398-1,I398-1)</f>
        <v>0</v>
      </c>
      <c r="G398" s="107" t="str">
        <f ca="1">OFFSET('Tabla III.1.'!$H$1,0,I398-1)</f>
        <v>04</v>
      </c>
      <c r="H398" s="110">
        <f>+H397</f>
        <v>15</v>
      </c>
      <c r="I398" s="110">
        <f>+I397+1</f>
        <v>4</v>
      </c>
      <c r="J398" s="110" t="str">
        <f ca="1">+'Tabla III.1.'!$C$9</f>
        <v>Tabla III.1.</v>
      </c>
      <c r="K398" s="110" t="str">
        <f>+K397</f>
        <v>B</v>
      </c>
      <c r="L398" s="107"/>
    </row>
    <row r="399" spans="1:12" s="112" customFormat="1">
      <c r="A399" s="107" t="s">
        <v>2944</v>
      </c>
      <c r="B399" s="107" t="str">
        <f t="shared" ca="1" si="128"/>
        <v>202503</v>
      </c>
      <c r="C399" s="107" t="str">
        <f t="shared" ca="1" si="129"/>
        <v>v1</v>
      </c>
      <c r="D399" s="399" t="str">
        <f ca="1">+D398</f>
        <v>04.03.01.</v>
      </c>
      <c r="E399" s="107">
        <f t="shared" si="130"/>
        <v>0</v>
      </c>
      <c r="F399" s="108">
        <f ca="1">OFFSET('Tabla III.1.'!$H$46,H399-1,I399-1)</f>
        <v>0</v>
      </c>
      <c r="G399" s="107" t="str">
        <f ca="1">OFFSET('Tabla III.1.'!$H$1,0,I399-1)</f>
        <v>05</v>
      </c>
      <c r="H399" s="110">
        <f>+H398</f>
        <v>15</v>
      </c>
      <c r="I399" s="110">
        <f>+I398+1</f>
        <v>5</v>
      </c>
      <c r="J399" s="110" t="str">
        <f ca="1">+'Tabla III.1.'!$C$9</f>
        <v>Tabla III.1.</v>
      </c>
      <c r="K399" s="110" t="str">
        <f>+K398</f>
        <v>B</v>
      </c>
      <c r="L399" s="107"/>
    </row>
    <row r="400" spans="1:12" s="112" customFormat="1">
      <c r="A400" s="107" t="s">
        <v>2944</v>
      </c>
      <c r="B400" s="107" t="str">
        <f t="shared" ca="1" si="128"/>
        <v>202503</v>
      </c>
      <c r="C400" s="107" t="str">
        <f t="shared" ca="1" si="129"/>
        <v>v1</v>
      </c>
      <c r="D400" s="399" t="str">
        <f ca="1">+D399</f>
        <v>04.03.01.</v>
      </c>
      <c r="E400" s="107">
        <f t="shared" si="130"/>
        <v>0</v>
      </c>
      <c r="F400" s="108">
        <f ca="1">OFFSET('Tabla III.1.'!$H$46,H400-1,I400-1)</f>
        <v>0</v>
      </c>
      <c r="G400" s="107" t="str">
        <f ca="1">OFFSET('Tabla III.1.'!$H$1,0,I400-1)</f>
        <v>06</v>
      </c>
      <c r="H400" s="110">
        <f>+H399</f>
        <v>15</v>
      </c>
      <c r="I400" s="110">
        <f>+I399+1</f>
        <v>6</v>
      </c>
      <c r="J400" s="110" t="str">
        <f ca="1">+'Tabla III.1.'!$C$9</f>
        <v>Tabla III.1.</v>
      </c>
      <c r="K400" s="110" t="str">
        <f>+K399</f>
        <v>B</v>
      </c>
      <c r="L400" s="107"/>
    </row>
    <row r="401" spans="1:12" s="415" customFormat="1">
      <c r="A401" s="412" t="s">
        <v>2944</v>
      </c>
      <c r="B401" s="412" t="str">
        <f t="shared" ca="1" si="128"/>
        <v>202502</v>
      </c>
      <c r="C401" s="412" t="str">
        <f t="shared" ca="1" si="129"/>
        <v>v2</v>
      </c>
      <c r="D401" s="413" t="str">
        <f ca="1">OFFSET('Tabla III.1.'!$F$46,H401-1,0)</f>
        <v>04.03.02.</v>
      </c>
      <c r="E401" s="412">
        <f t="shared" si="130"/>
        <v>0</v>
      </c>
      <c r="F401" s="414">
        <f ca="1">OFFSET('Tabla III.1.'!$H$46,H401-1,I401-1)</f>
        <v>0</v>
      </c>
      <c r="G401" s="412" t="str">
        <f ca="1">OFFSET('Tabla III.1.'!$H$1,0,I401-1)</f>
        <v>01</v>
      </c>
      <c r="H401" s="111">
        <f>+H395+1</f>
        <v>16</v>
      </c>
      <c r="I401" s="111">
        <v>1</v>
      </c>
      <c r="J401" s="111" t="str">
        <f ca="1">+'Tabla III.1.'!$C$9</f>
        <v>Tabla III.1.</v>
      </c>
      <c r="K401" s="111" t="s">
        <v>2267</v>
      </c>
      <c r="L401" s="412">
        <f>+L395+1</f>
        <v>16</v>
      </c>
    </row>
    <row r="402" spans="1:12" s="415" customFormat="1">
      <c r="A402" s="412" t="s">
        <v>2944</v>
      </c>
      <c r="B402" s="412" t="str">
        <f t="shared" ca="1" si="128"/>
        <v>202503</v>
      </c>
      <c r="C402" s="412" t="str">
        <f t="shared" ca="1" si="129"/>
        <v>v1</v>
      </c>
      <c r="D402" s="413" t="str">
        <f ca="1">+D401</f>
        <v>04.03.02.</v>
      </c>
      <c r="E402" s="412">
        <f t="shared" si="130"/>
        <v>0</v>
      </c>
      <c r="F402" s="414">
        <f ca="1">OFFSET('Tabla III.1.'!$H$46,H402-1,I402-1)</f>
        <v>0</v>
      </c>
      <c r="G402" s="412" t="str">
        <f ca="1">OFFSET('Tabla III.1.'!$H$1,0,I402-1)</f>
        <v>02</v>
      </c>
      <c r="H402" s="111">
        <f>+H401</f>
        <v>16</v>
      </c>
      <c r="I402" s="111">
        <f>+I401+1</f>
        <v>2</v>
      </c>
      <c r="J402" s="111" t="str">
        <f ca="1">+'Tabla III.1.'!$C$9</f>
        <v>Tabla III.1.</v>
      </c>
      <c r="K402" s="111" t="str">
        <f>+K401</f>
        <v>B</v>
      </c>
      <c r="L402" s="412"/>
    </row>
    <row r="403" spans="1:12" s="415" customFormat="1">
      <c r="A403" s="412" t="s">
        <v>2944</v>
      </c>
      <c r="B403" s="412" t="str">
        <f t="shared" ca="1" si="128"/>
        <v>202503</v>
      </c>
      <c r="C403" s="412" t="str">
        <f t="shared" ca="1" si="129"/>
        <v>v1</v>
      </c>
      <c r="D403" s="413" t="str">
        <f ca="1">+D402</f>
        <v>04.03.02.</v>
      </c>
      <c r="E403" s="412">
        <f t="shared" si="130"/>
        <v>0</v>
      </c>
      <c r="F403" s="414">
        <f ca="1">OFFSET('Tabla III.1.'!$H$46,H403-1,I403-1)</f>
        <v>0</v>
      </c>
      <c r="G403" s="412" t="str">
        <f ca="1">OFFSET('Tabla III.1.'!$H$1,0,I403-1)</f>
        <v>03</v>
      </c>
      <c r="H403" s="111">
        <f>+H402</f>
        <v>16</v>
      </c>
      <c r="I403" s="111">
        <f>+I402+1</f>
        <v>3</v>
      </c>
      <c r="J403" s="111" t="str">
        <f ca="1">+'Tabla III.1.'!$C$9</f>
        <v>Tabla III.1.</v>
      </c>
      <c r="K403" s="111" t="str">
        <f>+K402</f>
        <v>B</v>
      </c>
      <c r="L403" s="412"/>
    </row>
    <row r="404" spans="1:12" s="415" customFormat="1">
      <c r="A404" s="412" t="s">
        <v>2944</v>
      </c>
      <c r="B404" s="412" t="str">
        <f t="shared" ca="1" si="128"/>
        <v>202503</v>
      </c>
      <c r="C404" s="412" t="str">
        <f t="shared" ca="1" si="129"/>
        <v>v1</v>
      </c>
      <c r="D404" s="413" t="str">
        <f ca="1">+D403</f>
        <v>04.03.02.</v>
      </c>
      <c r="E404" s="412">
        <f t="shared" si="130"/>
        <v>0</v>
      </c>
      <c r="F404" s="414">
        <f ca="1">OFFSET('Tabla III.1.'!$H$46,H404-1,I404-1)</f>
        <v>0</v>
      </c>
      <c r="G404" s="412" t="str">
        <f ca="1">OFFSET('Tabla III.1.'!$H$1,0,I404-1)</f>
        <v>04</v>
      </c>
      <c r="H404" s="111">
        <f>+H403</f>
        <v>16</v>
      </c>
      <c r="I404" s="111">
        <f>+I403+1</f>
        <v>4</v>
      </c>
      <c r="J404" s="111" t="str">
        <f ca="1">+'Tabla III.1.'!$C$9</f>
        <v>Tabla III.1.</v>
      </c>
      <c r="K404" s="111" t="str">
        <f>+K403</f>
        <v>B</v>
      </c>
      <c r="L404" s="412"/>
    </row>
    <row r="405" spans="1:12" s="415" customFormat="1">
      <c r="A405" s="412" t="s">
        <v>2944</v>
      </c>
      <c r="B405" s="412" t="str">
        <f t="shared" ca="1" si="128"/>
        <v>202503</v>
      </c>
      <c r="C405" s="412" t="str">
        <f t="shared" ca="1" si="129"/>
        <v>v1</v>
      </c>
      <c r="D405" s="413" t="str">
        <f ca="1">+D404</f>
        <v>04.03.02.</v>
      </c>
      <c r="E405" s="412">
        <f t="shared" si="130"/>
        <v>0</v>
      </c>
      <c r="F405" s="414">
        <f ca="1">OFFSET('Tabla III.1.'!$H$46,H405-1,I405-1)</f>
        <v>0</v>
      </c>
      <c r="G405" s="412" t="str">
        <f ca="1">OFFSET('Tabla III.1.'!$H$1,0,I405-1)</f>
        <v>05</v>
      </c>
      <c r="H405" s="111">
        <f>+H404</f>
        <v>16</v>
      </c>
      <c r="I405" s="111">
        <f>+I404+1</f>
        <v>5</v>
      </c>
      <c r="J405" s="111" t="str">
        <f ca="1">+'Tabla III.1.'!$C$9</f>
        <v>Tabla III.1.</v>
      </c>
      <c r="K405" s="111" t="str">
        <f>+K404</f>
        <v>B</v>
      </c>
      <c r="L405" s="412"/>
    </row>
    <row r="406" spans="1:12" s="415" customFormat="1">
      <c r="A406" s="412" t="s">
        <v>2944</v>
      </c>
      <c r="B406" s="412" t="str">
        <f t="shared" ca="1" si="128"/>
        <v>202503</v>
      </c>
      <c r="C406" s="412" t="str">
        <f t="shared" ca="1" si="129"/>
        <v>v1</v>
      </c>
      <c r="D406" s="413" t="str">
        <f ca="1">+D405</f>
        <v>04.03.02.</v>
      </c>
      <c r="E406" s="412">
        <f t="shared" si="130"/>
        <v>0</v>
      </c>
      <c r="F406" s="414">
        <f ca="1">OFFSET('Tabla III.1.'!$H$46,H406-1,I406-1)</f>
        <v>0</v>
      </c>
      <c r="G406" s="412" t="str">
        <f ca="1">OFFSET('Tabla III.1.'!$H$1,0,I406-1)</f>
        <v>06</v>
      </c>
      <c r="H406" s="111">
        <f>+H405</f>
        <v>16</v>
      </c>
      <c r="I406" s="111">
        <f>+I405+1</f>
        <v>6</v>
      </c>
      <c r="J406" s="111" t="str">
        <f ca="1">+'Tabla III.1.'!$C$9</f>
        <v>Tabla III.1.</v>
      </c>
      <c r="K406" s="111" t="str">
        <f>+K405</f>
        <v>B</v>
      </c>
      <c r="L406" s="412"/>
    </row>
    <row r="407" spans="1:12" s="112" customFormat="1">
      <c r="A407" s="107" t="s">
        <v>2944</v>
      </c>
      <c r="B407" s="107" t="str">
        <f t="shared" ca="1" si="128"/>
        <v>202502</v>
      </c>
      <c r="C407" s="107" t="str">
        <f t="shared" ca="1" si="129"/>
        <v>v2</v>
      </c>
      <c r="D407" s="399" t="str">
        <f ca="1">OFFSET('Tabla III.1.'!$F$46,H407-1,0)</f>
        <v>04.04.00.</v>
      </c>
      <c r="E407" s="107">
        <f t="shared" si="130"/>
        <v>0</v>
      </c>
      <c r="F407" s="108">
        <f ca="1">OFFSET('Tabla III.1.'!$H$46,H407-1,I407-1)</f>
        <v>0</v>
      </c>
      <c r="G407" s="107" t="str">
        <f ca="1">OFFSET('Tabla III.1.'!$H$1,0,I407-1)</f>
        <v>01</v>
      </c>
      <c r="H407" s="110">
        <f>+H401+1</f>
        <v>17</v>
      </c>
      <c r="I407" s="110">
        <v>1</v>
      </c>
      <c r="J407" s="110" t="str">
        <f ca="1">+'Tabla III.1.'!$C$9</f>
        <v>Tabla III.1.</v>
      </c>
      <c r="K407" s="110" t="s">
        <v>2267</v>
      </c>
      <c r="L407" s="107">
        <f>+L401+1</f>
        <v>17</v>
      </c>
    </row>
    <row r="408" spans="1:12" s="112" customFormat="1">
      <c r="A408" s="107" t="s">
        <v>2944</v>
      </c>
      <c r="B408" s="107" t="str">
        <f t="shared" ca="1" si="128"/>
        <v>202503</v>
      </c>
      <c r="C408" s="107" t="str">
        <f t="shared" ca="1" si="129"/>
        <v>v1</v>
      </c>
      <c r="D408" s="399" t="str">
        <f ca="1">+D407</f>
        <v>04.04.00.</v>
      </c>
      <c r="E408" s="107">
        <f t="shared" si="130"/>
        <v>0</v>
      </c>
      <c r="F408" s="108">
        <f ca="1">OFFSET('Tabla III.1.'!$H$46,H408-1,I408-1)</f>
        <v>0</v>
      </c>
      <c r="G408" s="107" t="str">
        <f ca="1">OFFSET('Tabla III.1.'!$H$1,0,I408-1)</f>
        <v>02</v>
      </c>
      <c r="H408" s="110">
        <f>+H407</f>
        <v>17</v>
      </c>
      <c r="I408" s="110">
        <f>+I407+1</f>
        <v>2</v>
      </c>
      <c r="J408" s="110" t="str">
        <f ca="1">+'Tabla III.1.'!$C$9</f>
        <v>Tabla III.1.</v>
      </c>
      <c r="K408" s="110" t="str">
        <f>+K407</f>
        <v>B</v>
      </c>
      <c r="L408" s="107"/>
    </row>
    <row r="409" spans="1:12" s="112" customFormat="1">
      <c r="A409" s="107" t="s">
        <v>2944</v>
      </c>
      <c r="B409" s="107" t="str">
        <f t="shared" ca="1" si="128"/>
        <v>202503</v>
      </c>
      <c r="C409" s="107" t="str">
        <f t="shared" ca="1" si="129"/>
        <v>v1</v>
      </c>
      <c r="D409" s="399" t="str">
        <f ca="1">+D408</f>
        <v>04.04.00.</v>
      </c>
      <c r="E409" s="107">
        <f t="shared" si="130"/>
        <v>0</v>
      </c>
      <c r="F409" s="108">
        <f ca="1">OFFSET('Tabla III.1.'!$H$46,H409-1,I409-1)</f>
        <v>0</v>
      </c>
      <c r="G409" s="107" t="str">
        <f ca="1">OFFSET('Tabla III.1.'!$H$1,0,I409-1)</f>
        <v>03</v>
      </c>
      <c r="H409" s="110">
        <f>+H408</f>
        <v>17</v>
      </c>
      <c r="I409" s="110">
        <f>+I408+1</f>
        <v>3</v>
      </c>
      <c r="J409" s="110" t="str">
        <f ca="1">+'Tabla III.1.'!$C$9</f>
        <v>Tabla III.1.</v>
      </c>
      <c r="K409" s="110" t="str">
        <f>+K408</f>
        <v>B</v>
      </c>
      <c r="L409" s="107"/>
    </row>
    <row r="410" spans="1:12" s="112" customFormat="1">
      <c r="A410" s="107" t="s">
        <v>2944</v>
      </c>
      <c r="B410" s="107" t="str">
        <f t="shared" ca="1" si="128"/>
        <v>202503</v>
      </c>
      <c r="C410" s="107" t="str">
        <f t="shared" ca="1" si="129"/>
        <v>v1</v>
      </c>
      <c r="D410" s="399" t="str">
        <f ca="1">+D409</f>
        <v>04.04.00.</v>
      </c>
      <c r="E410" s="107">
        <f t="shared" si="130"/>
        <v>0</v>
      </c>
      <c r="F410" s="108">
        <f ca="1">OFFSET('Tabla III.1.'!$H$46,H410-1,I410-1)</f>
        <v>0</v>
      </c>
      <c r="G410" s="107" t="str">
        <f ca="1">OFFSET('Tabla III.1.'!$H$1,0,I410-1)</f>
        <v>04</v>
      </c>
      <c r="H410" s="110">
        <f>+H409</f>
        <v>17</v>
      </c>
      <c r="I410" s="110">
        <f>+I409+1</f>
        <v>4</v>
      </c>
      <c r="J410" s="110" t="str">
        <f ca="1">+'Tabla III.1.'!$C$9</f>
        <v>Tabla III.1.</v>
      </c>
      <c r="K410" s="110" t="str">
        <f>+K409</f>
        <v>B</v>
      </c>
      <c r="L410" s="107"/>
    </row>
    <row r="411" spans="1:12" s="112" customFormat="1">
      <c r="A411" s="107" t="s">
        <v>2944</v>
      </c>
      <c r="B411" s="107" t="str">
        <f t="shared" ca="1" si="128"/>
        <v>202503</v>
      </c>
      <c r="C411" s="107" t="str">
        <f t="shared" ca="1" si="129"/>
        <v>v1</v>
      </c>
      <c r="D411" s="399" t="str">
        <f ca="1">+D410</f>
        <v>04.04.00.</v>
      </c>
      <c r="E411" s="107">
        <f t="shared" si="130"/>
        <v>0</v>
      </c>
      <c r="F411" s="108">
        <f ca="1">OFFSET('Tabla III.1.'!$H$46,H411-1,I411-1)</f>
        <v>0</v>
      </c>
      <c r="G411" s="107" t="str">
        <f ca="1">OFFSET('Tabla III.1.'!$H$1,0,I411-1)</f>
        <v>05</v>
      </c>
      <c r="H411" s="110">
        <f>+H410</f>
        <v>17</v>
      </c>
      <c r="I411" s="110">
        <f>+I410+1</f>
        <v>5</v>
      </c>
      <c r="J411" s="110" t="str">
        <f ca="1">+'Tabla III.1.'!$C$9</f>
        <v>Tabla III.1.</v>
      </c>
      <c r="K411" s="110" t="str">
        <f>+K410</f>
        <v>B</v>
      </c>
      <c r="L411" s="107"/>
    </row>
    <row r="412" spans="1:12" s="112" customFormat="1">
      <c r="A412" s="107" t="s">
        <v>2944</v>
      </c>
      <c r="B412" s="107" t="str">
        <f t="shared" ca="1" si="128"/>
        <v>202503</v>
      </c>
      <c r="C412" s="107" t="str">
        <f t="shared" ca="1" si="129"/>
        <v>v1</v>
      </c>
      <c r="D412" s="399" t="str">
        <f ca="1">+D411</f>
        <v>04.04.00.</v>
      </c>
      <c r="E412" s="107">
        <f t="shared" si="130"/>
        <v>0</v>
      </c>
      <c r="F412" s="108">
        <f ca="1">OFFSET('Tabla III.1.'!$H$46,H412-1,I412-1)</f>
        <v>0</v>
      </c>
      <c r="G412" s="107" t="str">
        <f ca="1">OFFSET('Tabla III.1.'!$H$1,0,I412-1)</f>
        <v>06</v>
      </c>
      <c r="H412" s="110">
        <f>+H411</f>
        <v>17</v>
      </c>
      <c r="I412" s="110">
        <f>+I411+1</f>
        <v>6</v>
      </c>
      <c r="J412" s="110" t="str">
        <f ca="1">+'Tabla III.1.'!$C$9</f>
        <v>Tabla III.1.</v>
      </c>
      <c r="K412" s="110" t="str">
        <f>+K411</f>
        <v>B</v>
      </c>
      <c r="L412" s="107"/>
    </row>
    <row r="413" spans="1:12" s="415" customFormat="1">
      <c r="A413" s="412" t="s">
        <v>2944</v>
      </c>
      <c r="B413" s="412" t="str">
        <f t="shared" ca="1" si="128"/>
        <v>202502</v>
      </c>
      <c r="C413" s="412" t="str">
        <f t="shared" ca="1" si="129"/>
        <v>v2</v>
      </c>
      <c r="D413" s="413" t="str">
        <f ca="1">OFFSET('Tabla III.1.'!$F$46,H413-1,0)</f>
        <v>04.99.</v>
      </c>
      <c r="E413" s="412">
        <f t="shared" si="130"/>
        <v>0</v>
      </c>
      <c r="F413" s="414">
        <f ca="1">OFFSET('Tabla III.1.'!$H$46,H413-1,I413-1)</f>
        <v>0</v>
      </c>
      <c r="G413" s="412" t="str">
        <f ca="1">OFFSET('Tabla III.1.'!$H$1,0,I413-1)</f>
        <v>01</v>
      </c>
      <c r="H413" s="111">
        <f>+H407+1</f>
        <v>18</v>
      </c>
      <c r="I413" s="111">
        <v>1</v>
      </c>
      <c r="J413" s="111" t="str">
        <f ca="1">+'Tabla III.1.'!$C$9</f>
        <v>Tabla III.1.</v>
      </c>
      <c r="K413" s="111" t="s">
        <v>2267</v>
      </c>
      <c r="L413" s="412">
        <f>+L407+1</f>
        <v>18</v>
      </c>
    </row>
    <row r="414" spans="1:12" s="415" customFormat="1">
      <c r="A414" s="412" t="s">
        <v>2944</v>
      </c>
      <c r="B414" s="412" t="str">
        <f t="shared" ca="1" si="128"/>
        <v>202503</v>
      </c>
      <c r="C414" s="412" t="str">
        <f t="shared" ca="1" si="129"/>
        <v>v1</v>
      </c>
      <c r="D414" s="413" t="str">
        <f ca="1">+D413</f>
        <v>04.99.</v>
      </c>
      <c r="E414" s="412">
        <f t="shared" si="130"/>
        <v>0</v>
      </c>
      <c r="F414" s="414">
        <f ca="1">OFFSET('Tabla III.1.'!$H$46,H414-1,I414-1)</f>
        <v>0</v>
      </c>
      <c r="G414" s="412" t="str">
        <f ca="1">OFFSET('Tabla III.1.'!$H$1,0,I414-1)</f>
        <v>02</v>
      </c>
      <c r="H414" s="111">
        <f>+H413</f>
        <v>18</v>
      </c>
      <c r="I414" s="111">
        <f>+I413+1</f>
        <v>2</v>
      </c>
      <c r="J414" s="111" t="str">
        <f ca="1">+'Tabla III.1.'!$C$9</f>
        <v>Tabla III.1.</v>
      </c>
      <c r="K414" s="111" t="str">
        <f>+K413</f>
        <v>B</v>
      </c>
      <c r="L414" s="412"/>
    </row>
    <row r="415" spans="1:12" s="415" customFormat="1">
      <c r="A415" s="412" t="s">
        <v>2944</v>
      </c>
      <c r="B415" s="412" t="str">
        <f t="shared" ca="1" si="128"/>
        <v>202503</v>
      </c>
      <c r="C415" s="412" t="str">
        <f t="shared" ca="1" si="129"/>
        <v>v1</v>
      </c>
      <c r="D415" s="413" t="str">
        <f ca="1">+D414</f>
        <v>04.99.</v>
      </c>
      <c r="E415" s="412">
        <f t="shared" si="130"/>
        <v>0</v>
      </c>
      <c r="F415" s="414">
        <f ca="1">OFFSET('Tabla III.1.'!$H$46,H415-1,I415-1)</f>
        <v>0</v>
      </c>
      <c r="G415" s="412" t="str">
        <f ca="1">OFFSET('Tabla III.1.'!$H$1,0,I415-1)</f>
        <v>03</v>
      </c>
      <c r="H415" s="111">
        <f>+H414</f>
        <v>18</v>
      </c>
      <c r="I415" s="111">
        <f>+I414+1</f>
        <v>3</v>
      </c>
      <c r="J415" s="111" t="str">
        <f ca="1">+'Tabla III.1.'!$C$9</f>
        <v>Tabla III.1.</v>
      </c>
      <c r="K415" s="111" t="str">
        <f>+K414</f>
        <v>B</v>
      </c>
      <c r="L415" s="412"/>
    </row>
    <row r="416" spans="1:12" s="415" customFormat="1">
      <c r="A416" s="412" t="s">
        <v>2944</v>
      </c>
      <c r="B416" s="412" t="str">
        <f t="shared" ca="1" si="128"/>
        <v>202503</v>
      </c>
      <c r="C416" s="412" t="str">
        <f t="shared" ca="1" si="129"/>
        <v>v1</v>
      </c>
      <c r="D416" s="413" t="str">
        <f ca="1">+D415</f>
        <v>04.99.</v>
      </c>
      <c r="E416" s="412">
        <f t="shared" si="130"/>
        <v>0</v>
      </c>
      <c r="F416" s="414">
        <f ca="1">OFFSET('Tabla III.1.'!$H$46,H416-1,I416-1)</f>
        <v>0</v>
      </c>
      <c r="G416" s="412" t="str">
        <f ca="1">OFFSET('Tabla III.1.'!$H$1,0,I416-1)</f>
        <v>04</v>
      </c>
      <c r="H416" s="111">
        <f>+H415</f>
        <v>18</v>
      </c>
      <c r="I416" s="111">
        <f>+I415+1</f>
        <v>4</v>
      </c>
      <c r="J416" s="111" t="str">
        <f ca="1">+'Tabla III.1.'!$C$9</f>
        <v>Tabla III.1.</v>
      </c>
      <c r="K416" s="111" t="str">
        <f>+K415</f>
        <v>B</v>
      </c>
      <c r="L416" s="412"/>
    </row>
    <row r="417" spans="1:12" s="415" customFormat="1">
      <c r="A417" s="412" t="s">
        <v>2944</v>
      </c>
      <c r="B417" s="412" t="str">
        <f t="shared" ca="1" si="128"/>
        <v>202503</v>
      </c>
      <c r="C417" s="412" t="str">
        <f t="shared" ca="1" si="129"/>
        <v>v1</v>
      </c>
      <c r="D417" s="413" t="str">
        <f ca="1">+D416</f>
        <v>04.99.</v>
      </c>
      <c r="E417" s="412">
        <f t="shared" si="130"/>
        <v>0</v>
      </c>
      <c r="F417" s="414">
        <f ca="1">OFFSET('Tabla III.1.'!$H$46,H417-1,I417-1)</f>
        <v>0</v>
      </c>
      <c r="G417" s="412" t="str">
        <f ca="1">OFFSET('Tabla III.1.'!$H$1,0,I417-1)</f>
        <v>05</v>
      </c>
      <c r="H417" s="111">
        <f>+H416</f>
        <v>18</v>
      </c>
      <c r="I417" s="111">
        <f>+I416+1</f>
        <v>5</v>
      </c>
      <c r="J417" s="111" t="str">
        <f ca="1">+'Tabla III.1.'!$C$9</f>
        <v>Tabla III.1.</v>
      </c>
      <c r="K417" s="111" t="str">
        <f>+K416</f>
        <v>B</v>
      </c>
      <c r="L417" s="412"/>
    </row>
    <row r="418" spans="1:12" s="415" customFormat="1">
      <c r="A418" s="412" t="s">
        <v>2944</v>
      </c>
      <c r="B418" s="412" t="str">
        <f t="shared" ca="1" si="128"/>
        <v>202503</v>
      </c>
      <c r="C418" s="412" t="str">
        <f t="shared" ca="1" si="129"/>
        <v>v1</v>
      </c>
      <c r="D418" s="413" t="str">
        <f ca="1">+D417</f>
        <v>04.99.</v>
      </c>
      <c r="E418" s="412">
        <f t="shared" si="130"/>
        <v>0</v>
      </c>
      <c r="F418" s="414">
        <f ca="1">OFFSET('Tabla III.1.'!$H$46,H418-1,I418-1)</f>
        <v>0</v>
      </c>
      <c r="G418" s="412" t="str">
        <f ca="1">OFFSET('Tabla III.1.'!$H$1,0,I418-1)</f>
        <v>06</v>
      </c>
      <c r="H418" s="111">
        <f>+H417</f>
        <v>18</v>
      </c>
      <c r="I418" s="111">
        <f>+I417+1</f>
        <v>6</v>
      </c>
      <c r="J418" s="111" t="str">
        <f ca="1">+'Tabla III.1.'!$C$9</f>
        <v>Tabla III.1.</v>
      </c>
      <c r="K418" s="111" t="str">
        <f>+K417</f>
        <v>B</v>
      </c>
      <c r="L418" s="412"/>
    </row>
    <row r="419" spans="1:12" s="112" customFormat="1">
      <c r="A419" s="107" t="s">
        <v>2944</v>
      </c>
      <c r="B419" s="107" t="str">
        <f t="shared" ca="1" si="128"/>
        <v>202502</v>
      </c>
      <c r="C419" s="107" t="str">
        <f t="shared" ca="1" si="129"/>
        <v>v2</v>
      </c>
      <c r="D419" s="399" t="str">
        <f ca="1">OFFSET('Tabla III.1.'!$F$46,H419-1,0)</f>
        <v>04..01.</v>
      </c>
      <c r="E419" s="107">
        <f t="shared" si="130"/>
        <v>0</v>
      </c>
      <c r="F419" s="108">
        <f ca="1">OFFSET('Tabla III.1.'!$H$46,H419-1,I419-1)</f>
        <v>0</v>
      </c>
      <c r="G419" s="107" t="str">
        <f ca="1">OFFSET('Tabla III.1.'!$H$1,0,I419-1)</f>
        <v>01</v>
      </c>
      <c r="H419" s="439">
        <v>22</v>
      </c>
      <c r="I419" s="110">
        <v>1</v>
      </c>
      <c r="J419" s="110" t="str">
        <f ca="1">+'Tabla III.1.'!$C$9</f>
        <v>Tabla III.1.</v>
      </c>
      <c r="K419" s="110" t="s">
        <v>2267</v>
      </c>
      <c r="L419" s="440">
        <f>+L413+1</f>
        <v>19</v>
      </c>
    </row>
    <row r="420" spans="1:12" s="112" customFormat="1">
      <c r="A420" s="107" t="s">
        <v>2944</v>
      </c>
      <c r="B420" s="107" t="str">
        <f t="shared" ca="1" si="128"/>
        <v>202503</v>
      </c>
      <c r="C420" s="107" t="str">
        <f t="shared" ca="1" si="129"/>
        <v>v1</v>
      </c>
      <c r="D420" s="399" t="str">
        <f ca="1">+D419</f>
        <v>04..01.</v>
      </c>
      <c r="E420" s="107">
        <f t="shared" si="130"/>
        <v>0</v>
      </c>
      <c r="F420" s="108">
        <f ca="1">OFFSET('Tabla III.1.'!$H$46,H420-1,I420-1)</f>
        <v>0</v>
      </c>
      <c r="G420" s="107" t="str">
        <f ca="1">OFFSET('Tabla III.1.'!$H$1,0,I420-1)</f>
        <v>02</v>
      </c>
      <c r="H420" s="110">
        <f>+H419</f>
        <v>22</v>
      </c>
      <c r="I420" s="110">
        <f>+I419+1</f>
        <v>2</v>
      </c>
      <c r="J420" s="110" t="str">
        <f ca="1">+'Tabla III.1.'!$C$9</f>
        <v>Tabla III.1.</v>
      </c>
      <c r="K420" s="110" t="str">
        <f>+K419</f>
        <v>B</v>
      </c>
      <c r="L420" s="107"/>
    </row>
    <row r="421" spans="1:12" s="112" customFormat="1">
      <c r="A421" s="107" t="s">
        <v>2944</v>
      </c>
      <c r="B421" s="107" t="str">
        <f t="shared" ca="1" si="128"/>
        <v>202503</v>
      </c>
      <c r="C421" s="107" t="str">
        <f t="shared" ca="1" si="129"/>
        <v>v1</v>
      </c>
      <c r="D421" s="399" t="str">
        <f ca="1">+D420</f>
        <v>04..01.</v>
      </c>
      <c r="E421" s="107">
        <f t="shared" si="130"/>
        <v>0</v>
      </c>
      <c r="F421" s="108">
        <f ca="1">OFFSET('Tabla III.1.'!$H$46,H421-1,I421-1)</f>
        <v>0</v>
      </c>
      <c r="G421" s="107" t="str">
        <f ca="1">OFFSET('Tabla III.1.'!$H$1,0,I421-1)</f>
        <v>03</v>
      </c>
      <c r="H421" s="110">
        <f>+H420</f>
        <v>22</v>
      </c>
      <c r="I421" s="110">
        <f>+I420+1</f>
        <v>3</v>
      </c>
      <c r="J421" s="110" t="str">
        <f ca="1">+'Tabla III.1.'!$C$9</f>
        <v>Tabla III.1.</v>
      </c>
      <c r="K421" s="110" t="str">
        <f>+K420</f>
        <v>B</v>
      </c>
      <c r="L421" s="107"/>
    </row>
    <row r="422" spans="1:12" s="112" customFormat="1">
      <c r="A422" s="107" t="s">
        <v>2944</v>
      </c>
      <c r="B422" s="107" t="str">
        <f t="shared" ca="1" si="128"/>
        <v>202503</v>
      </c>
      <c r="C422" s="107" t="str">
        <f t="shared" ca="1" si="129"/>
        <v>v1</v>
      </c>
      <c r="D422" s="399" t="str">
        <f ca="1">+D421</f>
        <v>04..01.</v>
      </c>
      <c r="E422" s="107">
        <f t="shared" si="130"/>
        <v>0</v>
      </c>
      <c r="F422" s="108">
        <f ca="1">OFFSET('Tabla III.1.'!$H$46,H422-1,I422-1)</f>
        <v>0</v>
      </c>
      <c r="G422" s="107" t="str">
        <f ca="1">OFFSET('Tabla III.1.'!$H$1,0,I422-1)</f>
        <v>04</v>
      </c>
      <c r="H422" s="110">
        <f>+H421</f>
        <v>22</v>
      </c>
      <c r="I422" s="110">
        <f>+I421+1</f>
        <v>4</v>
      </c>
      <c r="J422" s="110" t="str">
        <f ca="1">+'Tabla III.1.'!$C$9</f>
        <v>Tabla III.1.</v>
      </c>
      <c r="K422" s="110" t="str">
        <f>+K421</f>
        <v>B</v>
      </c>
      <c r="L422" s="107"/>
    </row>
    <row r="423" spans="1:12" s="112" customFormat="1">
      <c r="A423" s="107" t="s">
        <v>2944</v>
      </c>
      <c r="B423" s="107" t="str">
        <f t="shared" ca="1" si="128"/>
        <v>202503</v>
      </c>
      <c r="C423" s="107" t="str">
        <f t="shared" ca="1" si="129"/>
        <v>v1</v>
      </c>
      <c r="D423" s="399" t="str">
        <f ca="1">+D422</f>
        <v>04..01.</v>
      </c>
      <c r="E423" s="107">
        <f t="shared" si="130"/>
        <v>0</v>
      </c>
      <c r="F423" s="108">
        <f ca="1">OFFSET('Tabla III.1.'!$H$46,H423-1,I423-1)</f>
        <v>0</v>
      </c>
      <c r="G423" s="107" t="str">
        <f ca="1">OFFSET('Tabla III.1.'!$H$1,0,I423-1)</f>
        <v>05</v>
      </c>
      <c r="H423" s="110">
        <f>+H422</f>
        <v>22</v>
      </c>
      <c r="I423" s="110">
        <f>+I422+1</f>
        <v>5</v>
      </c>
      <c r="J423" s="110" t="str">
        <f ca="1">+'Tabla III.1.'!$C$9</f>
        <v>Tabla III.1.</v>
      </c>
      <c r="K423" s="110" t="str">
        <f>+K422</f>
        <v>B</v>
      </c>
      <c r="L423" s="107"/>
    </row>
    <row r="424" spans="1:12" s="112" customFormat="1">
      <c r="A424" s="107" t="s">
        <v>2944</v>
      </c>
      <c r="B424" s="107" t="str">
        <f t="shared" ca="1" si="128"/>
        <v>202503</v>
      </c>
      <c r="C424" s="107" t="str">
        <f t="shared" ca="1" si="129"/>
        <v>v1</v>
      </c>
      <c r="D424" s="399" t="str">
        <f ca="1">+D423</f>
        <v>04..01.</v>
      </c>
      <c r="E424" s="107">
        <f t="shared" si="130"/>
        <v>0</v>
      </c>
      <c r="F424" s="108">
        <f ca="1">OFFSET('Tabla III.1.'!$H$46,H424-1,I424-1)</f>
        <v>0</v>
      </c>
      <c r="G424" s="107" t="str">
        <f ca="1">OFFSET('Tabla III.1.'!$H$1,0,I424-1)</f>
        <v>06</v>
      </c>
      <c r="H424" s="110">
        <f>+H423</f>
        <v>22</v>
      </c>
      <c r="I424" s="110">
        <f>+I423+1</f>
        <v>6</v>
      </c>
      <c r="J424" s="110" t="str">
        <f ca="1">+'Tabla III.1.'!$C$9</f>
        <v>Tabla III.1.</v>
      </c>
      <c r="K424" s="110" t="str">
        <f>+K423</f>
        <v>B</v>
      </c>
      <c r="L424" s="107"/>
    </row>
    <row r="425" spans="1:12" s="112" customFormat="1">
      <c r="A425" s="412" t="s">
        <v>2944</v>
      </c>
      <c r="B425" s="412" t="str">
        <f t="shared" ca="1" si="128"/>
        <v>202502</v>
      </c>
      <c r="C425" s="412" t="str">
        <f t="shared" ca="1" si="129"/>
        <v>v2</v>
      </c>
      <c r="D425" s="413" t="str">
        <f ca="1">OFFSET('Tabla III.1.'!$F$46,H425-1,0)</f>
        <v>04..01.01.</v>
      </c>
      <c r="E425" s="412">
        <f t="shared" si="130"/>
        <v>0</v>
      </c>
      <c r="F425" s="414">
        <f ca="1">OFFSET('Tabla III.1.'!$H$46,H425-1,I425-1)</f>
        <v>0</v>
      </c>
      <c r="G425" s="412" t="str">
        <f ca="1">OFFSET('Tabla III.1.'!$H$1,0,I425-1)</f>
        <v>01</v>
      </c>
      <c r="H425" s="417">
        <f>+H419+1</f>
        <v>23</v>
      </c>
      <c r="I425" s="111">
        <v>1</v>
      </c>
      <c r="J425" s="111" t="str">
        <f ca="1">+'Tabla III.1.'!$C$9</f>
        <v>Tabla III.1.</v>
      </c>
      <c r="K425" s="111" t="s">
        <v>2267</v>
      </c>
      <c r="L425" s="419">
        <f>+L419+1</f>
        <v>20</v>
      </c>
    </row>
    <row r="426" spans="1:12" s="112" customFormat="1">
      <c r="A426" s="412" t="s">
        <v>2944</v>
      </c>
      <c r="B426" s="412" t="str">
        <f t="shared" ca="1" si="128"/>
        <v>202503</v>
      </c>
      <c r="C426" s="412" t="str">
        <f t="shared" ca="1" si="129"/>
        <v>v1</v>
      </c>
      <c r="D426" s="413" t="str">
        <f ca="1">+D425</f>
        <v>04..01.01.</v>
      </c>
      <c r="E426" s="412">
        <f t="shared" si="130"/>
        <v>0</v>
      </c>
      <c r="F426" s="414">
        <f ca="1">OFFSET('Tabla III.1.'!$H$46,H426-1,I426-1)</f>
        <v>0</v>
      </c>
      <c r="G426" s="412" t="str">
        <f ca="1">OFFSET('Tabla III.1.'!$H$1,0,I426-1)</f>
        <v>02</v>
      </c>
      <c r="H426" s="111">
        <f>+H425</f>
        <v>23</v>
      </c>
      <c r="I426" s="111">
        <f>+I425+1</f>
        <v>2</v>
      </c>
      <c r="J426" s="111" t="str">
        <f ca="1">+'Tabla III.1.'!$C$9</f>
        <v>Tabla III.1.</v>
      </c>
      <c r="K426" s="111" t="str">
        <f>+K425</f>
        <v>B</v>
      </c>
      <c r="L426" s="412"/>
    </row>
    <row r="427" spans="1:12" s="112" customFormat="1">
      <c r="A427" s="412" t="s">
        <v>2944</v>
      </c>
      <c r="B427" s="412" t="str">
        <f t="shared" ca="1" si="128"/>
        <v>202503</v>
      </c>
      <c r="C427" s="412" t="str">
        <f t="shared" ca="1" si="129"/>
        <v>v1</v>
      </c>
      <c r="D427" s="413" t="str">
        <f ca="1">+D426</f>
        <v>04..01.01.</v>
      </c>
      <c r="E427" s="412">
        <f t="shared" si="130"/>
        <v>0</v>
      </c>
      <c r="F427" s="414">
        <f ca="1">OFFSET('Tabla III.1.'!$H$46,H427-1,I427-1)</f>
        <v>0</v>
      </c>
      <c r="G427" s="412" t="str">
        <f ca="1">OFFSET('Tabla III.1.'!$H$1,0,I427-1)</f>
        <v>03</v>
      </c>
      <c r="H427" s="111">
        <f>+H426</f>
        <v>23</v>
      </c>
      <c r="I427" s="111">
        <f>+I426+1</f>
        <v>3</v>
      </c>
      <c r="J427" s="111" t="str">
        <f ca="1">+'Tabla III.1.'!$C$9</f>
        <v>Tabla III.1.</v>
      </c>
      <c r="K427" s="111" t="str">
        <f>+K426</f>
        <v>B</v>
      </c>
      <c r="L427" s="412"/>
    </row>
    <row r="428" spans="1:12" s="112" customFormat="1">
      <c r="A428" s="412" t="s">
        <v>2944</v>
      </c>
      <c r="B428" s="412" t="str">
        <f t="shared" ca="1" si="128"/>
        <v>202503</v>
      </c>
      <c r="C428" s="412" t="str">
        <f t="shared" ca="1" si="129"/>
        <v>v1</v>
      </c>
      <c r="D428" s="413" t="str">
        <f ca="1">+D427</f>
        <v>04..01.01.</v>
      </c>
      <c r="E428" s="412">
        <f t="shared" si="130"/>
        <v>0</v>
      </c>
      <c r="F428" s="414">
        <f ca="1">OFFSET('Tabla III.1.'!$H$46,H428-1,I428-1)</f>
        <v>0</v>
      </c>
      <c r="G428" s="412" t="str">
        <f ca="1">OFFSET('Tabla III.1.'!$H$1,0,I428-1)</f>
        <v>04</v>
      </c>
      <c r="H428" s="111">
        <f>+H427</f>
        <v>23</v>
      </c>
      <c r="I428" s="111">
        <f>+I427+1</f>
        <v>4</v>
      </c>
      <c r="J428" s="111" t="str">
        <f ca="1">+'Tabla III.1.'!$C$9</f>
        <v>Tabla III.1.</v>
      </c>
      <c r="K428" s="111" t="str">
        <f>+K427</f>
        <v>B</v>
      </c>
      <c r="L428" s="412"/>
    </row>
    <row r="429" spans="1:12" s="112" customFormat="1">
      <c r="A429" s="412" t="s">
        <v>2944</v>
      </c>
      <c r="B429" s="412" t="str">
        <f t="shared" ca="1" si="128"/>
        <v>202503</v>
      </c>
      <c r="C429" s="412" t="str">
        <f t="shared" ca="1" si="129"/>
        <v>v1</v>
      </c>
      <c r="D429" s="413" t="str">
        <f ca="1">+D428</f>
        <v>04..01.01.</v>
      </c>
      <c r="E429" s="412">
        <f t="shared" si="130"/>
        <v>0</v>
      </c>
      <c r="F429" s="414">
        <f ca="1">OFFSET('Tabla III.1.'!$H$46,H429-1,I429-1)</f>
        <v>0</v>
      </c>
      <c r="G429" s="412" t="str">
        <f ca="1">OFFSET('Tabla III.1.'!$H$1,0,I429-1)</f>
        <v>05</v>
      </c>
      <c r="H429" s="111">
        <f>+H428</f>
        <v>23</v>
      </c>
      <c r="I429" s="111">
        <f>+I428+1</f>
        <v>5</v>
      </c>
      <c r="J429" s="111" t="str">
        <f ca="1">+'Tabla III.1.'!$C$9</f>
        <v>Tabla III.1.</v>
      </c>
      <c r="K429" s="111" t="str">
        <f>+K428</f>
        <v>B</v>
      </c>
      <c r="L429" s="412"/>
    </row>
    <row r="430" spans="1:12" s="112" customFormat="1">
      <c r="A430" s="412" t="s">
        <v>2944</v>
      </c>
      <c r="B430" s="412" t="str">
        <f t="shared" ca="1" si="128"/>
        <v>202503</v>
      </c>
      <c r="C430" s="412" t="str">
        <f t="shared" ca="1" si="129"/>
        <v>v1</v>
      </c>
      <c r="D430" s="413" t="str">
        <f ca="1">+D429</f>
        <v>04..01.01.</v>
      </c>
      <c r="E430" s="412">
        <f t="shared" si="130"/>
        <v>0</v>
      </c>
      <c r="F430" s="414">
        <f ca="1">OFFSET('Tabla III.1.'!$H$46,H430-1,I430-1)</f>
        <v>0</v>
      </c>
      <c r="G430" s="412" t="str">
        <f ca="1">OFFSET('Tabla III.1.'!$H$1,0,I430-1)</f>
        <v>06</v>
      </c>
      <c r="H430" s="111">
        <f>+H429</f>
        <v>23</v>
      </c>
      <c r="I430" s="111">
        <f>+I429+1</f>
        <v>6</v>
      </c>
      <c r="J430" s="111" t="str">
        <f ca="1">+'Tabla III.1.'!$C$9</f>
        <v>Tabla III.1.</v>
      </c>
      <c r="K430" s="111" t="str">
        <f>+K429</f>
        <v>B</v>
      </c>
      <c r="L430" s="412"/>
    </row>
    <row r="431" spans="1:12" s="112" customFormat="1">
      <c r="A431" s="107" t="s">
        <v>2944</v>
      </c>
      <c r="B431" s="107" t="str">
        <f t="shared" ca="1" si="128"/>
        <v>202502</v>
      </c>
      <c r="C431" s="107" t="str">
        <f t="shared" ca="1" si="129"/>
        <v>v2</v>
      </c>
      <c r="D431" s="399" t="str">
        <f ca="1">OFFSET('Tabla III.1.'!$F$46,H431-1,0)</f>
        <v>04..01.02.</v>
      </c>
      <c r="E431" s="107">
        <f t="shared" si="130"/>
        <v>0</v>
      </c>
      <c r="F431" s="108">
        <f ca="1">OFFSET('Tabla III.1.'!$H$46,H431-1,I431-1)</f>
        <v>0</v>
      </c>
      <c r="G431" s="107" t="str">
        <f ca="1">OFFSET('Tabla III.1.'!$H$1,0,I431-1)</f>
        <v>01</v>
      </c>
      <c r="H431" s="439">
        <f>+H425+1</f>
        <v>24</v>
      </c>
      <c r="I431" s="110">
        <v>1</v>
      </c>
      <c r="J431" s="110" t="str">
        <f ca="1">+'Tabla III.1.'!$C$9</f>
        <v>Tabla III.1.</v>
      </c>
      <c r="K431" s="110" t="s">
        <v>2267</v>
      </c>
      <c r="L431" s="440">
        <f>+L425+1</f>
        <v>21</v>
      </c>
    </row>
    <row r="432" spans="1:12" s="112" customFormat="1">
      <c r="A432" s="107" t="s">
        <v>2944</v>
      </c>
      <c r="B432" s="107" t="str">
        <f t="shared" ca="1" si="128"/>
        <v>202503</v>
      </c>
      <c r="C432" s="107" t="str">
        <f t="shared" ca="1" si="129"/>
        <v>v1</v>
      </c>
      <c r="D432" s="399" t="str">
        <f ca="1">+D431</f>
        <v>04..01.02.</v>
      </c>
      <c r="E432" s="107">
        <f t="shared" si="130"/>
        <v>0</v>
      </c>
      <c r="F432" s="108">
        <f ca="1">OFFSET('Tabla III.1.'!$H$46,H432-1,I432-1)</f>
        <v>0</v>
      </c>
      <c r="G432" s="107" t="str">
        <f ca="1">OFFSET('Tabla III.1.'!$H$1,0,I432-1)</f>
        <v>02</v>
      </c>
      <c r="H432" s="110">
        <f>+H431</f>
        <v>24</v>
      </c>
      <c r="I432" s="110">
        <f>+I431+1</f>
        <v>2</v>
      </c>
      <c r="J432" s="110" t="str">
        <f ca="1">+'Tabla III.1.'!$C$9</f>
        <v>Tabla III.1.</v>
      </c>
      <c r="K432" s="110" t="str">
        <f>+K431</f>
        <v>B</v>
      </c>
      <c r="L432" s="107"/>
    </row>
    <row r="433" spans="1:12" s="112" customFormat="1">
      <c r="A433" s="107" t="s">
        <v>2944</v>
      </c>
      <c r="B433" s="107" t="str">
        <f t="shared" ca="1" si="128"/>
        <v>202503</v>
      </c>
      <c r="C433" s="107" t="str">
        <f t="shared" ca="1" si="129"/>
        <v>v1</v>
      </c>
      <c r="D433" s="399" t="str">
        <f ca="1">+D432</f>
        <v>04..01.02.</v>
      </c>
      <c r="E433" s="107">
        <f t="shared" si="130"/>
        <v>0</v>
      </c>
      <c r="F433" s="108">
        <f ca="1">OFFSET('Tabla III.1.'!$H$46,H433-1,I433-1)</f>
        <v>0</v>
      </c>
      <c r="G433" s="107" t="str">
        <f ca="1">OFFSET('Tabla III.1.'!$H$1,0,I433-1)</f>
        <v>03</v>
      </c>
      <c r="H433" s="110">
        <f>+H432</f>
        <v>24</v>
      </c>
      <c r="I433" s="110">
        <f>+I432+1</f>
        <v>3</v>
      </c>
      <c r="J433" s="110" t="str">
        <f ca="1">+'Tabla III.1.'!$C$9</f>
        <v>Tabla III.1.</v>
      </c>
      <c r="K433" s="110" t="str">
        <f>+K432</f>
        <v>B</v>
      </c>
      <c r="L433" s="107"/>
    </row>
    <row r="434" spans="1:12" s="112" customFormat="1">
      <c r="A434" s="107" t="s">
        <v>2944</v>
      </c>
      <c r="B434" s="107" t="str">
        <f t="shared" ca="1" si="128"/>
        <v>202503</v>
      </c>
      <c r="C434" s="107" t="str">
        <f t="shared" ca="1" si="129"/>
        <v>v1</v>
      </c>
      <c r="D434" s="399" t="str">
        <f ca="1">+D433</f>
        <v>04..01.02.</v>
      </c>
      <c r="E434" s="107">
        <f t="shared" si="130"/>
        <v>0</v>
      </c>
      <c r="F434" s="108">
        <f ca="1">OFFSET('Tabla III.1.'!$H$46,H434-1,I434-1)</f>
        <v>0</v>
      </c>
      <c r="G434" s="107" t="str">
        <f ca="1">OFFSET('Tabla III.1.'!$H$1,0,I434-1)</f>
        <v>04</v>
      </c>
      <c r="H434" s="110">
        <f>+H433</f>
        <v>24</v>
      </c>
      <c r="I434" s="110">
        <f>+I433+1</f>
        <v>4</v>
      </c>
      <c r="J434" s="110" t="str">
        <f ca="1">+'Tabla III.1.'!$C$9</f>
        <v>Tabla III.1.</v>
      </c>
      <c r="K434" s="110" t="str">
        <f>+K433</f>
        <v>B</v>
      </c>
      <c r="L434" s="107"/>
    </row>
    <row r="435" spans="1:12" s="112" customFormat="1">
      <c r="A435" s="107" t="s">
        <v>2944</v>
      </c>
      <c r="B435" s="107" t="str">
        <f t="shared" ca="1" si="128"/>
        <v>202503</v>
      </c>
      <c r="C435" s="107" t="str">
        <f t="shared" ca="1" si="129"/>
        <v>v1</v>
      </c>
      <c r="D435" s="399" t="str">
        <f ca="1">+D434</f>
        <v>04..01.02.</v>
      </c>
      <c r="E435" s="107">
        <f t="shared" si="130"/>
        <v>0</v>
      </c>
      <c r="F435" s="108">
        <f ca="1">OFFSET('Tabla III.1.'!$H$46,H435-1,I435-1)</f>
        <v>0</v>
      </c>
      <c r="G435" s="107" t="str">
        <f ca="1">OFFSET('Tabla III.1.'!$H$1,0,I435-1)</f>
        <v>05</v>
      </c>
      <c r="H435" s="110">
        <f>+H434</f>
        <v>24</v>
      </c>
      <c r="I435" s="110">
        <f>+I434+1</f>
        <v>5</v>
      </c>
      <c r="J435" s="110" t="str">
        <f ca="1">+'Tabla III.1.'!$C$9</f>
        <v>Tabla III.1.</v>
      </c>
      <c r="K435" s="110" t="str">
        <f>+K434</f>
        <v>B</v>
      </c>
      <c r="L435" s="107"/>
    </row>
    <row r="436" spans="1:12" s="112" customFormat="1">
      <c r="A436" s="107" t="s">
        <v>2944</v>
      </c>
      <c r="B436" s="107" t="str">
        <f t="shared" ca="1" si="128"/>
        <v>202503</v>
      </c>
      <c r="C436" s="107" t="str">
        <f t="shared" ca="1" si="129"/>
        <v>v1</v>
      </c>
      <c r="D436" s="399" t="str">
        <f ca="1">+D435</f>
        <v>04..01.02.</v>
      </c>
      <c r="E436" s="107">
        <f t="shared" si="130"/>
        <v>0</v>
      </c>
      <c r="F436" s="108">
        <f ca="1">OFFSET('Tabla III.1.'!$H$46,H436-1,I436-1)</f>
        <v>0</v>
      </c>
      <c r="G436" s="107" t="str">
        <f ca="1">OFFSET('Tabla III.1.'!$H$1,0,I436-1)</f>
        <v>06</v>
      </c>
      <c r="H436" s="110">
        <f>+H435</f>
        <v>24</v>
      </c>
      <c r="I436" s="110">
        <f>+I435+1</f>
        <v>6</v>
      </c>
      <c r="J436" s="110" t="str">
        <f ca="1">+'Tabla III.1.'!$C$9</f>
        <v>Tabla III.1.</v>
      </c>
      <c r="K436" s="110" t="str">
        <f>+K435</f>
        <v>B</v>
      </c>
      <c r="L436" s="107"/>
    </row>
    <row r="437" spans="1:12" s="112" customFormat="1">
      <c r="A437" s="412" t="s">
        <v>2944</v>
      </c>
      <c r="B437" s="412" t="str">
        <f t="shared" ca="1" si="128"/>
        <v>202502</v>
      </c>
      <c r="C437" s="412" t="str">
        <f t="shared" ref="C437:C448" ca="1" si="131">IF(G437="01","v2","v1")</f>
        <v>v2</v>
      </c>
      <c r="D437" s="413" t="str">
        <f ca="1">OFFSET('Tabla III.1.'!$F$46,H437-1,0)</f>
        <v>04..02.</v>
      </c>
      <c r="E437" s="412">
        <f t="shared" si="130"/>
        <v>0</v>
      </c>
      <c r="F437" s="414">
        <f ca="1">OFFSET('Tabla III.1.'!$H$46,H437-1,I437-1)</f>
        <v>0</v>
      </c>
      <c r="G437" s="412" t="str">
        <f ca="1">OFFSET('Tabla III.1.'!$H$1,0,I437-1)</f>
        <v>01</v>
      </c>
      <c r="H437" s="417">
        <f>+H431+1</f>
        <v>25</v>
      </c>
      <c r="I437" s="111">
        <v>1</v>
      </c>
      <c r="J437" s="111" t="str">
        <f ca="1">+'Tabla III.1.'!$C$9</f>
        <v>Tabla III.1.</v>
      </c>
      <c r="K437" s="111" t="s">
        <v>2267</v>
      </c>
      <c r="L437" s="419">
        <f>+L431+1</f>
        <v>22</v>
      </c>
    </row>
    <row r="438" spans="1:12" s="112" customFormat="1">
      <c r="A438" s="412" t="s">
        <v>2944</v>
      </c>
      <c r="B438" s="412" t="str">
        <f t="shared" ca="1" si="128"/>
        <v>202503</v>
      </c>
      <c r="C438" s="412" t="str">
        <f t="shared" ca="1" si="131"/>
        <v>v1</v>
      </c>
      <c r="D438" s="413" t="str">
        <f ca="1">+D437</f>
        <v>04..02.</v>
      </c>
      <c r="E438" s="412">
        <f t="shared" si="130"/>
        <v>0</v>
      </c>
      <c r="F438" s="414">
        <f ca="1">OFFSET('Tabla III.1.'!$H$46,H438-1,I438-1)</f>
        <v>0</v>
      </c>
      <c r="G438" s="412" t="str">
        <f ca="1">OFFSET('Tabla III.1.'!$H$1,0,I438-1)</f>
        <v>02</v>
      </c>
      <c r="H438" s="111">
        <f>+H437</f>
        <v>25</v>
      </c>
      <c r="I438" s="111">
        <f>+I437+1</f>
        <v>2</v>
      </c>
      <c r="J438" s="111" t="str">
        <f ca="1">+'Tabla III.1.'!$C$9</f>
        <v>Tabla III.1.</v>
      </c>
      <c r="K438" s="111" t="str">
        <f>+K437</f>
        <v>B</v>
      </c>
      <c r="L438" s="412"/>
    </row>
    <row r="439" spans="1:12" s="112" customFormat="1">
      <c r="A439" s="412" t="s">
        <v>2944</v>
      </c>
      <c r="B439" s="412" t="str">
        <f t="shared" ca="1" si="128"/>
        <v>202503</v>
      </c>
      <c r="C439" s="412" t="str">
        <f t="shared" ca="1" si="131"/>
        <v>v1</v>
      </c>
      <c r="D439" s="413" t="str">
        <f ca="1">+D438</f>
        <v>04..02.</v>
      </c>
      <c r="E439" s="412">
        <f t="shared" si="130"/>
        <v>0</v>
      </c>
      <c r="F439" s="414">
        <f ca="1">OFFSET('Tabla III.1.'!$H$46,H439-1,I439-1)</f>
        <v>0</v>
      </c>
      <c r="G439" s="412" t="str">
        <f ca="1">OFFSET('Tabla III.1.'!$H$1,0,I439-1)</f>
        <v>03</v>
      </c>
      <c r="H439" s="111">
        <f>+H438</f>
        <v>25</v>
      </c>
      <c r="I439" s="111">
        <f>+I438+1</f>
        <v>3</v>
      </c>
      <c r="J439" s="111" t="str">
        <f ca="1">+'Tabla III.1.'!$C$9</f>
        <v>Tabla III.1.</v>
      </c>
      <c r="K439" s="111" t="str">
        <f>+K438</f>
        <v>B</v>
      </c>
      <c r="L439" s="412"/>
    </row>
    <row r="440" spans="1:12" s="112" customFormat="1">
      <c r="A440" s="412" t="s">
        <v>2944</v>
      </c>
      <c r="B440" s="412" t="str">
        <f t="shared" ca="1" si="128"/>
        <v>202503</v>
      </c>
      <c r="C440" s="412" t="str">
        <f t="shared" ca="1" si="131"/>
        <v>v1</v>
      </c>
      <c r="D440" s="413" t="str">
        <f ca="1">+D439</f>
        <v>04..02.</v>
      </c>
      <c r="E440" s="412">
        <f t="shared" si="130"/>
        <v>0</v>
      </c>
      <c r="F440" s="414">
        <f ca="1">OFFSET('Tabla III.1.'!$H$46,H440-1,I440-1)</f>
        <v>0</v>
      </c>
      <c r="G440" s="412" t="str">
        <f ca="1">OFFSET('Tabla III.1.'!$H$1,0,I440-1)</f>
        <v>04</v>
      </c>
      <c r="H440" s="111">
        <f>+H439</f>
        <v>25</v>
      </c>
      <c r="I440" s="111">
        <f>+I439+1</f>
        <v>4</v>
      </c>
      <c r="J440" s="111" t="str">
        <f ca="1">+'Tabla III.1.'!$C$9</f>
        <v>Tabla III.1.</v>
      </c>
      <c r="K440" s="111" t="str">
        <f>+K439</f>
        <v>B</v>
      </c>
      <c r="L440" s="412"/>
    </row>
    <row r="441" spans="1:12" s="112" customFormat="1">
      <c r="A441" s="412" t="s">
        <v>2944</v>
      </c>
      <c r="B441" s="412" t="str">
        <f t="shared" ca="1" si="128"/>
        <v>202503</v>
      </c>
      <c r="C441" s="412" t="str">
        <f t="shared" ca="1" si="131"/>
        <v>v1</v>
      </c>
      <c r="D441" s="413" t="str">
        <f ca="1">+D440</f>
        <v>04..02.</v>
      </c>
      <c r="E441" s="412">
        <f t="shared" si="130"/>
        <v>0</v>
      </c>
      <c r="F441" s="414">
        <f ca="1">OFFSET('Tabla III.1.'!$H$46,H441-1,I441-1)</f>
        <v>0</v>
      </c>
      <c r="G441" s="412" t="str">
        <f ca="1">OFFSET('Tabla III.1.'!$H$1,0,I441-1)</f>
        <v>05</v>
      </c>
      <c r="H441" s="111">
        <f>+H440</f>
        <v>25</v>
      </c>
      <c r="I441" s="111">
        <f>+I440+1</f>
        <v>5</v>
      </c>
      <c r="J441" s="111" t="str">
        <f ca="1">+'Tabla III.1.'!$C$9</f>
        <v>Tabla III.1.</v>
      </c>
      <c r="K441" s="111" t="str">
        <f>+K440</f>
        <v>B</v>
      </c>
      <c r="L441" s="412"/>
    </row>
    <row r="442" spans="1:12" s="112" customFormat="1">
      <c r="A442" s="412" t="s">
        <v>2944</v>
      </c>
      <c r="B442" s="412" t="str">
        <f t="shared" ca="1" si="128"/>
        <v>202503</v>
      </c>
      <c r="C442" s="412" t="str">
        <f t="shared" ca="1" si="131"/>
        <v>v1</v>
      </c>
      <c r="D442" s="413" t="str">
        <f ca="1">+D441</f>
        <v>04..02.</v>
      </c>
      <c r="E442" s="412">
        <f t="shared" si="130"/>
        <v>0</v>
      </c>
      <c r="F442" s="414">
        <f ca="1">OFFSET('Tabla III.1.'!$H$46,H442-1,I442-1)</f>
        <v>0</v>
      </c>
      <c r="G442" s="412" t="str">
        <f ca="1">OFFSET('Tabla III.1.'!$H$1,0,I442-1)</f>
        <v>06</v>
      </c>
      <c r="H442" s="111">
        <f>+H441</f>
        <v>25</v>
      </c>
      <c r="I442" s="111">
        <f>+I441+1</f>
        <v>6</v>
      </c>
      <c r="J442" s="111" t="str">
        <f ca="1">+'Tabla III.1.'!$C$9</f>
        <v>Tabla III.1.</v>
      </c>
      <c r="K442" s="111" t="str">
        <f>+K441</f>
        <v>B</v>
      </c>
      <c r="L442" s="412"/>
    </row>
    <row r="443" spans="1:12" s="112" customFormat="1">
      <c r="A443" s="107" t="s">
        <v>2944</v>
      </c>
      <c r="B443" s="107" t="str">
        <f t="shared" ca="1" si="128"/>
        <v>202502</v>
      </c>
      <c r="C443" s="107" t="str">
        <f t="shared" ca="1" si="131"/>
        <v>v2</v>
      </c>
      <c r="D443" s="399" t="str">
        <f ca="1">OFFSET('Tabla III.1.'!$F$46,H443-1,0)</f>
        <v>04..02.01.</v>
      </c>
      <c r="E443" s="107">
        <f t="shared" si="130"/>
        <v>0</v>
      </c>
      <c r="F443" s="108">
        <f ca="1">OFFSET('Tabla III.1.'!$H$46,H443-1,I443-1)</f>
        <v>0</v>
      </c>
      <c r="G443" s="107" t="str">
        <f ca="1">OFFSET('Tabla III.1.'!$H$1,0,I443-1)</f>
        <v>01</v>
      </c>
      <c r="H443" s="439">
        <f>+H437+1</f>
        <v>26</v>
      </c>
      <c r="I443" s="110">
        <v>1</v>
      </c>
      <c r="J443" s="110" t="str">
        <f ca="1">+'Tabla III.1.'!$C$9</f>
        <v>Tabla III.1.</v>
      </c>
      <c r="K443" s="110" t="s">
        <v>2267</v>
      </c>
      <c r="L443" s="440">
        <f>+L437+1</f>
        <v>23</v>
      </c>
    </row>
    <row r="444" spans="1:12" s="112" customFormat="1">
      <c r="A444" s="107" t="s">
        <v>2944</v>
      </c>
      <c r="B444" s="107" t="str">
        <f t="shared" ca="1" si="128"/>
        <v>202503</v>
      </c>
      <c r="C444" s="107" t="str">
        <f t="shared" ca="1" si="131"/>
        <v>v1</v>
      </c>
      <c r="D444" s="399" t="str">
        <f ca="1">+D443</f>
        <v>04..02.01.</v>
      </c>
      <c r="E444" s="107">
        <f t="shared" si="130"/>
        <v>0</v>
      </c>
      <c r="F444" s="108">
        <f ca="1">OFFSET('Tabla III.1.'!$H$46,H444-1,I444-1)</f>
        <v>0</v>
      </c>
      <c r="G444" s="107" t="str">
        <f ca="1">OFFSET('Tabla III.1.'!$H$1,0,I444-1)</f>
        <v>02</v>
      </c>
      <c r="H444" s="110">
        <f>+H443</f>
        <v>26</v>
      </c>
      <c r="I444" s="110">
        <f>+I443+1</f>
        <v>2</v>
      </c>
      <c r="J444" s="110" t="str">
        <f ca="1">+'Tabla III.1.'!$C$9</f>
        <v>Tabla III.1.</v>
      </c>
      <c r="K444" s="110" t="str">
        <f>+K443</f>
        <v>B</v>
      </c>
      <c r="L444" s="107"/>
    </row>
    <row r="445" spans="1:12" s="112" customFormat="1">
      <c r="A445" s="107" t="s">
        <v>2944</v>
      </c>
      <c r="B445" s="107" t="str">
        <f t="shared" ca="1" si="128"/>
        <v>202503</v>
      </c>
      <c r="C445" s="107" t="str">
        <f t="shared" ca="1" si="131"/>
        <v>v1</v>
      </c>
      <c r="D445" s="399" t="str">
        <f ca="1">+D444</f>
        <v>04..02.01.</v>
      </c>
      <c r="E445" s="107">
        <f t="shared" si="130"/>
        <v>0</v>
      </c>
      <c r="F445" s="108">
        <f ca="1">OFFSET('Tabla III.1.'!$H$46,H445-1,I445-1)</f>
        <v>0</v>
      </c>
      <c r="G445" s="107" t="str">
        <f ca="1">OFFSET('Tabla III.1.'!$H$1,0,I445-1)</f>
        <v>03</v>
      </c>
      <c r="H445" s="110">
        <f>+H444</f>
        <v>26</v>
      </c>
      <c r="I445" s="110">
        <f>+I444+1</f>
        <v>3</v>
      </c>
      <c r="J445" s="110" t="str">
        <f ca="1">+'Tabla III.1.'!$C$9</f>
        <v>Tabla III.1.</v>
      </c>
      <c r="K445" s="110" t="str">
        <f>+K444</f>
        <v>B</v>
      </c>
      <c r="L445" s="107"/>
    </row>
    <row r="446" spans="1:12" s="112" customFormat="1">
      <c r="A446" s="107" t="s">
        <v>2944</v>
      </c>
      <c r="B446" s="107" t="str">
        <f t="shared" ca="1" si="128"/>
        <v>202503</v>
      </c>
      <c r="C446" s="107" t="str">
        <f t="shared" ca="1" si="131"/>
        <v>v1</v>
      </c>
      <c r="D446" s="399" t="str">
        <f ca="1">+D445</f>
        <v>04..02.01.</v>
      </c>
      <c r="E446" s="107">
        <f t="shared" si="130"/>
        <v>0</v>
      </c>
      <c r="F446" s="108">
        <f ca="1">OFFSET('Tabla III.1.'!$H$46,H446-1,I446-1)</f>
        <v>0</v>
      </c>
      <c r="G446" s="107" t="str">
        <f ca="1">OFFSET('Tabla III.1.'!$H$1,0,I446-1)</f>
        <v>04</v>
      </c>
      <c r="H446" s="110">
        <f>+H445</f>
        <v>26</v>
      </c>
      <c r="I446" s="110">
        <f>+I445+1</f>
        <v>4</v>
      </c>
      <c r="J446" s="110" t="str">
        <f ca="1">+'Tabla III.1.'!$C$9</f>
        <v>Tabla III.1.</v>
      </c>
      <c r="K446" s="110" t="str">
        <f>+K445</f>
        <v>B</v>
      </c>
      <c r="L446" s="107"/>
    </row>
    <row r="447" spans="1:12" s="112" customFormat="1">
      <c r="A447" s="107" t="s">
        <v>2944</v>
      </c>
      <c r="B447" s="107" t="str">
        <f t="shared" ca="1" si="128"/>
        <v>202503</v>
      </c>
      <c r="C447" s="107" t="str">
        <f t="shared" ca="1" si="131"/>
        <v>v1</v>
      </c>
      <c r="D447" s="399" t="str">
        <f ca="1">+D446</f>
        <v>04..02.01.</v>
      </c>
      <c r="E447" s="107">
        <f t="shared" si="130"/>
        <v>0</v>
      </c>
      <c r="F447" s="108">
        <f ca="1">OFFSET('Tabla III.1.'!$H$46,H447-1,I447-1)</f>
        <v>0</v>
      </c>
      <c r="G447" s="107" t="str">
        <f ca="1">OFFSET('Tabla III.1.'!$H$1,0,I447-1)</f>
        <v>05</v>
      </c>
      <c r="H447" s="110">
        <f>+H446</f>
        <v>26</v>
      </c>
      <c r="I447" s="110">
        <f>+I446+1</f>
        <v>5</v>
      </c>
      <c r="J447" s="110" t="str">
        <f ca="1">+'Tabla III.1.'!$C$9</f>
        <v>Tabla III.1.</v>
      </c>
      <c r="K447" s="110" t="str">
        <f>+K446</f>
        <v>B</v>
      </c>
      <c r="L447" s="107"/>
    </row>
    <row r="448" spans="1:12" s="112" customFormat="1">
      <c r="A448" s="107" t="s">
        <v>2944</v>
      </c>
      <c r="B448" s="107" t="str">
        <f t="shared" ca="1" si="128"/>
        <v>202503</v>
      </c>
      <c r="C448" s="107" t="str">
        <f t="shared" ca="1" si="131"/>
        <v>v1</v>
      </c>
      <c r="D448" s="399" t="str">
        <f ca="1">+D447</f>
        <v>04..02.01.</v>
      </c>
      <c r="E448" s="107">
        <f t="shared" si="130"/>
        <v>0</v>
      </c>
      <c r="F448" s="108">
        <f ca="1">OFFSET('Tabla III.1.'!$H$46,H448-1,I448-1)</f>
        <v>0</v>
      </c>
      <c r="G448" s="107" t="str">
        <f ca="1">OFFSET('Tabla III.1.'!$H$1,0,I448-1)</f>
        <v>06</v>
      </c>
      <c r="H448" s="110">
        <f>+H447</f>
        <v>26</v>
      </c>
      <c r="I448" s="110">
        <f>+I447+1</f>
        <v>6</v>
      </c>
      <c r="J448" s="110" t="str">
        <f ca="1">+'Tabla III.1.'!$C$9</f>
        <v>Tabla III.1.</v>
      </c>
      <c r="K448" s="110" t="str">
        <f>+K447</f>
        <v>B</v>
      </c>
      <c r="L448" s="107"/>
    </row>
    <row r="449" spans="1:12" s="112" customFormat="1">
      <c r="A449" s="412" t="s">
        <v>2944</v>
      </c>
      <c r="B449" s="412" t="str">
        <f t="shared" ca="1" si="128"/>
        <v>202502</v>
      </c>
      <c r="C449" s="412" t="str">
        <f t="shared" ref="C449:C460" ca="1" si="132">IF(G449="01","v2","v1")</f>
        <v>v2</v>
      </c>
      <c r="D449" s="413" t="str">
        <f ca="1">OFFSET('Tabla III.1.'!$F$46,H449-1,0)</f>
        <v>04..02.02.</v>
      </c>
      <c r="E449" s="412">
        <f t="shared" si="130"/>
        <v>0</v>
      </c>
      <c r="F449" s="414">
        <f ca="1">OFFSET('Tabla III.1.'!$H$46,H449-1,I449-1)</f>
        <v>0</v>
      </c>
      <c r="G449" s="412" t="str">
        <f ca="1">OFFSET('Tabla III.1.'!$H$1,0,I449-1)</f>
        <v>01</v>
      </c>
      <c r="H449" s="417">
        <f>+H443+1</f>
        <v>27</v>
      </c>
      <c r="I449" s="111">
        <v>1</v>
      </c>
      <c r="J449" s="111" t="str">
        <f ca="1">+'Tabla III.1.'!$C$9</f>
        <v>Tabla III.1.</v>
      </c>
      <c r="K449" s="111" t="s">
        <v>2267</v>
      </c>
      <c r="L449" s="419">
        <f>+L443+1</f>
        <v>24</v>
      </c>
    </row>
    <row r="450" spans="1:12" s="112" customFormat="1">
      <c r="A450" s="412" t="s">
        <v>2944</v>
      </c>
      <c r="B450" s="412" t="str">
        <f t="shared" ref="B450:B513" ca="1" si="133">IF(G450="01",(IF(TRIM&gt;1,CONCATENATE(ANUAL,"0",TRIM-1),CONCATENATE(ANUAL-1,"04"))),PERIODO)</f>
        <v>202503</v>
      </c>
      <c r="C450" s="412" t="str">
        <f t="shared" ca="1" si="132"/>
        <v>v1</v>
      </c>
      <c r="D450" s="413" t="str">
        <f ca="1">+D449</f>
        <v>04..02.02.</v>
      </c>
      <c r="E450" s="412">
        <f t="shared" si="130"/>
        <v>0</v>
      </c>
      <c r="F450" s="414">
        <f ca="1">OFFSET('Tabla III.1.'!$H$46,H450-1,I450-1)</f>
        <v>0</v>
      </c>
      <c r="G450" s="412" t="str">
        <f ca="1">OFFSET('Tabla III.1.'!$H$1,0,I450-1)</f>
        <v>02</v>
      </c>
      <c r="H450" s="111">
        <f>+H449</f>
        <v>27</v>
      </c>
      <c r="I450" s="111">
        <f>+I449+1</f>
        <v>2</v>
      </c>
      <c r="J450" s="111" t="str">
        <f ca="1">+'Tabla III.1.'!$C$9</f>
        <v>Tabla III.1.</v>
      </c>
      <c r="K450" s="111" t="str">
        <f>+K449</f>
        <v>B</v>
      </c>
      <c r="L450" s="412"/>
    </row>
    <row r="451" spans="1:12" s="112" customFormat="1">
      <c r="A451" s="412" t="s">
        <v>2944</v>
      </c>
      <c r="B451" s="412" t="str">
        <f t="shared" ca="1" si="133"/>
        <v>202503</v>
      </c>
      <c r="C451" s="412" t="str">
        <f t="shared" ca="1" si="132"/>
        <v>v1</v>
      </c>
      <c r="D451" s="413" t="str">
        <f ca="1">+D450</f>
        <v>04..02.02.</v>
      </c>
      <c r="E451" s="412">
        <f t="shared" si="130"/>
        <v>0</v>
      </c>
      <c r="F451" s="414">
        <f ca="1">OFFSET('Tabla III.1.'!$H$46,H451-1,I451-1)</f>
        <v>0</v>
      </c>
      <c r="G451" s="412" t="str">
        <f ca="1">OFFSET('Tabla III.1.'!$H$1,0,I451-1)</f>
        <v>03</v>
      </c>
      <c r="H451" s="111">
        <f>+H450</f>
        <v>27</v>
      </c>
      <c r="I451" s="111">
        <f>+I450+1</f>
        <v>3</v>
      </c>
      <c r="J451" s="111" t="str">
        <f ca="1">+'Tabla III.1.'!$C$9</f>
        <v>Tabla III.1.</v>
      </c>
      <c r="K451" s="111" t="str">
        <f>+K450</f>
        <v>B</v>
      </c>
      <c r="L451" s="412"/>
    </row>
    <row r="452" spans="1:12" s="112" customFormat="1">
      <c r="A452" s="412" t="s">
        <v>2944</v>
      </c>
      <c r="B452" s="412" t="str">
        <f t="shared" ca="1" si="133"/>
        <v>202503</v>
      </c>
      <c r="C452" s="412" t="str">
        <f t="shared" ca="1" si="132"/>
        <v>v1</v>
      </c>
      <c r="D452" s="413" t="str">
        <f ca="1">+D451</f>
        <v>04..02.02.</v>
      </c>
      <c r="E452" s="412">
        <f t="shared" si="130"/>
        <v>0</v>
      </c>
      <c r="F452" s="414">
        <f ca="1">OFFSET('Tabla III.1.'!$H$46,H452-1,I452-1)</f>
        <v>0</v>
      </c>
      <c r="G452" s="412" t="str">
        <f ca="1">OFFSET('Tabla III.1.'!$H$1,0,I452-1)</f>
        <v>04</v>
      </c>
      <c r="H452" s="111">
        <f>+H451</f>
        <v>27</v>
      </c>
      <c r="I452" s="111">
        <f>+I451+1</f>
        <v>4</v>
      </c>
      <c r="J452" s="111" t="str">
        <f ca="1">+'Tabla III.1.'!$C$9</f>
        <v>Tabla III.1.</v>
      </c>
      <c r="K452" s="111" t="str">
        <f>+K451</f>
        <v>B</v>
      </c>
      <c r="L452" s="412"/>
    </row>
    <row r="453" spans="1:12" s="112" customFormat="1">
      <c r="A453" s="412" t="s">
        <v>2944</v>
      </c>
      <c r="B453" s="412" t="str">
        <f t="shared" ca="1" si="133"/>
        <v>202503</v>
      </c>
      <c r="C453" s="412" t="str">
        <f t="shared" ca="1" si="132"/>
        <v>v1</v>
      </c>
      <c r="D453" s="413" t="str">
        <f ca="1">+D452</f>
        <v>04..02.02.</v>
      </c>
      <c r="E453" s="412">
        <f t="shared" si="130"/>
        <v>0</v>
      </c>
      <c r="F453" s="414">
        <f ca="1">OFFSET('Tabla III.1.'!$H$46,H453-1,I453-1)</f>
        <v>0</v>
      </c>
      <c r="G453" s="412" t="str">
        <f ca="1">OFFSET('Tabla III.1.'!$H$1,0,I453-1)</f>
        <v>05</v>
      </c>
      <c r="H453" s="111">
        <f>+H452</f>
        <v>27</v>
      </c>
      <c r="I453" s="111">
        <f>+I452+1</f>
        <v>5</v>
      </c>
      <c r="J453" s="111" t="str">
        <f ca="1">+'Tabla III.1.'!$C$9</f>
        <v>Tabla III.1.</v>
      </c>
      <c r="K453" s="111" t="str">
        <f>+K452</f>
        <v>B</v>
      </c>
      <c r="L453" s="412"/>
    </row>
    <row r="454" spans="1:12" s="112" customFormat="1">
      <c r="A454" s="412" t="s">
        <v>2944</v>
      </c>
      <c r="B454" s="412" t="str">
        <f t="shared" ca="1" si="133"/>
        <v>202503</v>
      </c>
      <c r="C454" s="412" t="str">
        <f t="shared" ca="1" si="132"/>
        <v>v1</v>
      </c>
      <c r="D454" s="413" t="str">
        <f ca="1">+D453</f>
        <v>04..02.02.</v>
      </c>
      <c r="E454" s="412">
        <f t="shared" si="130"/>
        <v>0</v>
      </c>
      <c r="F454" s="414">
        <f ca="1">OFFSET('Tabla III.1.'!$H$46,H454-1,I454-1)</f>
        <v>0</v>
      </c>
      <c r="G454" s="412" t="str">
        <f ca="1">OFFSET('Tabla III.1.'!$H$1,0,I454-1)</f>
        <v>06</v>
      </c>
      <c r="H454" s="111">
        <f>+H453</f>
        <v>27</v>
      </c>
      <c r="I454" s="111">
        <f>+I453+1</f>
        <v>6</v>
      </c>
      <c r="J454" s="111" t="str">
        <f ca="1">+'Tabla III.1.'!$C$9</f>
        <v>Tabla III.1.</v>
      </c>
      <c r="K454" s="111" t="str">
        <f>+K453</f>
        <v>B</v>
      </c>
      <c r="L454" s="412"/>
    </row>
    <row r="455" spans="1:12" s="112" customFormat="1">
      <c r="A455" s="107" t="s">
        <v>2944</v>
      </c>
      <c r="B455" s="107" t="str">
        <f t="shared" ca="1" si="133"/>
        <v>202502</v>
      </c>
      <c r="C455" s="107" t="str">
        <f t="shared" ca="1" si="132"/>
        <v>v2</v>
      </c>
      <c r="D455" s="399" t="str">
        <f ca="1">OFFSET('Tabla III.1.'!$F$46,H455-1,0)</f>
        <v>04..03.</v>
      </c>
      <c r="E455" s="107">
        <f t="shared" si="130"/>
        <v>0</v>
      </c>
      <c r="F455" s="108">
        <f ca="1">OFFSET('Tabla III.1.'!$H$46,H455-1,I455-1)</f>
        <v>0</v>
      </c>
      <c r="G455" s="107" t="str">
        <f ca="1">OFFSET('Tabla III.1.'!$H$1,0,I455-1)</f>
        <v>01</v>
      </c>
      <c r="H455" s="517">
        <v>30</v>
      </c>
      <c r="I455" s="110">
        <v>1</v>
      </c>
      <c r="J455" s="110" t="str">
        <f ca="1">+'Tabla III.1.'!$C$9</f>
        <v>Tabla III.1.</v>
      </c>
      <c r="K455" s="110" t="s">
        <v>2267</v>
      </c>
      <c r="L455" s="440">
        <f>+L449+1</f>
        <v>25</v>
      </c>
    </row>
    <row r="456" spans="1:12" s="112" customFormat="1">
      <c r="A456" s="107" t="s">
        <v>2944</v>
      </c>
      <c r="B456" s="107" t="str">
        <f t="shared" ca="1" si="133"/>
        <v>202503</v>
      </c>
      <c r="C456" s="107" t="str">
        <f t="shared" ca="1" si="132"/>
        <v>v1</v>
      </c>
      <c r="D456" s="399" t="str">
        <f ca="1">+D455</f>
        <v>04..03.</v>
      </c>
      <c r="E456" s="107">
        <f t="shared" si="130"/>
        <v>0</v>
      </c>
      <c r="F456" s="108">
        <f ca="1">OFFSET('Tabla III.1.'!$H$46,H456-1,I456-1)</f>
        <v>0</v>
      </c>
      <c r="G456" s="107" t="str">
        <f ca="1">OFFSET('Tabla III.1.'!$H$1,0,I456-1)</f>
        <v>02</v>
      </c>
      <c r="H456" s="110">
        <f>+H455</f>
        <v>30</v>
      </c>
      <c r="I456" s="110">
        <f>+I455+1</f>
        <v>2</v>
      </c>
      <c r="J456" s="110" t="str">
        <f ca="1">+'Tabla III.1.'!$C$9</f>
        <v>Tabla III.1.</v>
      </c>
      <c r="K456" s="110" t="str">
        <f>+K455</f>
        <v>B</v>
      </c>
      <c r="L456" s="107"/>
    </row>
    <row r="457" spans="1:12" s="112" customFormat="1">
      <c r="A457" s="107" t="s">
        <v>2944</v>
      </c>
      <c r="B457" s="107" t="str">
        <f t="shared" ca="1" si="133"/>
        <v>202503</v>
      </c>
      <c r="C457" s="107" t="str">
        <f t="shared" ca="1" si="132"/>
        <v>v1</v>
      </c>
      <c r="D457" s="399" t="str">
        <f ca="1">+D456</f>
        <v>04..03.</v>
      </c>
      <c r="E457" s="107">
        <f t="shared" si="130"/>
        <v>0</v>
      </c>
      <c r="F457" s="108">
        <f ca="1">OFFSET('Tabla III.1.'!$H$46,H457-1,I457-1)</f>
        <v>0</v>
      </c>
      <c r="G457" s="107" t="str">
        <f ca="1">OFFSET('Tabla III.1.'!$H$1,0,I457-1)</f>
        <v>03</v>
      </c>
      <c r="H457" s="110">
        <f>+H456</f>
        <v>30</v>
      </c>
      <c r="I457" s="110">
        <f>+I456+1</f>
        <v>3</v>
      </c>
      <c r="J457" s="110" t="str">
        <f ca="1">+'Tabla III.1.'!$C$9</f>
        <v>Tabla III.1.</v>
      </c>
      <c r="K457" s="110" t="str">
        <f>+K456</f>
        <v>B</v>
      </c>
      <c r="L457" s="107"/>
    </row>
    <row r="458" spans="1:12" s="112" customFormat="1">
      <c r="A458" s="107" t="s">
        <v>2944</v>
      </c>
      <c r="B458" s="107" t="str">
        <f t="shared" ca="1" si="133"/>
        <v>202503</v>
      </c>
      <c r="C458" s="107" t="str">
        <f t="shared" ca="1" si="132"/>
        <v>v1</v>
      </c>
      <c r="D458" s="399" t="str">
        <f ca="1">+D457</f>
        <v>04..03.</v>
      </c>
      <c r="E458" s="107">
        <f t="shared" si="130"/>
        <v>0</v>
      </c>
      <c r="F458" s="108">
        <f ca="1">OFFSET('Tabla III.1.'!$H$46,H458-1,I458-1)</f>
        <v>0</v>
      </c>
      <c r="G458" s="107" t="str">
        <f ca="1">OFFSET('Tabla III.1.'!$H$1,0,I458-1)</f>
        <v>04</v>
      </c>
      <c r="H458" s="110">
        <f>+H457</f>
        <v>30</v>
      </c>
      <c r="I458" s="110">
        <f>+I457+1</f>
        <v>4</v>
      </c>
      <c r="J458" s="110" t="str">
        <f ca="1">+'Tabla III.1.'!$C$9</f>
        <v>Tabla III.1.</v>
      </c>
      <c r="K458" s="110" t="str">
        <f>+K457</f>
        <v>B</v>
      </c>
      <c r="L458" s="107"/>
    </row>
    <row r="459" spans="1:12" s="112" customFormat="1">
      <c r="A459" s="107" t="s">
        <v>2944</v>
      </c>
      <c r="B459" s="107" t="str">
        <f t="shared" ca="1" si="133"/>
        <v>202503</v>
      </c>
      <c r="C459" s="107" t="str">
        <f t="shared" ca="1" si="132"/>
        <v>v1</v>
      </c>
      <c r="D459" s="399" t="str">
        <f ca="1">+D458</f>
        <v>04..03.</v>
      </c>
      <c r="E459" s="107">
        <f t="shared" si="130"/>
        <v>0</v>
      </c>
      <c r="F459" s="108">
        <f ca="1">OFFSET('Tabla III.1.'!$H$46,H459-1,I459-1)</f>
        <v>0</v>
      </c>
      <c r="G459" s="107" t="str">
        <f ca="1">OFFSET('Tabla III.1.'!$H$1,0,I459-1)</f>
        <v>05</v>
      </c>
      <c r="H459" s="110">
        <f>+H458</f>
        <v>30</v>
      </c>
      <c r="I459" s="110">
        <f>+I458+1</f>
        <v>5</v>
      </c>
      <c r="J459" s="110" t="str">
        <f ca="1">+'Tabla III.1.'!$C$9</f>
        <v>Tabla III.1.</v>
      </c>
      <c r="K459" s="110" t="str">
        <f>+K458</f>
        <v>B</v>
      </c>
      <c r="L459" s="107"/>
    </row>
    <row r="460" spans="1:12" s="112" customFormat="1">
      <c r="A460" s="107" t="s">
        <v>2944</v>
      </c>
      <c r="B460" s="107" t="str">
        <f t="shared" ca="1" si="133"/>
        <v>202503</v>
      </c>
      <c r="C460" s="107" t="str">
        <f t="shared" ca="1" si="132"/>
        <v>v1</v>
      </c>
      <c r="D460" s="399" t="str">
        <f ca="1">+D459</f>
        <v>04..03.</v>
      </c>
      <c r="E460" s="107">
        <f t="shared" si="130"/>
        <v>0</v>
      </c>
      <c r="F460" s="108">
        <f ca="1">OFFSET('Tabla III.1.'!$H$46,H460-1,I460-1)</f>
        <v>0</v>
      </c>
      <c r="G460" s="107" t="str">
        <f ca="1">OFFSET('Tabla III.1.'!$H$1,0,I460-1)</f>
        <v>06</v>
      </c>
      <c r="H460" s="110">
        <f>+H459</f>
        <v>30</v>
      </c>
      <c r="I460" s="110">
        <f>+I459+1</f>
        <v>6</v>
      </c>
      <c r="J460" s="110" t="str">
        <f ca="1">+'Tabla III.1.'!$C$9</f>
        <v>Tabla III.1.</v>
      </c>
      <c r="K460" s="110" t="str">
        <f>+K459</f>
        <v>B</v>
      </c>
      <c r="L460" s="107"/>
    </row>
    <row r="461" spans="1:12" s="112" customFormat="1">
      <c r="A461" s="412" t="s">
        <v>2944</v>
      </c>
      <c r="B461" s="412" t="str">
        <f t="shared" ca="1" si="133"/>
        <v>202502</v>
      </c>
      <c r="C461" s="412" t="str">
        <f t="shared" ref="C461:C472" ca="1" si="134">IF(G461="01","v2","v1")</f>
        <v>v2</v>
      </c>
      <c r="D461" s="413" t="str">
        <f ca="1">OFFSET('Tabla III.1.'!$F$46,H461-1,0)</f>
        <v>04..03.01.</v>
      </c>
      <c r="E461" s="412">
        <f t="shared" si="130"/>
        <v>0</v>
      </c>
      <c r="F461" s="414">
        <f ca="1">OFFSET('Tabla III.1.'!$H$46,H461-1,I461-1)</f>
        <v>0</v>
      </c>
      <c r="G461" s="412" t="str">
        <f ca="1">OFFSET('Tabla III.1.'!$H$1,0,I461-1)</f>
        <v>01</v>
      </c>
      <c r="H461" s="417">
        <f>+H455+1</f>
        <v>31</v>
      </c>
      <c r="I461" s="111">
        <v>1</v>
      </c>
      <c r="J461" s="111" t="str">
        <f ca="1">+'Tabla III.1.'!$C$9</f>
        <v>Tabla III.1.</v>
      </c>
      <c r="K461" s="111" t="s">
        <v>2267</v>
      </c>
      <c r="L461" s="419">
        <f>+L455+1</f>
        <v>26</v>
      </c>
    </row>
    <row r="462" spans="1:12" s="112" customFormat="1">
      <c r="A462" s="412" t="s">
        <v>2944</v>
      </c>
      <c r="B462" s="412" t="str">
        <f t="shared" ca="1" si="133"/>
        <v>202503</v>
      </c>
      <c r="C462" s="412" t="str">
        <f t="shared" ca="1" si="134"/>
        <v>v1</v>
      </c>
      <c r="D462" s="413" t="str">
        <f ca="1">+D461</f>
        <v>04..03.01.</v>
      </c>
      <c r="E462" s="412">
        <f t="shared" si="130"/>
        <v>0</v>
      </c>
      <c r="F462" s="414">
        <f ca="1">OFFSET('Tabla III.1.'!$H$46,H462-1,I462-1)</f>
        <v>0</v>
      </c>
      <c r="G462" s="412" t="str">
        <f ca="1">OFFSET('Tabla III.1.'!$H$1,0,I462-1)</f>
        <v>02</v>
      </c>
      <c r="H462" s="111">
        <f>+H461</f>
        <v>31</v>
      </c>
      <c r="I462" s="111">
        <f>+I461+1</f>
        <v>2</v>
      </c>
      <c r="J462" s="111" t="str">
        <f ca="1">+'Tabla III.1.'!$C$9</f>
        <v>Tabla III.1.</v>
      </c>
      <c r="K462" s="111" t="str">
        <f>+K461</f>
        <v>B</v>
      </c>
      <c r="L462" s="412"/>
    </row>
    <row r="463" spans="1:12" s="112" customFormat="1">
      <c r="A463" s="412" t="s">
        <v>2944</v>
      </c>
      <c r="B463" s="412" t="str">
        <f t="shared" ca="1" si="133"/>
        <v>202503</v>
      </c>
      <c r="C463" s="412" t="str">
        <f t="shared" ca="1" si="134"/>
        <v>v1</v>
      </c>
      <c r="D463" s="413" t="str">
        <f ca="1">+D462</f>
        <v>04..03.01.</v>
      </c>
      <c r="E463" s="412">
        <f t="shared" si="130"/>
        <v>0</v>
      </c>
      <c r="F463" s="414">
        <f ca="1">OFFSET('Tabla III.1.'!$H$46,H463-1,I463-1)</f>
        <v>0</v>
      </c>
      <c r="G463" s="412" t="str">
        <f ca="1">OFFSET('Tabla III.1.'!$H$1,0,I463-1)</f>
        <v>03</v>
      </c>
      <c r="H463" s="111">
        <f>+H462</f>
        <v>31</v>
      </c>
      <c r="I463" s="111">
        <f>+I462+1</f>
        <v>3</v>
      </c>
      <c r="J463" s="111" t="str">
        <f ca="1">+'Tabla III.1.'!$C$9</f>
        <v>Tabla III.1.</v>
      </c>
      <c r="K463" s="111" t="str">
        <f>+K462</f>
        <v>B</v>
      </c>
      <c r="L463" s="412"/>
    </row>
    <row r="464" spans="1:12" s="112" customFormat="1">
      <c r="A464" s="412" t="s">
        <v>2944</v>
      </c>
      <c r="B464" s="412" t="str">
        <f t="shared" ca="1" si="133"/>
        <v>202503</v>
      </c>
      <c r="C464" s="412" t="str">
        <f t="shared" ca="1" si="134"/>
        <v>v1</v>
      </c>
      <c r="D464" s="413" t="str">
        <f ca="1">+D463</f>
        <v>04..03.01.</v>
      </c>
      <c r="E464" s="412">
        <f t="shared" si="130"/>
        <v>0</v>
      </c>
      <c r="F464" s="414">
        <f ca="1">OFFSET('Tabla III.1.'!$H$46,H464-1,I464-1)</f>
        <v>0</v>
      </c>
      <c r="G464" s="412" t="str">
        <f ca="1">OFFSET('Tabla III.1.'!$H$1,0,I464-1)</f>
        <v>04</v>
      </c>
      <c r="H464" s="111">
        <f>+H463</f>
        <v>31</v>
      </c>
      <c r="I464" s="111">
        <f>+I463+1</f>
        <v>4</v>
      </c>
      <c r="J464" s="111" t="str">
        <f ca="1">+'Tabla III.1.'!$C$9</f>
        <v>Tabla III.1.</v>
      </c>
      <c r="K464" s="111" t="str">
        <f>+K463</f>
        <v>B</v>
      </c>
      <c r="L464" s="412"/>
    </row>
    <row r="465" spans="1:12" s="112" customFormat="1">
      <c r="A465" s="412" t="s">
        <v>2944</v>
      </c>
      <c r="B465" s="412" t="str">
        <f t="shared" ca="1" si="133"/>
        <v>202503</v>
      </c>
      <c r="C465" s="412" t="str">
        <f t="shared" ca="1" si="134"/>
        <v>v1</v>
      </c>
      <c r="D465" s="413" t="str">
        <f ca="1">+D464</f>
        <v>04..03.01.</v>
      </c>
      <c r="E465" s="412">
        <f t="shared" si="130"/>
        <v>0</v>
      </c>
      <c r="F465" s="414">
        <f ca="1">OFFSET('Tabla III.1.'!$H$46,H465-1,I465-1)</f>
        <v>0</v>
      </c>
      <c r="G465" s="412" t="str">
        <f ca="1">OFFSET('Tabla III.1.'!$H$1,0,I465-1)</f>
        <v>05</v>
      </c>
      <c r="H465" s="111">
        <f>+H464</f>
        <v>31</v>
      </c>
      <c r="I465" s="111">
        <f>+I464+1</f>
        <v>5</v>
      </c>
      <c r="J465" s="111" t="str">
        <f ca="1">+'Tabla III.1.'!$C$9</f>
        <v>Tabla III.1.</v>
      </c>
      <c r="K465" s="111" t="str">
        <f>+K464</f>
        <v>B</v>
      </c>
      <c r="L465" s="412"/>
    </row>
    <row r="466" spans="1:12" s="112" customFormat="1">
      <c r="A466" s="412" t="s">
        <v>2944</v>
      </c>
      <c r="B466" s="412" t="str">
        <f t="shared" ca="1" si="133"/>
        <v>202503</v>
      </c>
      <c r="C466" s="412" t="str">
        <f t="shared" ca="1" si="134"/>
        <v>v1</v>
      </c>
      <c r="D466" s="413" t="str">
        <f ca="1">+D465</f>
        <v>04..03.01.</v>
      </c>
      <c r="E466" s="412">
        <f t="shared" si="130"/>
        <v>0</v>
      </c>
      <c r="F466" s="414">
        <f ca="1">OFFSET('Tabla III.1.'!$H$46,H466-1,I466-1)</f>
        <v>0</v>
      </c>
      <c r="G466" s="412" t="str">
        <f ca="1">OFFSET('Tabla III.1.'!$H$1,0,I466-1)</f>
        <v>06</v>
      </c>
      <c r="H466" s="111">
        <f>+H465</f>
        <v>31</v>
      </c>
      <c r="I466" s="111">
        <f>+I465+1</f>
        <v>6</v>
      </c>
      <c r="J466" s="111" t="str">
        <f ca="1">+'Tabla III.1.'!$C$9</f>
        <v>Tabla III.1.</v>
      </c>
      <c r="K466" s="111" t="str">
        <f>+K465</f>
        <v>B</v>
      </c>
      <c r="L466" s="412"/>
    </row>
    <row r="467" spans="1:12" s="112" customFormat="1">
      <c r="A467" s="107" t="s">
        <v>2944</v>
      </c>
      <c r="B467" s="107" t="str">
        <f t="shared" ca="1" si="133"/>
        <v>202502</v>
      </c>
      <c r="C467" s="107" t="str">
        <f t="shared" ca="1" si="134"/>
        <v>v2</v>
      </c>
      <c r="D467" s="399" t="str">
        <f ca="1">OFFSET('Tabla III.1.'!$F$46,H467-1,0)</f>
        <v>04..03.02.</v>
      </c>
      <c r="E467" s="107">
        <f t="shared" si="130"/>
        <v>0</v>
      </c>
      <c r="F467" s="108">
        <f ca="1">OFFSET('Tabla III.1.'!$H$46,H467-1,I467-1)</f>
        <v>0</v>
      </c>
      <c r="G467" s="107" t="str">
        <f ca="1">OFFSET('Tabla III.1.'!$H$1,0,I467-1)</f>
        <v>01</v>
      </c>
      <c r="H467" s="439">
        <f>+H461+1</f>
        <v>32</v>
      </c>
      <c r="I467" s="110">
        <v>1</v>
      </c>
      <c r="J467" s="110" t="str">
        <f ca="1">+'Tabla III.1.'!$C$9</f>
        <v>Tabla III.1.</v>
      </c>
      <c r="K467" s="110" t="s">
        <v>2267</v>
      </c>
      <c r="L467" s="440">
        <f>+L461+1</f>
        <v>27</v>
      </c>
    </row>
    <row r="468" spans="1:12" s="112" customFormat="1">
      <c r="A468" s="107" t="s">
        <v>2944</v>
      </c>
      <c r="B468" s="107" t="str">
        <f t="shared" ca="1" si="133"/>
        <v>202503</v>
      </c>
      <c r="C468" s="107" t="str">
        <f t="shared" ca="1" si="134"/>
        <v>v1</v>
      </c>
      <c r="D468" s="399" t="str">
        <f ca="1">+D467</f>
        <v>04..03.02.</v>
      </c>
      <c r="E468" s="107">
        <f t="shared" si="130"/>
        <v>0</v>
      </c>
      <c r="F468" s="108">
        <f ca="1">OFFSET('Tabla III.1.'!$H$46,H468-1,I468-1)</f>
        <v>0</v>
      </c>
      <c r="G468" s="107" t="str">
        <f ca="1">OFFSET('Tabla III.1.'!$H$1,0,I468-1)</f>
        <v>02</v>
      </c>
      <c r="H468" s="110">
        <f>+H467</f>
        <v>32</v>
      </c>
      <c r="I468" s="110">
        <f>+I467+1</f>
        <v>2</v>
      </c>
      <c r="J468" s="110" t="str">
        <f ca="1">+'Tabla III.1.'!$C$9</f>
        <v>Tabla III.1.</v>
      </c>
      <c r="K468" s="110" t="str">
        <f>+K467</f>
        <v>B</v>
      </c>
      <c r="L468" s="107"/>
    </row>
    <row r="469" spans="1:12" s="112" customFormat="1">
      <c r="A469" s="107" t="s">
        <v>2944</v>
      </c>
      <c r="B469" s="107" t="str">
        <f t="shared" ca="1" si="133"/>
        <v>202503</v>
      </c>
      <c r="C469" s="107" t="str">
        <f t="shared" ca="1" si="134"/>
        <v>v1</v>
      </c>
      <c r="D469" s="399" t="str">
        <f ca="1">+D468</f>
        <v>04..03.02.</v>
      </c>
      <c r="E469" s="107">
        <f t="shared" si="130"/>
        <v>0</v>
      </c>
      <c r="F469" s="108">
        <f ca="1">OFFSET('Tabla III.1.'!$H$46,H469-1,I469-1)</f>
        <v>0</v>
      </c>
      <c r="G469" s="107" t="str">
        <f ca="1">OFFSET('Tabla III.1.'!$H$1,0,I469-1)</f>
        <v>03</v>
      </c>
      <c r="H469" s="110">
        <f>+H468</f>
        <v>32</v>
      </c>
      <c r="I469" s="110">
        <f>+I468+1</f>
        <v>3</v>
      </c>
      <c r="J469" s="110" t="str">
        <f ca="1">+'Tabla III.1.'!$C$9</f>
        <v>Tabla III.1.</v>
      </c>
      <c r="K469" s="110" t="str">
        <f>+K468</f>
        <v>B</v>
      </c>
      <c r="L469" s="107"/>
    </row>
    <row r="470" spans="1:12" s="112" customFormat="1">
      <c r="A470" s="107" t="s">
        <v>2944</v>
      </c>
      <c r="B470" s="107" t="str">
        <f t="shared" ca="1" si="133"/>
        <v>202503</v>
      </c>
      <c r="C470" s="107" t="str">
        <f t="shared" ca="1" si="134"/>
        <v>v1</v>
      </c>
      <c r="D470" s="399" t="str">
        <f ca="1">+D469</f>
        <v>04..03.02.</v>
      </c>
      <c r="E470" s="107">
        <f t="shared" si="130"/>
        <v>0</v>
      </c>
      <c r="F470" s="108">
        <f ca="1">OFFSET('Tabla III.1.'!$H$46,H470-1,I470-1)</f>
        <v>0</v>
      </c>
      <c r="G470" s="107" t="str">
        <f ca="1">OFFSET('Tabla III.1.'!$H$1,0,I470-1)</f>
        <v>04</v>
      </c>
      <c r="H470" s="110">
        <f>+H469</f>
        <v>32</v>
      </c>
      <c r="I470" s="110">
        <f>+I469+1</f>
        <v>4</v>
      </c>
      <c r="J470" s="110" t="str">
        <f ca="1">+'Tabla III.1.'!$C$9</f>
        <v>Tabla III.1.</v>
      </c>
      <c r="K470" s="110" t="str">
        <f>+K469</f>
        <v>B</v>
      </c>
      <c r="L470" s="107"/>
    </row>
    <row r="471" spans="1:12" s="112" customFormat="1">
      <c r="A471" s="107" t="s">
        <v>2944</v>
      </c>
      <c r="B471" s="107" t="str">
        <f t="shared" ca="1" si="133"/>
        <v>202503</v>
      </c>
      <c r="C471" s="107" t="str">
        <f t="shared" ca="1" si="134"/>
        <v>v1</v>
      </c>
      <c r="D471" s="399" t="str">
        <f ca="1">+D470</f>
        <v>04..03.02.</v>
      </c>
      <c r="E471" s="107">
        <f t="shared" si="130"/>
        <v>0</v>
      </c>
      <c r="F471" s="108">
        <f ca="1">OFFSET('Tabla III.1.'!$H$46,H471-1,I471-1)</f>
        <v>0</v>
      </c>
      <c r="G471" s="107" t="str">
        <f ca="1">OFFSET('Tabla III.1.'!$H$1,0,I471-1)</f>
        <v>05</v>
      </c>
      <c r="H471" s="110">
        <f>+H470</f>
        <v>32</v>
      </c>
      <c r="I471" s="110">
        <f>+I470+1</f>
        <v>5</v>
      </c>
      <c r="J471" s="110" t="str">
        <f ca="1">+'Tabla III.1.'!$C$9</f>
        <v>Tabla III.1.</v>
      </c>
      <c r="K471" s="110" t="str">
        <f>+K470</f>
        <v>B</v>
      </c>
      <c r="L471" s="107"/>
    </row>
    <row r="472" spans="1:12" s="112" customFormat="1">
      <c r="A472" s="107" t="s">
        <v>2944</v>
      </c>
      <c r="B472" s="107" t="str">
        <f t="shared" ca="1" si="133"/>
        <v>202503</v>
      </c>
      <c r="C472" s="107" t="str">
        <f t="shared" ca="1" si="134"/>
        <v>v1</v>
      </c>
      <c r="D472" s="399" t="str">
        <f ca="1">+D471</f>
        <v>04..03.02.</v>
      </c>
      <c r="E472" s="107">
        <f t="shared" si="130"/>
        <v>0</v>
      </c>
      <c r="F472" s="108">
        <f ca="1">OFFSET('Tabla III.1.'!$H$46,H472-1,I472-1)</f>
        <v>0</v>
      </c>
      <c r="G472" s="107" t="str">
        <f ca="1">OFFSET('Tabla III.1.'!$H$1,0,I472-1)</f>
        <v>06</v>
      </c>
      <c r="H472" s="110">
        <f>+H471</f>
        <v>32</v>
      </c>
      <c r="I472" s="110">
        <f>+I471+1</f>
        <v>6</v>
      </c>
      <c r="J472" s="110" t="str">
        <f ca="1">+'Tabla III.1.'!$C$9</f>
        <v>Tabla III.1.</v>
      </c>
      <c r="K472" s="110" t="str">
        <f>+K471</f>
        <v>B</v>
      </c>
      <c r="L472" s="107"/>
    </row>
    <row r="473" spans="1:12" s="415" customFormat="1">
      <c r="A473" s="412" t="s">
        <v>2944</v>
      </c>
      <c r="B473" s="412" t="str">
        <f t="shared" ca="1" si="133"/>
        <v>202502</v>
      </c>
      <c r="C473" s="412" t="str">
        <f t="shared" ca="1" si="129"/>
        <v>v2</v>
      </c>
      <c r="D473" s="413" t="str">
        <f ca="1">OFFSET('Tabla III.2.'!$F$13,H473-1,0)</f>
        <v>05.01.</v>
      </c>
      <c r="E473" s="412">
        <f t="shared" si="130"/>
        <v>0</v>
      </c>
      <c r="F473" s="414">
        <f ca="1">OFFSET('Tabla III.2.'!$H$13,H473-1,I473-1)</f>
        <v>0</v>
      </c>
      <c r="G473" s="412" t="str">
        <f ca="1">OFFSET('Tabla III.2.'!$H$1,0,I473-1)</f>
        <v>01</v>
      </c>
      <c r="H473" s="111">
        <v>1</v>
      </c>
      <c r="I473" s="111">
        <v>1</v>
      </c>
      <c r="J473" s="111" t="str">
        <f ca="1">+'Tabla III.2.'!$C$9</f>
        <v>Tabla III.2.</v>
      </c>
      <c r="K473" s="111" t="s">
        <v>2266</v>
      </c>
      <c r="L473" s="412">
        <v>1</v>
      </c>
    </row>
    <row r="474" spans="1:12" s="415" customFormat="1">
      <c r="A474" s="412" t="s">
        <v>2944</v>
      </c>
      <c r="B474" s="412" t="str">
        <f t="shared" ca="1" si="133"/>
        <v>202503</v>
      </c>
      <c r="C474" s="412" t="str">
        <f t="shared" ca="1" si="129"/>
        <v>v1</v>
      </c>
      <c r="D474" s="413" t="str">
        <f ca="1">+D473</f>
        <v>05.01.</v>
      </c>
      <c r="E474" s="412">
        <f t="shared" si="130"/>
        <v>0</v>
      </c>
      <c r="F474" s="414">
        <f ca="1">OFFSET('Tabla III.2.'!$H$13,H474-1,I474-1)</f>
        <v>0</v>
      </c>
      <c r="G474" s="412" t="str">
        <f ca="1">OFFSET('Tabla III.2.'!$H$1,0,I474-1)</f>
        <v>02</v>
      </c>
      <c r="H474" s="111">
        <f>+H473</f>
        <v>1</v>
      </c>
      <c r="I474" s="111">
        <f>+I473+1</f>
        <v>2</v>
      </c>
      <c r="J474" s="111" t="str">
        <f ca="1">+'Tabla III.2.'!$C$9</f>
        <v>Tabla III.2.</v>
      </c>
      <c r="K474" s="111" t="str">
        <f>+K473</f>
        <v>A</v>
      </c>
      <c r="L474" s="412"/>
    </row>
    <row r="475" spans="1:12" s="415" customFormat="1">
      <c r="A475" s="412" t="s">
        <v>2944</v>
      </c>
      <c r="B475" s="412" t="str">
        <f t="shared" ca="1" si="133"/>
        <v>202503</v>
      </c>
      <c r="C475" s="412" t="str">
        <f t="shared" ca="1" si="129"/>
        <v>v1</v>
      </c>
      <c r="D475" s="413" t="str">
        <f ca="1">+D474</f>
        <v>05.01.</v>
      </c>
      <c r="E475" s="412">
        <f t="shared" si="130"/>
        <v>0</v>
      </c>
      <c r="F475" s="414">
        <f ca="1">OFFSET('Tabla III.2.'!$H$13,H475-1,I475-1)</f>
        <v>0</v>
      </c>
      <c r="G475" s="412" t="str">
        <f ca="1">OFFSET('Tabla III.2.'!$H$1,0,I475-1)</f>
        <v>03</v>
      </c>
      <c r="H475" s="111">
        <f>+H474</f>
        <v>1</v>
      </c>
      <c r="I475" s="111">
        <f>+I474+1</f>
        <v>3</v>
      </c>
      <c r="J475" s="111" t="str">
        <f ca="1">+'Tabla III.2.'!$C$9</f>
        <v>Tabla III.2.</v>
      </c>
      <c r="K475" s="111" t="str">
        <f>+K474</f>
        <v>A</v>
      </c>
      <c r="L475" s="412"/>
    </row>
    <row r="476" spans="1:12" s="415" customFormat="1">
      <c r="A476" s="412" t="s">
        <v>2944</v>
      </c>
      <c r="B476" s="412" t="str">
        <f t="shared" ca="1" si="133"/>
        <v>202503</v>
      </c>
      <c r="C476" s="412" t="str">
        <f t="shared" ca="1" si="129"/>
        <v>v1</v>
      </c>
      <c r="D476" s="413" t="str">
        <f ca="1">+D475</f>
        <v>05.01.</v>
      </c>
      <c r="E476" s="412">
        <f t="shared" si="130"/>
        <v>0</v>
      </c>
      <c r="F476" s="414">
        <f ca="1">OFFSET('Tabla III.2.'!$H$13,H476-1,I476-1)</f>
        <v>0</v>
      </c>
      <c r="G476" s="412" t="str">
        <f ca="1">OFFSET('Tabla III.2.'!$H$1,0,I476-1)</f>
        <v>04</v>
      </c>
      <c r="H476" s="111">
        <f>+H475</f>
        <v>1</v>
      </c>
      <c r="I476" s="111">
        <f>+I475+1</f>
        <v>4</v>
      </c>
      <c r="J476" s="111" t="str">
        <f ca="1">+'Tabla III.2.'!$C$9</f>
        <v>Tabla III.2.</v>
      </c>
      <c r="K476" s="111" t="str">
        <f>+K475</f>
        <v>A</v>
      </c>
      <c r="L476" s="412"/>
    </row>
    <row r="477" spans="1:12" s="415" customFormat="1">
      <c r="A477" s="412" t="s">
        <v>2944</v>
      </c>
      <c r="B477" s="412" t="str">
        <f t="shared" ca="1" si="133"/>
        <v>202503</v>
      </c>
      <c r="C477" s="412" t="str">
        <f t="shared" ca="1" si="129"/>
        <v>v1</v>
      </c>
      <c r="D477" s="413" t="str">
        <f ca="1">+D476</f>
        <v>05.01.</v>
      </c>
      <c r="E477" s="412">
        <f t="shared" si="130"/>
        <v>0</v>
      </c>
      <c r="F477" s="414">
        <f ca="1">OFFSET('Tabla III.2.'!$H$13,H477-1,I477-1)</f>
        <v>0</v>
      </c>
      <c r="G477" s="412" t="str">
        <f ca="1">OFFSET('Tabla III.2.'!$H$1,0,I477-1)</f>
        <v>05</v>
      </c>
      <c r="H477" s="111">
        <f>+H476</f>
        <v>1</v>
      </c>
      <c r="I477" s="111">
        <f>+I476+1</f>
        <v>5</v>
      </c>
      <c r="J477" s="111" t="str">
        <f ca="1">+'Tabla III.2.'!$C$9</f>
        <v>Tabla III.2.</v>
      </c>
      <c r="K477" s="111" t="str">
        <f>+K476</f>
        <v>A</v>
      </c>
      <c r="L477" s="412"/>
    </row>
    <row r="478" spans="1:12" s="415" customFormat="1">
      <c r="A478" s="412" t="s">
        <v>2944</v>
      </c>
      <c r="B478" s="412" t="str">
        <f t="shared" ca="1" si="133"/>
        <v>202503</v>
      </c>
      <c r="C478" s="412" t="str">
        <f t="shared" ca="1" si="129"/>
        <v>v1</v>
      </c>
      <c r="D478" s="413" t="str">
        <f ca="1">+D477</f>
        <v>05.01.</v>
      </c>
      <c r="E478" s="412">
        <f t="shared" si="130"/>
        <v>0</v>
      </c>
      <c r="F478" s="414">
        <f ca="1">OFFSET('Tabla III.2.'!$H$13,H478-1,I478-1)</f>
        <v>0</v>
      </c>
      <c r="G478" s="412" t="str">
        <f ca="1">OFFSET('Tabla III.2.'!$H$1,0,I478-1)</f>
        <v>06</v>
      </c>
      <c r="H478" s="111">
        <f>+H477</f>
        <v>1</v>
      </c>
      <c r="I478" s="111">
        <f>+I477+1</f>
        <v>6</v>
      </c>
      <c r="J478" s="111" t="str">
        <f ca="1">+'Tabla III.2.'!$C$9</f>
        <v>Tabla III.2.</v>
      </c>
      <c r="K478" s="111" t="str">
        <f>+K477</f>
        <v>A</v>
      </c>
      <c r="L478" s="412"/>
    </row>
    <row r="479" spans="1:12" s="112" customFormat="1">
      <c r="A479" s="107" t="s">
        <v>2944</v>
      </c>
      <c r="B479" s="107" t="str">
        <f t="shared" ca="1" si="133"/>
        <v>202502</v>
      </c>
      <c r="C479" s="107" t="str">
        <f t="shared" ca="1" si="129"/>
        <v>v2</v>
      </c>
      <c r="D479" s="399" t="str">
        <f ca="1">OFFSET('Tabla III.2.'!$F$13,H479-1,0)</f>
        <v>05.01.00.01.</v>
      </c>
      <c r="E479" s="107">
        <f t="shared" si="130"/>
        <v>0</v>
      </c>
      <c r="F479" s="108">
        <f ca="1">OFFSET('Tabla III.2.'!$H$13,H479-1,I479-1)</f>
        <v>0</v>
      </c>
      <c r="G479" s="107" t="str">
        <f ca="1">OFFSET('Tabla III.2.'!$H$1,0,I479-1)</f>
        <v>01</v>
      </c>
      <c r="H479" s="110">
        <f>+H473+1</f>
        <v>2</v>
      </c>
      <c r="I479" s="110">
        <v>1</v>
      </c>
      <c r="J479" s="110" t="str">
        <f ca="1">+'Tabla III.2.'!$C$9</f>
        <v>Tabla III.2.</v>
      </c>
      <c r="K479" s="110" t="s">
        <v>2266</v>
      </c>
      <c r="L479" s="107">
        <f>+L473+1</f>
        <v>2</v>
      </c>
    </row>
    <row r="480" spans="1:12" s="112" customFormat="1">
      <c r="A480" s="107" t="s">
        <v>2944</v>
      </c>
      <c r="B480" s="107" t="str">
        <f t="shared" ca="1" si="133"/>
        <v>202503</v>
      </c>
      <c r="C480" s="107" t="str">
        <f t="shared" ca="1" si="129"/>
        <v>v1</v>
      </c>
      <c r="D480" s="399" t="str">
        <f ca="1">+D479</f>
        <v>05.01.00.01.</v>
      </c>
      <c r="E480" s="107">
        <f t="shared" si="130"/>
        <v>0</v>
      </c>
      <c r="F480" s="108">
        <f ca="1">OFFSET('Tabla III.2.'!$H$13,H480-1,I480-1)</f>
        <v>0</v>
      </c>
      <c r="G480" s="107" t="str">
        <f ca="1">OFFSET('Tabla III.2.'!$H$1,0,I480-1)</f>
        <v>02</v>
      </c>
      <c r="H480" s="110">
        <f>+H479</f>
        <v>2</v>
      </c>
      <c r="I480" s="110">
        <f>+I479+1</f>
        <v>2</v>
      </c>
      <c r="J480" s="110" t="str">
        <f ca="1">+'Tabla III.2.'!$C$9</f>
        <v>Tabla III.2.</v>
      </c>
      <c r="K480" s="110" t="str">
        <f>+K479</f>
        <v>A</v>
      </c>
      <c r="L480" s="107"/>
    </row>
    <row r="481" spans="1:12" s="112" customFormat="1">
      <c r="A481" s="107" t="s">
        <v>2944</v>
      </c>
      <c r="B481" s="107" t="str">
        <f t="shared" ca="1" si="133"/>
        <v>202503</v>
      </c>
      <c r="C481" s="107" t="str">
        <f t="shared" ca="1" si="129"/>
        <v>v1</v>
      </c>
      <c r="D481" s="399" t="str">
        <f ca="1">+D480</f>
        <v>05.01.00.01.</v>
      </c>
      <c r="E481" s="107">
        <f t="shared" si="130"/>
        <v>0</v>
      </c>
      <c r="F481" s="108">
        <f ca="1">OFFSET('Tabla III.2.'!$H$13,H481-1,I481-1)</f>
        <v>0</v>
      </c>
      <c r="G481" s="107" t="str">
        <f ca="1">OFFSET('Tabla III.2.'!$H$1,0,I481-1)</f>
        <v>03</v>
      </c>
      <c r="H481" s="110">
        <f>+H480</f>
        <v>2</v>
      </c>
      <c r="I481" s="110">
        <f>+I480+1</f>
        <v>3</v>
      </c>
      <c r="J481" s="110" t="str">
        <f ca="1">+'Tabla III.2.'!$C$9</f>
        <v>Tabla III.2.</v>
      </c>
      <c r="K481" s="110" t="str">
        <f>+K480</f>
        <v>A</v>
      </c>
      <c r="L481" s="107"/>
    </row>
    <row r="482" spans="1:12" s="112" customFormat="1">
      <c r="A482" s="107" t="s">
        <v>2944</v>
      </c>
      <c r="B482" s="107" t="str">
        <f t="shared" ca="1" si="133"/>
        <v>202503</v>
      </c>
      <c r="C482" s="107" t="str">
        <f t="shared" ca="1" si="129"/>
        <v>v1</v>
      </c>
      <c r="D482" s="399" t="str">
        <f ca="1">+D481</f>
        <v>05.01.00.01.</v>
      </c>
      <c r="E482" s="107">
        <f t="shared" si="130"/>
        <v>0</v>
      </c>
      <c r="F482" s="108">
        <f ca="1">OFFSET('Tabla III.2.'!$H$13,H482-1,I482-1)</f>
        <v>0</v>
      </c>
      <c r="G482" s="107" t="str">
        <f ca="1">OFFSET('Tabla III.2.'!$H$1,0,I482-1)</f>
        <v>04</v>
      </c>
      <c r="H482" s="110">
        <f>+H481</f>
        <v>2</v>
      </c>
      <c r="I482" s="110">
        <f>+I481+1</f>
        <v>4</v>
      </c>
      <c r="J482" s="110" t="str">
        <f ca="1">+'Tabla III.2.'!$C$9</f>
        <v>Tabla III.2.</v>
      </c>
      <c r="K482" s="110" t="str">
        <f>+K481</f>
        <v>A</v>
      </c>
      <c r="L482" s="107"/>
    </row>
    <row r="483" spans="1:12" s="112" customFormat="1">
      <c r="A483" s="107" t="s">
        <v>2944</v>
      </c>
      <c r="B483" s="107" t="str">
        <f t="shared" ca="1" si="133"/>
        <v>202503</v>
      </c>
      <c r="C483" s="107" t="str">
        <f t="shared" ca="1" si="129"/>
        <v>v1</v>
      </c>
      <c r="D483" s="399" t="str">
        <f ca="1">+D482</f>
        <v>05.01.00.01.</v>
      </c>
      <c r="E483" s="107">
        <f t="shared" si="130"/>
        <v>0</v>
      </c>
      <c r="F483" s="108">
        <f ca="1">OFFSET('Tabla III.2.'!$H$13,H483-1,I483-1)</f>
        <v>0</v>
      </c>
      <c r="G483" s="107" t="str">
        <f ca="1">OFFSET('Tabla III.2.'!$H$1,0,I483-1)</f>
        <v>05</v>
      </c>
      <c r="H483" s="110">
        <f>+H482</f>
        <v>2</v>
      </c>
      <c r="I483" s="110">
        <f>+I482+1</f>
        <v>5</v>
      </c>
      <c r="J483" s="110" t="str">
        <f ca="1">+'Tabla III.2.'!$C$9</f>
        <v>Tabla III.2.</v>
      </c>
      <c r="K483" s="110" t="str">
        <f>+K482</f>
        <v>A</v>
      </c>
      <c r="L483" s="107"/>
    </row>
    <row r="484" spans="1:12" s="112" customFormat="1">
      <c r="A484" s="107" t="s">
        <v>2944</v>
      </c>
      <c r="B484" s="107" t="str">
        <f t="shared" ca="1" si="133"/>
        <v>202503</v>
      </c>
      <c r="C484" s="107" t="str">
        <f t="shared" ca="1" si="129"/>
        <v>v1</v>
      </c>
      <c r="D484" s="399" t="str">
        <f ca="1">+D483</f>
        <v>05.01.00.01.</v>
      </c>
      <c r="E484" s="107">
        <f t="shared" si="130"/>
        <v>0</v>
      </c>
      <c r="F484" s="108">
        <f ca="1">OFFSET('Tabla III.2.'!$H$13,H484-1,I484-1)</f>
        <v>0</v>
      </c>
      <c r="G484" s="107" t="str">
        <f ca="1">OFFSET('Tabla III.2.'!$H$1,0,I484-1)</f>
        <v>06</v>
      </c>
      <c r="H484" s="110">
        <f>+H483</f>
        <v>2</v>
      </c>
      <c r="I484" s="110">
        <f>+I483+1</f>
        <v>6</v>
      </c>
      <c r="J484" s="110" t="str">
        <f ca="1">+'Tabla III.2.'!$C$9</f>
        <v>Tabla III.2.</v>
      </c>
      <c r="K484" s="110" t="str">
        <f>+K483</f>
        <v>A</v>
      </c>
      <c r="L484" s="107"/>
    </row>
    <row r="485" spans="1:12" s="415" customFormat="1">
      <c r="A485" s="412" t="s">
        <v>2944</v>
      </c>
      <c r="B485" s="412" t="str">
        <f t="shared" ca="1" si="133"/>
        <v>202502</v>
      </c>
      <c r="C485" s="412" t="str">
        <f t="shared" ca="1" si="129"/>
        <v>v2</v>
      </c>
      <c r="D485" s="413" t="str">
        <f ca="1">OFFSET('Tabla III.2.'!$F$13,H485-1,0)</f>
        <v>05.01.00.02.</v>
      </c>
      <c r="E485" s="412">
        <f t="shared" si="130"/>
        <v>0</v>
      </c>
      <c r="F485" s="414">
        <f ca="1">OFFSET('Tabla III.2.'!$H$13,H485-1,I485-1)</f>
        <v>0</v>
      </c>
      <c r="G485" s="412" t="str">
        <f ca="1">OFFSET('Tabla III.2.'!$H$1,0,I485-1)</f>
        <v>01</v>
      </c>
      <c r="H485" s="111">
        <f>+H479+1</f>
        <v>3</v>
      </c>
      <c r="I485" s="111">
        <v>1</v>
      </c>
      <c r="J485" s="111" t="str">
        <f ca="1">+'Tabla III.2.'!$C$9</f>
        <v>Tabla III.2.</v>
      </c>
      <c r="K485" s="111" t="s">
        <v>2266</v>
      </c>
      <c r="L485" s="412">
        <f>+L479+1</f>
        <v>3</v>
      </c>
    </row>
    <row r="486" spans="1:12" s="415" customFormat="1">
      <c r="A486" s="412" t="s">
        <v>2944</v>
      </c>
      <c r="B486" s="412" t="str">
        <f t="shared" ca="1" si="133"/>
        <v>202503</v>
      </c>
      <c r="C486" s="412" t="str">
        <f t="shared" ref="C486:C549" ca="1" si="135">IF(G486="01","v2","v1")</f>
        <v>v1</v>
      </c>
      <c r="D486" s="413" t="str">
        <f ca="1">+D485</f>
        <v>05.01.00.02.</v>
      </c>
      <c r="E486" s="412">
        <f t="shared" ref="E486:E549" si="136">RUC</f>
        <v>0</v>
      </c>
      <c r="F486" s="414">
        <f ca="1">OFFSET('Tabla III.2.'!$H$13,H486-1,I486-1)</f>
        <v>0</v>
      </c>
      <c r="G486" s="412" t="str">
        <f ca="1">OFFSET('Tabla III.2.'!$H$1,0,I486-1)</f>
        <v>02</v>
      </c>
      <c r="H486" s="111">
        <f>+H485</f>
        <v>3</v>
      </c>
      <c r="I486" s="111">
        <f>+I485+1</f>
        <v>2</v>
      </c>
      <c r="J486" s="111" t="str">
        <f ca="1">+'Tabla III.2.'!$C$9</f>
        <v>Tabla III.2.</v>
      </c>
      <c r="K486" s="111" t="str">
        <f>+K485</f>
        <v>A</v>
      </c>
      <c r="L486" s="412"/>
    </row>
    <row r="487" spans="1:12" s="415" customFormat="1">
      <c r="A487" s="412" t="s">
        <v>2944</v>
      </c>
      <c r="B487" s="412" t="str">
        <f t="shared" ca="1" si="133"/>
        <v>202503</v>
      </c>
      <c r="C487" s="412" t="str">
        <f t="shared" ca="1" si="135"/>
        <v>v1</v>
      </c>
      <c r="D487" s="413" t="str">
        <f ca="1">+D486</f>
        <v>05.01.00.02.</v>
      </c>
      <c r="E487" s="412">
        <f t="shared" si="136"/>
        <v>0</v>
      </c>
      <c r="F487" s="414">
        <f ca="1">OFFSET('Tabla III.2.'!$H$13,H487-1,I487-1)</f>
        <v>0</v>
      </c>
      <c r="G487" s="412" t="str">
        <f ca="1">OFFSET('Tabla III.2.'!$H$1,0,I487-1)</f>
        <v>03</v>
      </c>
      <c r="H487" s="111">
        <f>+H486</f>
        <v>3</v>
      </c>
      <c r="I487" s="111">
        <f>+I486+1</f>
        <v>3</v>
      </c>
      <c r="J487" s="111" t="str">
        <f ca="1">+'Tabla III.2.'!$C$9</f>
        <v>Tabla III.2.</v>
      </c>
      <c r="K487" s="111" t="str">
        <f>+K486</f>
        <v>A</v>
      </c>
      <c r="L487" s="412"/>
    </row>
    <row r="488" spans="1:12" s="415" customFormat="1">
      <c r="A488" s="412" t="s">
        <v>2944</v>
      </c>
      <c r="B488" s="412" t="str">
        <f t="shared" ca="1" si="133"/>
        <v>202503</v>
      </c>
      <c r="C488" s="412" t="str">
        <f t="shared" ca="1" si="135"/>
        <v>v1</v>
      </c>
      <c r="D488" s="413" t="str">
        <f ca="1">+D487</f>
        <v>05.01.00.02.</v>
      </c>
      <c r="E488" s="412">
        <f t="shared" si="136"/>
        <v>0</v>
      </c>
      <c r="F488" s="414">
        <f ca="1">OFFSET('Tabla III.2.'!$H$13,H488-1,I488-1)</f>
        <v>0</v>
      </c>
      <c r="G488" s="412" t="str">
        <f ca="1">OFFSET('Tabla III.2.'!$H$1,0,I488-1)</f>
        <v>04</v>
      </c>
      <c r="H488" s="111">
        <f>+H487</f>
        <v>3</v>
      </c>
      <c r="I488" s="111">
        <f>+I487+1</f>
        <v>4</v>
      </c>
      <c r="J488" s="111" t="str">
        <f ca="1">+'Tabla III.2.'!$C$9</f>
        <v>Tabla III.2.</v>
      </c>
      <c r="K488" s="111" t="str">
        <f>+K487</f>
        <v>A</v>
      </c>
      <c r="L488" s="412"/>
    </row>
    <row r="489" spans="1:12" s="415" customFormat="1">
      <c r="A489" s="412" t="s">
        <v>2944</v>
      </c>
      <c r="B489" s="412" t="str">
        <f t="shared" ca="1" si="133"/>
        <v>202503</v>
      </c>
      <c r="C489" s="412" t="str">
        <f t="shared" ca="1" si="135"/>
        <v>v1</v>
      </c>
      <c r="D489" s="413" t="str">
        <f ca="1">+D488</f>
        <v>05.01.00.02.</v>
      </c>
      <c r="E489" s="412">
        <f t="shared" si="136"/>
        <v>0</v>
      </c>
      <c r="F489" s="414">
        <f ca="1">OFFSET('Tabla III.2.'!$H$13,H489-1,I489-1)</f>
        <v>0</v>
      </c>
      <c r="G489" s="412" t="str">
        <f ca="1">OFFSET('Tabla III.2.'!$H$1,0,I489-1)</f>
        <v>05</v>
      </c>
      <c r="H489" s="111">
        <f>+H488</f>
        <v>3</v>
      </c>
      <c r="I489" s="111">
        <f>+I488+1</f>
        <v>5</v>
      </c>
      <c r="J489" s="111" t="str">
        <f ca="1">+'Tabla III.2.'!$C$9</f>
        <v>Tabla III.2.</v>
      </c>
      <c r="K489" s="111" t="str">
        <f>+K488</f>
        <v>A</v>
      </c>
      <c r="L489" s="412"/>
    </row>
    <row r="490" spans="1:12" s="415" customFormat="1">
      <c r="A490" s="412" t="s">
        <v>2944</v>
      </c>
      <c r="B490" s="412" t="str">
        <f t="shared" ca="1" si="133"/>
        <v>202503</v>
      </c>
      <c r="C490" s="412" t="str">
        <f t="shared" ca="1" si="135"/>
        <v>v1</v>
      </c>
      <c r="D490" s="413" t="str">
        <f ca="1">+D489</f>
        <v>05.01.00.02.</v>
      </c>
      <c r="E490" s="412">
        <f t="shared" si="136"/>
        <v>0</v>
      </c>
      <c r="F490" s="414">
        <f ca="1">OFFSET('Tabla III.2.'!$H$13,H490-1,I490-1)</f>
        <v>0</v>
      </c>
      <c r="G490" s="412" t="str">
        <f ca="1">OFFSET('Tabla III.2.'!$H$1,0,I490-1)</f>
        <v>06</v>
      </c>
      <c r="H490" s="111">
        <f>+H489</f>
        <v>3</v>
      </c>
      <c r="I490" s="111">
        <f>+I489+1</f>
        <v>6</v>
      </c>
      <c r="J490" s="111" t="str">
        <f ca="1">+'Tabla III.2.'!$C$9</f>
        <v>Tabla III.2.</v>
      </c>
      <c r="K490" s="111" t="str">
        <f>+K489</f>
        <v>A</v>
      </c>
      <c r="L490" s="412"/>
    </row>
    <row r="491" spans="1:12" s="112" customFormat="1">
      <c r="A491" s="107" t="s">
        <v>2944</v>
      </c>
      <c r="B491" s="107" t="str">
        <f t="shared" ca="1" si="133"/>
        <v>202502</v>
      </c>
      <c r="C491" s="107" t="str">
        <f t="shared" ca="1" si="135"/>
        <v>v2</v>
      </c>
      <c r="D491" s="399" t="str">
        <f ca="1">OFFSET('Tabla III.2.'!$F$13,H491-1,0)</f>
        <v>05.02.</v>
      </c>
      <c r="E491" s="107">
        <f t="shared" si="136"/>
        <v>0</v>
      </c>
      <c r="F491" s="108">
        <f ca="1">OFFSET('Tabla III.2.'!$H$13,H491-1,I491-1)</f>
        <v>0</v>
      </c>
      <c r="G491" s="107" t="str">
        <f ca="1">OFFSET('Tabla III.2.'!$H$1,0,I491-1)</f>
        <v>01</v>
      </c>
      <c r="H491" s="110">
        <f>+H485+1</f>
        <v>4</v>
      </c>
      <c r="I491" s="110">
        <v>1</v>
      </c>
      <c r="J491" s="110" t="str">
        <f ca="1">+'Tabla III.2.'!$C$9</f>
        <v>Tabla III.2.</v>
      </c>
      <c r="K491" s="110" t="s">
        <v>2266</v>
      </c>
      <c r="L491" s="107">
        <f>+L485+1</f>
        <v>4</v>
      </c>
    </row>
    <row r="492" spans="1:12" s="112" customFormat="1">
      <c r="A492" s="107" t="s">
        <v>2944</v>
      </c>
      <c r="B492" s="107" t="str">
        <f t="shared" ca="1" si="133"/>
        <v>202503</v>
      </c>
      <c r="C492" s="107" t="str">
        <f t="shared" ca="1" si="135"/>
        <v>v1</v>
      </c>
      <c r="D492" s="399" t="str">
        <f ca="1">+D491</f>
        <v>05.02.</v>
      </c>
      <c r="E492" s="107">
        <f t="shared" si="136"/>
        <v>0</v>
      </c>
      <c r="F492" s="108">
        <f ca="1">OFFSET('Tabla III.2.'!$H$13,H492-1,I492-1)</f>
        <v>0</v>
      </c>
      <c r="G492" s="107" t="str">
        <f ca="1">OFFSET('Tabla III.2.'!$H$1,0,I492-1)</f>
        <v>02</v>
      </c>
      <c r="H492" s="110">
        <f>+H491</f>
        <v>4</v>
      </c>
      <c r="I492" s="110">
        <f>+I491+1</f>
        <v>2</v>
      </c>
      <c r="J492" s="110" t="str">
        <f ca="1">+'Tabla III.2.'!$C$9</f>
        <v>Tabla III.2.</v>
      </c>
      <c r="K492" s="110" t="str">
        <f>+K491</f>
        <v>A</v>
      </c>
      <c r="L492" s="107"/>
    </row>
    <row r="493" spans="1:12" s="112" customFormat="1">
      <c r="A493" s="107" t="s">
        <v>2944</v>
      </c>
      <c r="B493" s="107" t="str">
        <f t="shared" ca="1" si="133"/>
        <v>202503</v>
      </c>
      <c r="C493" s="107" t="str">
        <f t="shared" ca="1" si="135"/>
        <v>v1</v>
      </c>
      <c r="D493" s="399" t="str">
        <f ca="1">+D492</f>
        <v>05.02.</v>
      </c>
      <c r="E493" s="107">
        <f t="shared" si="136"/>
        <v>0</v>
      </c>
      <c r="F493" s="108">
        <f ca="1">OFFSET('Tabla III.2.'!$H$13,H493-1,I493-1)</f>
        <v>0</v>
      </c>
      <c r="G493" s="107" t="str">
        <f ca="1">OFFSET('Tabla III.2.'!$H$1,0,I493-1)</f>
        <v>03</v>
      </c>
      <c r="H493" s="110">
        <f>+H492</f>
        <v>4</v>
      </c>
      <c r="I493" s="110">
        <f>+I492+1</f>
        <v>3</v>
      </c>
      <c r="J493" s="110" t="str">
        <f ca="1">+'Tabla III.2.'!$C$9</f>
        <v>Tabla III.2.</v>
      </c>
      <c r="K493" s="110" t="str">
        <f>+K492</f>
        <v>A</v>
      </c>
      <c r="L493" s="107"/>
    </row>
    <row r="494" spans="1:12" s="112" customFormat="1">
      <c r="A494" s="107" t="s">
        <v>2944</v>
      </c>
      <c r="B494" s="107" t="str">
        <f t="shared" ca="1" si="133"/>
        <v>202503</v>
      </c>
      <c r="C494" s="107" t="str">
        <f t="shared" ca="1" si="135"/>
        <v>v1</v>
      </c>
      <c r="D494" s="399" t="str">
        <f ca="1">+D493</f>
        <v>05.02.</v>
      </c>
      <c r="E494" s="107">
        <f t="shared" si="136"/>
        <v>0</v>
      </c>
      <c r="F494" s="108">
        <f ca="1">OFFSET('Tabla III.2.'!$H$13,H494-1,I494-1)</f>
        <v>0</v>
      </c>
      <c r="G494" s="107" t="str">
        <f ca="1">OFFSET('Tabla III.2.'!$H$1,0,I494-1)</f>
        <v>04</v>
      </c>
      <c r="H494" s="110">
        <f>+H493</f>
        <v>4</v>
      </c>
      <c r="I494" s="110">
        <f>+I493+1</f>
        <v>4</v>
      </c>
      <c r="J494" s="110" t="str">
        <f ca="1">+'Tabla III.2.'!$C$9</f>
        <v>Tabla III.2.</v>
      </c>
      <c r="K494" s="110" t="str">
        <f>+K493</f>
        <v>A</v>
      </c>
      <c r="L494" s="107"/>
    </row>
    <row r="495" spans="1:12" s="112" customFormat="1">
      <c r="A495" s="107" t="s">
        <v>2944</v>
      </c>
      <c r="B495" s="107" t="str">
        <f t="shared" ca="1" si="133"/>
        <v>202503</v>
      </c>
      <c r="C495" s="107" t="str">
        <f t="shared" ca="1" si="135"/>
        <v>v1</v>
      </c>
      <c r="D495" s="399" t="str">
        <f ca="1">+D494</f>
        <v>05.02.</v>
      </c>
      <c r="E495" s="107">
        <f t="shared" si="136"/>
        <v>0</v>
      </c>
      <c r="F495" s="108">
        <f ca="1">OFFSET('Tabla III.2.'!$H$13,H495-1,I495-1)</f>
        <v>0</v>
      </c>
      <c r="G495" s="107" t="str">
        <f ca="1">OFFSET('Tabla III.2.'!$H$1,0,I495-1)</f>
        <v>05</v>
      </c>
      <c r="H495" s="110">
        <f>+H494</f>
        <v>4</v>
      </c>
      <c r="I495" s="110">
        <f>+I494+1</f>
        <v>5</v>
      </c>
      <c r="J495" s="110" t="str">
        <f ca="1">+'Tabla III.2.'!$C$9</f>
        <v>Tabla III.2.</v>
      </c>
      <c r="K495" s="110" t="str">
        <f>+K494</f>
        <v>A</v>
      </c>
      <c r="L495" s="107"/>
    </row>
    <row r="496" spans="1:12" s="112" customFormat="1">
      <c r="A496" s="107" t="s">
        <v>2944</v>
      </c>
      <c r="B496" s="107" t="str">
        <f t="shared" ca="1" si="133"/>
        <v>202503</v>
      </c>
      <c r="C496" s="107" t="str">
        <f t="shared" ca="1" si="135"/>
        <v>v1</v>
      </c>
      <c r="D496" s="399" t="str">
        <f ca="1">+D495</f>
        <v>05.02.</v>
      </c>
      <c r="E496" s="107">
        <f t="shared" si="136"/>
        <v>0</v>
      </c>
      <c r="F496" s="108">
        <f ca="1">OFFSET('Tabla III.2.'!$H$13,H496-1,I496-1)</f>
        <v>0</v>
      </c>
      <c r="G496" s="107" t="str">
        <f ca="1">OFFSET('Tabla III.2.'!$H$1,0,I496-1)</f>
        <v>06</v>
      </c>
      <c r="H496" s="110">
        <f>+H495</f>
        <v>4</v>
      </c>
      <c r="I496" s="110">
        <f>+I495+1</f>
        <v>6</v>
      </c>
      <c r="J496" s="110" t="str">
        <f ca="1">+'Tabla III.2.'!$C$9</f>
        <v>Tabla III.2.</v>
      </c>
      <c r="K496" s="110" t="str">
        <f>+K495</f>
        <v>A</v>
      </c>
      <c r="L496" s="107"/>
    </row>
    <row r="497" spans="1:12" s="415" customFormat="1">
      <c r="A497" s="412" t="s">
        <v>2944</v>
      </c>
      <c r="B497" s="412" t="str">
        <f t="shared" ca="1" si="133"/>
        <v>202502</v>
      </c>
      <c r="C497" s="412" t="str">
        <f t="shared" ca="1" si="135"/>
        <v>v2</v>
      </c>
      <c r="D497" s="413" t="str">
        <f ca="1">OFFSET('Tabla III.2.'!$F$13,H497-1,0)</f>
        <v>05.02.00.01.</v>
      </c>
      <c r="E497" s="412">
        <f t="shared" si="136"/>
        <v>0</v>
      </c>
      <c r="F497" s="414">
        <f ca="1">OFFSET('Tabla III.2.'!$H$13,H497-1,I497-1)</f>
        <v>0</v>
      </c>
      <c r="G497" s="412" t="str">
        <f ca="1">OFFSET('Tabla III.2.'!$H$1,0,I497-1)</f>
        <v>01</v>
      </c>
      <c r="H497" s="111">
        <f>+H491+1</f>
        <v>5</v>
      </c>
      <c r="I497" s="111">
        <v>1</v>
      </c>
      <c r="J497" s="111" t="str">
        <f ca="1">+'Tabla III.2.'!$C$9</f>
        <v>Tabla III.2.</v>
      </c>
      <c r="K497" s="111" t="s">
        <v>2266</v>
      </c>
      <c r="L497" s="412">
        <f>+L491+1</f>
        <v>5</v>
      </c>
    </row>
    <row r="498" spans="1:12" s="415" customFormat="1">
      <c r="A498" s="412" t="s">
        <v>2944</v>
      </c>
      <c r="B498" s="412" t="str">
        <f t="shared" ca="1" si="133"/>
        <v>202503</v>
      </c>
      <c r="C498" s="412" t="str">
        <f t="shared" ca="1" si="135"/>
        <v>v1</v>
      </c>
      <c r="D498" s="413" t="str">
        <f ca="1">+D497</f>
        <v>05.02.00.01.</v>
      </c>
      <c r="E498" s="412">
        <f t="shared" si="136"/>
        <v>0</v>
      </c>
      <c r="F498" s="414">
        <f ca="1">OFFSET('Tabla III.2.'!$H$13,H498-1,I498-1)</f>
        <v>0</v>
      </c>
      <c r="G498" s="412" t="str">
        <f ca="1">OFFSET('Tabla III.2.'!$H$1,0,I498-1)</f>
        <v>02</v>
      </c>
      <c r="H498" s="111">
        <f>+H497</f>
        <v>5</v>
      </c>
      <c r="I498" s="111">
        <f>+I497+1</f>
        <v>2</v>
      </c>
      <c r="J498" s="111" t="str">
        <f ca="1">+'Tabla III.2.'!$C$9</f>
        <v>Tabla III.2.</v>
      </c>
      <c r="K498" s="111" t="str">
        <f>+K497</f>
        <v>A</v>
      </c>
      <c r="L498" s="412"/>
    </row>
    <row r="499" spans="1:12" s="415" customFormat="1">
      <c r="A499" s="412" t="s">
        <v>2944</v>
      </c>
      <c r="B499" s="412" t="str">
        <f t="shared" ca="1" si="133"/>
        <v>202503</v>
      </c>
      <c r="C499" s="412" t="str">
        <f t="shared" ca="1" si="135"/>
        <v>v1</v>
      </c>
      <c r="D499" s="413" t="str">
        <f ca="1">+D498</f>
        <v>05.02.00.01.</v>
      </c>
      <c r="E499" s="412">
        <f t="shared" si="136"/>
        <v>0</v>
      </c>
      <c r="F499" s="414">
        <f ca="1">OFFSET('Tabla III.2.'!$H$13,H499-1,I499-1)</f>
        <v>0</v>
      </c>
      <c r="G499" s="412" t="str">
        <f ca="1">OFFSET('Tabla III.2.'!$H$1,0,I499-1)</f>
        <v>03</v>
      </c>
      <c r="H499" s="111">
        <f>+H498</f>
        <v>5</v>
      </c>
      <c r="I499" s="111">
        <f>+I498+1</f>
        <v>3</v>
      </c>
      <c r="J499" s="111" t="str">
        <f ca="1">+'Tabla III.2.'!$C$9</f>
        <v>Tabla III.2.</v>
      </c>
      <c r="K499" s="111" t="str">
        <f>+K498</f>
        <v>A</v>
      </c>
      <c r="L499" s="412"/>
    </row>
    <row r="500" spans="1:12" s="415" customFormat="1">
      <c r="A500" s="412" t="s">
        <v>2944</v>
      </c>
      <c r="B500" s="412" t="str">
        <f t="shared" ca="1" si="133"/>
        <v>202503</v>
      </c>
      <c r="C500" s="412" t="str">
        <f t="shared" ca="1" si="135"/>
        <v>v1</v>
      </c>
      <c r="D500" s="413" t="str">
        <f ca="1">+D499</f>
        <v>05.02.00.01.</v>
      </c>
      <c r="E500" s="412">
        <f t="shared" si="136"/>
        <v>0</v>
      </c>
      <c r="F500" s="414">
        <f ca="1">OFFSET('Tabla III.2.'!$H$13,H500-1,I500-1)</f>
        <v>0</v>
      </c>
      <c r="G500" s="412" t="str">
        <f ca="1">OFFSET('Tabla III.2.'!$H$1,0,I500-1)</f>
        <v>04</v>
      </c>
      <c r="H500" s="111">
        <f>+H499</f>
        <v>5</v>
      </c>
      <c r="I500" s="111">
        <f>+I499+1</f>
        <v>4</v>
      </c>
      <c r="J500" s="111" t="str">
        <f ca="1">+'Tabla III.2.'!$C$9</f>
        <v>Tabla III.2.</v>
      </c>
      <c r="K500" s="111" t="str">
        <f>+K499</f>
        <v>A</v>
      </c>
      <c r="L500" s="412"/>
    </row>
    <row r="501" spans="1:12" s="415" customFormat="1">
      <c r="A501" s="412" t="s">
        <v>2944</v>
      </c>
      <c r="B501" s="412" t="str">
        <f t="shared" ca="1" si="133"/>
        <v>202503</v>
      </c>
      <c r="C501" s="412" t="str">
        <f t="shared" ca="1" si="135"/>
        <v>v1</v>
      </c>
      <c r="D501" s="413" t="str">
        <f ca="1">+D500</f>
        <v>05.02.00.01.</v>
      </c>
      <c r="E501" s="412">
        <f t="shared" si="136"/>
        <v>0</v>
      </c>
      <c r="F501" s="414">
        <f ca="1">OFFSET('Tabla III.2.'!$H$13,H501-1,I501-1)</f>
        <v>0</v>
      </c>
      <c r="G501" s="412" t="str">
        <f ca="1">OFFSET('Tabla III.2.'!$H$1,0,I501-1)</f>
        <v>05</v>
      </c>
      <c r="H501" s="111">
        <f>+H500</f>
        <v>5</v>
      </c>
      <c r="I501" s="111">
        <f>+I500+1</f>
        <v>5</v>
      </c>
      <c r="J501" s="111" t="str">
        <f ca="1">+'Tabla III.2.'!$C$9</f>
        <v>Tabla III.2.</v>
      </c>
      <c r="K501" s="111" t="str">
        <f>+K500</f>
        <v>A</v>
      </c>
      <c r="L501" s="412"/>
    </row>
    <row r="502" spans="1:12" s="415" customFormat="1">
      <c r="A502" s="412" t="s">
        <v>2944</v>
      </c>
      <c r="B502" s="412" t="str">
        <f t="shared" ca="1" si="133"/>
        <v>202503</v>
      </c>
      <c r="C502" s="412" t="str">
        <f t="shared" ca="1" si="135"/>
        <v>v1</v>
      </c>
      <c r="D502" s="413" t="str">
        <f ca="1">+D501</f>
        <v>05.02.00.01.</v>
      </c>
      <c r="E502" s="412">
        <f t="shared" si="136"/>
        <v>0</v>
      </c>
      <c r="F502" s="414">
        <f ca="1">OFFSET('Tabla III.2.'!$H$13,H502-1,I502-1)</f>
        <v>0</v>
      </c>
      <c r="G502" s="412" t="str">
        <f ca="1">OFFSET('Tabla III.2.'!$H$1,0,I502-1)</f>
        <v>06</v>
      </c>
      <c r="H502" s="111">
        <f>+H501</f>
        <v>5</v>
      </c>
      <c r="I502" s="111">
        <f>+I501+1</f>
        <v>6</v>
      </c>
      <c r="J502" s="111" t="str">
        <f ca="1">+'Tabla III.2.'!$C$9</f>
        <v>Tabla III.2.</v>
      </c>
      <c r="K502" s="111" t="str">
        <f>+K501</f>
        <v>A</v>
      </c>
      <c r="L502" s="412"/>
    </row>
    <row r="503" spans="1:12" s="112" customFormat="1">
      <c r="A503" s="107" t="s">
        <v>2944</v>
      </c>
      <c r="B503" s="107" t="str">
        <f t="shared" ca="1" si="133"/>
        <v>202502</v>
      </c>
      <c r="C503" s="107" t="str">
        <f t="shared" ca="1" si="135"/>
        <v>v2</v>
      </c>
      <c r="D503" s="399" t="str">
        <f ca="1">OFFSET('Tabla III.2.'!$F$13,H503-1,0)</f>
        <v>05.02.00.02.</v>
      </c>
      <c r="E503" s="107">
        <f t="shared" si="136"/>
        <v>0</v>
      </c>
      <c r="F503" s="108">
        <f ca="1">OFFSET('Tabla III.2.'!$H$13,H503-1,I503-1)</f>
        <v>0</v>
      </c>
      <c r="G503" s="107" t="str">
        <f ca="1">OFFSET('Tabla III.2.'!$H$1,0,I503-1)</f>
        <v>01</v>
      </c>
      <c r="H503" s="110">
        <f>+H497+1</f>
        <v>6</v>
      </c>
      <c r="I503" s="110">
        <v>1</v>
      </c>
      <c r="J503" s="110" t="str">
        <f ca="1">+'Tabla III.2.'!$C$9</f>
        <v>Tabla III.2.</v>
      </c>
      <c r="K503" s="110" t="s">
        <v>2266</v>
      </c>
      <c r="L503" s="107">
        <f>+L497+1</f>
        <v>6</v>
      </c>
    </row>
    <row r="504" spans="1:12" s="112" customFormat="1">
      <c r="A504" s="107" t="s">
        <v>2944</v>
      </c>
      <c r="B504" s="107" t="str">
        <f t="shared" ca="1" si="133"/>
        <v>202503</v>
      </c>
      <c r="C504" s="107" t="str">
        <f t="shared" ca="1" si="135"/>
        <v>v1</v>
      </c>
      <c r="D504" s="399" t="str">
        <f ca="1">+D503</f>
        <v>05.02.00.02.</v>
      </c>
      <c r="E504" s="107">
        <f t="shared" si="136"/>
        <v>0</v>
      </c>
      <c r="F504" s="108">
        <f ca="1">OFFSET('Tabla III.2.'!$H$13,H504-1,I504-1)</f>
        <v>0</v>
      </c>
      <c r="G504" s="107" t="str">
        <f ca="1">OFFSET('Tabla III.2.'!$H$1,0,I504-1)</f>
        <v>02</v>
      </c>
      <c r="H504" s="110">
        <f>+H503</f>
        <v>6</v>
      </c>
      <c r="I504" s="110">
        <f>+I503+1</f>
        <v>2</v>
      </c>
      <c r="J504" s="110" t="str">
        <f ca="1">+'Tabla III.2.'!$C$9</f>
        <v>Tabla III.2.</v>
      </c>
      <c r="K504" s="110" t="str">
        <f>+K503</f>
        <v>A</v>
      </c>
      <c r="L504" s="107"/>
    </row>
    <row r="505" spans="1:12" s="112" customFormat="1">
      <c r="A505" s="107" t="s">
        <v>2944</v>
      </c>
      <c r="B505" s="107" t="str">
        <f t="shared" ca="1" si="133"/>
        <v>202503</v>
      </c>
      <c r="C505" s="107" t="str">
        <f t="shared" ca="1" si="135"/>
        <v>v1</v>
      </c>
      <c r="D505" s="399" t="str">
        <f ca="1">+D504</f>
        <v>05.02.00.02.</v>
      </c>
      <c r="E505" s="107">
        <f t="shared" si="136"/>
        <v>0</v>
      </c>
      <c r="F505" s="108">
        <f ca="1">OFFSET('Tabla III.2.'!$H$13,H505-1,I505-1)</f>
        <v>0</v>
      </c>
      <c r="G505" s="107" t="str">
        <f ca="1">OFFSET('Tabla III.2.'!$H$1,0,I505-1)</f>
        <v>03</v>
      </c>
      <c r="H505" s="110">
        <f>+H504</f>
        <v>6</v>
      </c>
      <c r="I505" s="110">
        <f>+I504+1</f>
        <v>3</v>
      </c>
      <c r="J505" s="110" t="str">
        <f ca="1">+'Tabla III.2.'!$C$9</f>
        <v>Tabla III.2.</v>
      </c>
      <c r="K505" s="110" t="str">
        <f>+K504</f>
        <v>A</v>
      </c>
      <c r="L505" s="107"/>
    </row>
    <row r="506" spans="1:12" s="112" customFormat="1">
      <c r="A506" s="107" t="s">
        <v>2944</v>
      </c>
      <c r="B506" s="107" t="str">
        <f t="shared" ca="1" si="133"/>
        <v>202503</v>
      </c>
      <c r="C506" s="107" t="str">
        <f t="shared" ca="1" si="135"/>
        <v>v1</v>
      </c>
      <c r="D506" s="399" t="str">
        <f ca="1">+D505</f>
        <v>05.02.00.02.</v>
      </c>
      <c r="E506" s="107">
        <f t="shared" si="136"/>
        <v>0</v>
      </c>
      <c r="F506" s="108">
        <f ca="1">OFFSET('Tabla III.2.'!$H$13,H506-1,I506-1)</f>
        <v>0</v>
      </c>
      <c r="G506" s="107" t="str">
        <f ca="1">OFFSET('Tabla III.2.'!$H$1,0,I506-1)</f>
        <v>04</v>
      </c>
      <c r="H506" s="110">
        <f>+H505</f>
        <v>6</v>
      </c>
      <c r="I506" s="110">
        <f>+I505+1</f>
        <v>4</v>
      </c>
      <c r="J506" s="110" t="str">
        <f ca="1">+'Tabla III.2.'!$C$9</f>
        <v>Tabla III.2.</v>
      </c>
      <c r="K506" s="110" t="str">
        <f>+K505</f>
        <v>A</v>
      </c>
      <c r="L506" s="107"/>
    </row>
    <row r="507" spans="1:12" s="112" customFormat="1">
      <c r="A507" s="107" t="s">
        <v>2944</v>
      </c>
      <c r="B507" s="107" t="str">
        <f t="shared" ca="1" si="133"/>
        <v>202503</v>
      </c>
      <c r="C507" s="107" t="str">
        <f t="shared" ca="1" si="135"/>
        <v>v1</v>
      </c>
      <c r="D507" s="399" t="str">
        <f ca="1">+D506</f>
        <v>05.02.00.02.</v>
      </c>
      <c r="E507" s="107">
        <f t="shared" si="136"/>
        <v>0</v>
      </c>
      <c r="F507" s="108">
        <f ca="1">OFFSET('Tabla III.2.'!$H$13,H507-1,I507-1)</f>
        <v>0</v>
      </c>
      <c r="G507" s="107" t="str">
        <f ca="1">OFFSET('Tabla III.2.'!$H$1,0,I507-1)</f>
        <v>05</v>
      </c>
      <c r="H507" s="110">
        <f>+H506</f>
        <v>6</v>
      </c>
      <c r="I507" s="110">
        <f>+I506+1</f>
        <v>5</v>
      </c>
      <c r="J507" s="110" t="str">
        <f ca="1">+'Tabla III.2.'!$C$9</f>
        <v>Tabla III.2.</v>
      </c>
      <c r="K507" s="110" t="str">
        <f>+K506</f>
        <v>A</v>
      </c>
      <c r="L507" s="107"/>
    </row>
    <row r="508" spans="1:12" s="112" customFormat="1">
      <c r="A508" s="107" t="s">
        <v>2944</v>
      </c>
      <c r="B508" s="107" t="str">
        <f t="shared" ca="1" si="133"/>
        <v>202503</v>
      </c>
      <c r="C508" s="107" t="str">
        <f t="shared" ca="1" si="135"/>
        <v>v1</v>
      </c>
      <c r="D508" s="399" t="str">
        <f ca="1">+D507</f>
        <v>05.02.00.02.</v>
      </c>
      <c r="E508" s="107">
        <f t="shared" si="136"/>
        <v>0</v>
      </c>
      <c r="F508" s="108">
        <f ca="1">OFFSET('Tabla III.2.'!$H$13,H508-1,I508-1)</f>
        <v>0</v>
      </c>
      <c r="G508" s="107" t="str">
        <f ca="1">OFFSET('Tabla III.2.'!$H$1,0,I508-1)</f>
        <v>06</v>
      </c>
      <c r="H508" s="110">
        <f>+H507</f>
        <v>6</v>
      </c>
      <c r="I508" s="110">
        <f>+I507+1</f>
        <v>6</v>
      </c>
      <c r="J508" s="110" t="str">
        <f ca="1">+'Tabla III.2.'!$C$9</f>
        <v>Tabla III.2.</v>
      </c>
      <c r="K508" s="110" t="str">
        <f>+K507</f>
        <v>A</v>
      </c>
      <c r="L508" s="107"/>
    </row>
    <row r="509" spans="1:12" s="415" customFormat="1">
      <c r="A509" s="412" t="s">
        <v>2944</v>
      </c>
      <c r="B509" s="412" t="str">
        <f t="shared" ca="1" si="133"/>
        <v>202502</v>
      </c>
      <c r="C509" s="412" t="str">
        <f t="shared" ca="1" si="135"/>
        <v>v2</v>
      </c>
      <c r="D509" s="413" t="str">
        <f ca="1">OFFSET('Tabla III.2.'!$F$13,H509-1,0)</f>
        <v>05.03.</v>
      </c>
      <c r="E509" s="412">
        <f t="shared" si="136"/>
        <v>0</v>
      </c>
      <c r="F509" s="414">
        <f ca="1">OFFSET('Tabla III.2.'!$H$13,H509-1,I509-1)</f>
        <v>0</v>
      </c>
      <c r="G509" s="412" t="str">
        <f ca="1">OFFSET('Tabla III.2.'!$H$1,0,I509-1)</f>
        <v>01</v>
      </c>
      <c r="H509" s="111">
        <f>+H503+1</f>
        <v>7</v>
      </c>
      <c r="I509" s="111">
        <v>1</v>
      </c>
      <c r="J509" s="111" t="str">
        <f ca="1">+'Tabla III.2.'!$C$9</f>
        <v>Tabla III.2.</v>
      </c>
      <c r="K509" s="111" t="s">
        <v>2266</v>
      </c>
      <c r="L509" s="412">
        <f>+L503+1</f>
        <v>7</v>
      </c>
    </row>
    <row r="510" spans="1:12" s="415" customFormat="1">
      <c r="A510" s="412" t="s">
        <v>2944</v>
      </c>
      <c r="B510" s="412" t="str">
        <f t="shared" ca="1" si="133"/>
        <v>202503</v>
      </c>
      <c r="C510" s="412" t="str">
        <f t="shared" ca="1" si="135"/>
        <v>v1</v>
      </c>
      <c r="D510" s="413" t="str">
        <f ca="1">+D509</f>
        <v>05.03.</v>
      </c>
      <c r="E510" s="412">
        <f t="shared" si="136"/>
        <v>0</v>
      </c>
      <c r="F510" s="414">
        <f ca="1">OFFSET('Tabla III.2.'!$H$13,H510-1,I510-1)</f>
        <v>0</v>
      </c>
      <c r="G510" s="412" t="str">
        <f ca="1">OFFSET('Tabla III.2.'!$H$1,0,I510-1)</f>
        <v>02</v>
      </c>
      <c r="H510" s="111">
        <f>+H509</f>
        <v>7</v>
      </c>
      <c r="I510" s="111">
        <f>+I509+1</f>
        <v>2</v>
      </c>
      <c r="J510" s="111" t="str">
        <f ca="1">+'Tabla III.2.'!$C$9</f>
        <v>Tabla III.2.</v>
      </c>
      <c r="K510" s="111" t="str">
        <f>+K509</f>
        <v>A</v>
      </c>
      <c r="L510" s="412"/>
    </row>
    <row r="511" spans="1:12" s="415" customFormat="1">
      <c r="A511" s="412" t="s">
        <v>2944</v>
      </c>
      <c r="B511" s="412" t="str">
        <f t="shared" ca="1" si="133"/>
        <v>202503</v>
      </c>
      <c r="C511" s="412" t="str">
        <f t="shared" ca="1" si="135"/>
        <v>v1</v>
      </c>
      <c r="D511" s="413" t="str">
        <f ca="1">+D510</f>
        <v>05.03.</v>
      </c>
      <c r="E511" s="412">
        <f t="shared" si="136"/>
        <v>0</v>
      </c>
      <c r="F511" s="414">
        <f ca="1">OFFSET('Tabla III.2.'!$H$13,H511-1,I511-1)</f>
        <v>0</v>
      </c>
      <c r="G511" s="412" t="str">
        <f ca="1">OFFSET('Tabla III.2.'!$H$1,0,I511-1)</f>
        <v>03</v>
      </c>
      <c r="H511" s="111">
        <f>+H510</f>
        <v>7</v>
      </c>
      <c r="I511" s="111">
        <f>+I510+1</f>
        <v>3</v>
      </c>
      <c r="J511" s="111" t="str">
        <f ca="1">+'Tabla III.2.'!$C$9</f>
        <v>Tabla III.2.</v>
      </c>
      <c r="K511" s="111" t="str">
        <f>+K510</f>
        <v>A</v>
      </c>
      <c r="L511" s="412"/>
    </row>
    <row r="512" spans="1:12" s="415" customFormat="1">
      <c r="A512" s="412" t="s">
        <v>2944</v>
      </c>
      <c r="B512" s="412" t="str">
        <f t="shared" ca="1" si="133"/>
        <v>202503</v>
      </c>
      <c r="C512" s="412" t="str">
        <f t="shared" ca="1" si="135"/>
        <v>v1</v>
      </c>
      <c r="D512" s="413" t="str">
        <f ca="1">+D511</f>
        <v>05.03.</v>
      </c>
      <c r="E512" s="412">
        <f t="shared" si="136"/>
        <v>0</v>
      </c>
      <c r="F512" s="414">
        <f ca="1">OFFSET('Tabla III.2.'!$H$13,H512-1,I512-1)</f>
        <v>0</v>
      </c>
      <c r="G512" s="412" t="str">
        <f ca="1">OFFSET('Tabla III.2.'!$H$1,0,I512-1)</f>
        <v>04</v>
      </c>
      <c r="H512" s="111">
        <f>+H511</f>
        <v>7</v>
      </c>
      <c r="I512" s="111">
        <f>+I511+1</f>
        <v>4</v>
      </c>
      <c r="J512" s="111" t="str">
        <f ca="1">+'Tabla III.2.'!$C$9</f>
        <v>Tabla III.2.</v>
      </c>
      <c r="K512" s="111" t="str">
        <f>+K511</f>
        <v>A</v>
      </c>
      <c r="L512" s="412"/>
    </row>
    <row r="513" spans="1:12" s="415" customFormat="1">
      <c r="A513" s="412" t="s">
        <v>2944</v>
      </c>
      <c r="B513" s="412" t="str">
        <f t="shared" ca="1" si="133"/>
        <v>202503</v>
      </c>
      <c r="C513" s="412" t="str">
        <f t="shared" ca="1" si="135"/>
        <v>v1</v>
      </c>
      <c r="D513" s="413" t="str">
        <f ca="1">+D512</f>
        <v>05.03.</v>
      </c>
      <c r="E513" s="412">
        <f t="shared" si="136"/>
        <v>0</v>
      </c>
      <c r="F513" s="414">
        <f ca="1">OFFSET('Tabla III.2.'!$H$13,H513-1,I513-1)</f>
        <v>0</v>
      </c>
      <c r="G513" s="412" t="str">
        <f ca="1">OFFSET('Tabla III.2.'!$H$1,0,I513-1)</f>
        <v>05</v>
      </c>
      <c r="H513" s="111">
        <f>+H512</f>
        <v>7</v>
      </c>
      <c r="I513" s="111">
        <f>+I512+1</f>
        <v>5</v>
      </c>
      <c r="J513" s="111" t="str">
        <f ca="1">+'Tabla III.2.'!$C$9</f>
        <v>Tabla III.2.</v>
      </c>
      <c r="K513" s="111" t="str">
        <f>+K512</f>
        <v>A</v>
      </c>
      <c r="L513" s="412"/>
    </row>
    <row r="514" spans="1:12" s="415" customFormat="1">
      <c r="A514" s="412" t="s">
        <v>2944</v>
      </c>
      <c r="B514" s="412" t="str">
        <f t="shared" ref="B514:B577" ca="1" si="137">IF(G514="01",(IF(TRIM&gt;1,CONCATENATE(ANUAL,"0",TRIM-1),CONCATENATE(ANUAL-1,"04"))),PERIODO)</f>
        <v>202503</v>
      </c>
      <c r="C514" s="412" t="str">
        <f t="shared" ca="1" si="135"/>
        <v>v1</v>
      </c>
      <c r="D514" s="413" t="str">
        <f ca="1">+D513</f>
        <v>05.03.</v>
      </c>
      <c r="E514" s="412">
        <f t="shared" si="136"/>
        <v>0</v>
      </c>
      <c r="F514" s="414">
        <f ca="1">OFFSET('Tabla III.2.'!$H$13,H514-1,I514-1)</f>
        <v>0</v>
      </c>
      <c r="G514" s="412" t="str">
        <f ca="1">OFFSET('Tabla III.2.'!$H$1,0,I514-1)</f>
        <v>06</v>
      </c>
      <c r="H514" s="111">
        <f>+H513</f>
        <v>7</v>
      </c>
      <c r="I514" s="111">
        <f>+I513+1</f>
        <v>6</v>
      </c>
      <c r="J514" s="111" t="str">
        <f ca="1">+'Tabla III.2.'!$C$9</f>
        <v>Tabla III.2.</v>
      </c>
      <c r="K514" s="111" t="str">
        <f>+K513</f>
        <v>A</v>
      </c>
      <c r="L514" s="412"/>
    </row>
    <row r="515" spans="1:12" s="112" customFormat="1">
      <c r="A515" s="107" t="s">
        <v>2944</v>
      </c>
      <c r="B515" s="107" t="str">
        <f t="shared" ca="1" si="137"/>
        <v>202502</v>
      </c>
      <c r="C515" s="107" t="str">
        <f t="shared" ca="1" si="135"/>
        <v>v2</v>
      </c>
      <c r="D515" s="399" t="str">
        <f ca="1">OFFSET('Tabla III.2.'!$F$13,H515-1,0)</f>
        <v>05.03.00.01.</v>
      </c>
      <c r="E515" s="107">
        <f t="shared" si="136"/>
        <v>0</v>
      </c>
      <c r="F515" s="108">
        <f ca="1">OFFSET('Tabla III.2.'!$H$13,H515-1,I515-1)</f>
        <v>0</v>
      </c>
      <c r="G515" s="107" t="str">
        <f ca="1">OFFSET('Tabla III.2.'!$H$1,0,I515-1)</f>
        <v>01</v>
      </c>
      <c r="H515" s="110">
        <f>+H509+1</f>
        <v>8</v>
      </c>
      <c r="I515" s="110">
        <v>1</v>
      </c>
      <c r="J515" s="110" t="str">
        <f ca="1">+'Tabla III.2.'!$C$9</f>
        <v>Tabla III.2.</v>
      </c>
      <c r="K515" s="110" t="s">
        <v>2266</v>
      </c>
      <c r="L515" s="107">
        <f>+L509+1</f>
        <v>8</v>
      </c>
    </row>
    <row r="516" spans="1:12" s="112" customFormat="1">
      <c r="A516" s="107" t="s">
        <v>2944</v>
      </c>
      <c r="B516" s="107" t="str">
        <f t="shared" ca="1" si="137"/>
        <v>202503</v>
      </c>
      <c r="C516" s="107" t="str">
        <f t="shared" ca="1" si="135"/>
        <v>v1</v>
      </c>
      <c r="D516" s="399" t="str">
        <f ca="1">+D515</f>
        <v>05.03.00.01.</v>
      </c>
      <c r="E516" s="107">
        <f t="shared" si="136"/>
        <v>0</v>
      </c>
      <c r="F516" s="108">
        <f ca="1">OFFSET('Tabla III.2.'!$H$13,H516-1,I516-1)</f>
        <v>0</v>
      </c>
      <c r="G516" s="107" t="str">
        <f ca="1">OFFSET('Tabla III.2.'!$H$1,0,I516-1)</f>
        <v>02</v>
      </c>
      <c r="H516" s="110">
        <f>+H515</f>
        <v>8</v>
      </c>
      <c r="I516" s="110">
        <f>+I515+1</f>
        <v>2</v>
      </c>
      <c r="J516" s="110" t="str">
        <f ca="1">+'Tabla III.2.'!$C$9</f>
        <v>Tabla III.2.</v>
      </c>
      <c r="K516" s="110" t="str">
        <f>+K515</f>
        <v>A</v>
      </c>
      <c r="L516" s="107"/>
    </row>
    <row r="517" spans="1:12" s="112" customFormat="1">
      <c r="A517" s="107" t="s">
        <v>2944</v>
      </c>
      <c r="B517" s="107" t="str">
        <f t="shared" ca="1" si="137"/>
        <v>202503</v>
      </c>
      <c r="C517" s="107" t="str">
        <f t="shared" ca="1" si="135"/>
        <v>v1</v>
      </c>
      <c r="D517" s="399" t="str">
        <f ca="1">+D516</f>
        <v>05.03.00.01.</v>
      </c>
      <c r="E517" s="107">
        <f t="shared" si="136"/>
        <v>0</v>
      </c>
      <c r="F517" s="108">
        <f ca="1">OFFSET('Tabla III.2.'!$H$13,H517-1,I517-1)</f>
        <v>0</v>
      </c>
      <c r="G517" s="107" t="str">
        <f ca="1">OFFSET('Tabla III.2.'!$H$1,0,I517-1)</f>
        <v>03</v>
      </c>
      <c r="H517" s="110">
        <f>+H516</f>
        <v>8</v>
      </c>
      <c r="I517" s="110">
        <f>+I516+1</f>
        <v>3</v>
      </c>
      <c r="J517" s="110" t="str">
        <f ca="1">+'Tabla III.2.'!$C$9</f>
        <v>Tabla III.2.</v>
      </c>
      <c r="K517" s="110" t="str">
        <f>+K516</f>
        <v>A</v>
      </c>
      <c r="L517" s="107"/>
    </row>
    <row r="518" spans="1:12" s="112" customFormat="1">
      <c r="A518" s="107" t="s">
        <v>2944</v>
      </c>
      <c r="B518" s="107" t="str">
        <f t="shared" ca="1" si="137"/>
        <v>202503</v>
      </c>
      <c r="C518" s="107" t="str">
        <f t="shared" ca="1" si="135"/>
        <v>v1</v>
      </c>
      <c r="D518" s="399" t="str">
        <f ca="1">+D517</f>
        <v>05.03.00.01.</v>
      </c>
      <c r="E518" s="107">
        <f t="shared" si="136"/>
        <v>0</v>
      </c>
      <c r="F518" s="108">
        <f ca="1">OFFSET('Tabla III.2.'!$H$13,H518-1,I518-1)</f>
        <v>0</v>
      </c>
      <c r="G518" s="107" t="str">
        <f ca="1">OFFSET('Tabla III.2.'!$H$1,0,I518-1)</f>
        <v>04</v>
      </c>
      <c r="H518" s="110">
        <f>+H517</f>
        <v>8</v>
      </c>
      <c r="I518" s="110">
        <f>+I517+1</f>
        <v>4</v>
      </c>
      <c r="J518" s="110" t="str">
        <f ca="1">+'Tabla III.2.'!$C$9</f>
        <v>Tabla III.2.</v>
      </c>
      <c r="K518" s="110" t="str">
        <f>+K517</f>
        <v>A</v>
      </c>
      <c r="L518" s="107"/>
    </row>
    <row r="519" spans="1:12" s="112" customFormat="1">
      <c r="A519" s="107" t="s">
        <v>2944</v>
      </c>
      <c r="B519" s="107" t="str">
        <f t="shared" ca="1" si="137"/>
        <v>202503</v>
      </c>
      <c r="C519" s="107" t="str">
        <f t="shared" ca="1" si="135"/>
        <v>v1</v>
      </c>
      <c r="D519" s="399" t="str">
        <f ca="1">+D518</f>
        <v>05.03.00.01.</v>
      </c>
      <c r="E519" s="107">
        <f t="shared" si="136"/>
        <v>0</v>
      </c>
      <c r="F519" s="108">
        <f ca="1">OFFSET('Tabla III.2.'!$H$13,H519-1,I519-1)</f>
        <v>0</v>
      </c>
      <c r="G519" s="107" t="str">
        <f ca="1">OFFSET('Tabla III.2.'!$H$1,0,I519-1)</f>
        <v>05</v>
      </c>
      <c r="H519" s="110">
        <f>+H518</f>
        <v>8</v>
      </c>
      <c r="I519" s="110">
        <f>+I518+1</f>
        <v>5</v>
      </c>
      <c r="J519" s="110" t="str">
        <f ca="1">+'Tabla III.2.'!$C$9</f>
        <v>Tabla III.2.</v>
      </c>
      <c r="K519" s="110" t="str">
        <f>+K518</f>
        <v>A</v>
      </c>
      <c r="L519" s="107"/>
    </row>
    <row r="520" spans="1:12" s="112" customFormat="1">
      <c r="A520" s="107" t="s">
        <v>2944</v>
      </c>
      <c r="B520" s="107" t="str">
        <f t="shared" ca="1" si="137"/>
        <v>202503</v>
      </c>
      <c r="C520" s="107" t="str">
        <f t="shared" ca="1" si="135"/>
        <v>v1</v>
      </c>
      <c r="D520" s="399" t="str">
        <f ca="1">+D519</f>
        <v>05.03.00.01.</v>
      </c>
      <c r="E520" s="107">
        <f t="shared" si="136"/>
        <v>0</v>
      </c>
      <c r="F520" s="108">
        <f ca="1">OFFSET('Tabla III.2.'!$H$13,H520-1,I520-1)</f>
        <v>0</v>
      </c>
      <c r="G520" s="107" t="str">
        <f ca="1">OFFSET('Tabla III.2.'!$H$1,0,I520-1)</f>
        <v>06</v>
      </c>
      <c r="H520" s="110">
        <f>+H519</f>
        <v>8</v>
      </c>
      <c r="I520" s="110">
        <f>+I519+1</f>
        <v>6</v>
      </c>
      <c r="J520" s="110" t="str">
        <f ca="1">+'Tabla III.2.'!$C$9</f>
        <v>Tabla III.2.</v>
      </c>
      <c r="K520" s="110" t="str">
        <f>+K519</f>
        <v>A</v>
      </c>
      <c r="L520" s="107"/>
    </row>
    <row r="521" spans="1:12" s="415" customFormat="1">
      <c r="A521" s="412" t="s">
        <v>2944</v>
      </c>
      <c r="B521" s="412" t="str">
        <f t="shared" ca="1" si="137"/>
        <v>202502</v>
      </c>
      <c r="C521" s="412" t="str">
        <f t="shared" ca="1" si="135"/>
        <v>v2</v>
      </c>
      <c r="D521" s="413" t="str">
        <f ca="1">OFFSET('Tabla III.2.'!$F$13,H521-1,0)</f>
        <v>05.03.00.02.</v>
      </c>
      <c r="E521" s="412">
        <f t="shared" si="136"/>
        <v>0</v>
      </c>
      <c r="F521" s="414">
        <f ca="1">OFFSET('Tabla III.2.'!$H$13,H521-1,I521-1)</f>
        <v>0</v>
      </c>
      <c r="G521" s="412" t="str">
        <f ca="1">OFFSET('Tabla III.2.'!$H$1,0,I521-1)</f>
        <v>01</v>
      </c>
      <c r="H521" s="111">
        <f>+H515+1</f>
        <v>9</v>
      </c>
      <c r="I521" s="111">
        <v>1</v>
      </c>
      <c r="J521" s="111" t="str">
        <f ca="1">+'Tabla III.2.'!$C$9</f>
        <v>Tabla III.2.</v>
      </c>
      <c r="K521" s="111" t="s">
        <v>2266</v>
      </c>
      <c r="L521" s="412">
        <f>+L515+1</f>
        <v>9</v>
      </c>
    </row>
    <row r="522" spans="1:12" s="415" customFormat="1">
      <c r="A522" s="412" t="s">
        <v>2944</v>
      </c>
      <c r="B522" s="412" t="str">
        <f t="shared" ca="1" si="137"/>
        <v>202503</v>
      </c>
      <c r="C522" s="412" t="str">
        <f t="shared" ca="1" si="135"/>
        <v>v1</v>
      </c>
      <c r="D522" s="413" t="str">
        <f ca="1">+D521</f>
        <v>05.03.00.02.</v>
      </c>
      <c r="E522" s="412">
        <f t="shared" si="136"/>
        <v>0</v>
      </c>
      <c r="F522" s="414">
        <f ca="1">OFFSET('Tabla III.2.'!$H$13,H522-1,I522-1)</f>
        <v>0</v>
      </c>
      <c r="G522" s="412" t="str">
        <f ca="1">OFFSET('Tabla III.2.'!$H$1,0,I522-1)</f>
        <v>02</v>
      </c>
      <c r="H522" s="111">
        <f>+H521</f>
        <v>9</v>
      </c>
      <c r="I522" s="111">
        <f>+I521+1</f>
        <v>2</v>
      </c>
      <c r="J522" s="111" t="str">
        <f ca="1">+'Tabla III.2.'!$C$9</f>
        <v>Tabla III.2.</v>
      </c>
      <c r="K522" s="111" t="str">
        <f>+K521</f>
        <v>A</v>
      </c>
      <c r="L522" s="412"/>
    </row>
    <row r="523" spans="1:12" s="415" customFormat="1">
      <c r="A523" s="412" t="s">
        <v>2944</v>
      </c>
      <c r="B523" s="412" t="str">
        <f t="shared" ca="1" si="137"/>
        <v>202503</v>
      </c>
      <c r="C523" s="412" t="str">
        <f t="shared" ca="1" si="135"/>
        <v>v1</v>
      </c>
      <c r="D523" s="413" t="str">
        <f ca="1">+D522</f>
        <v>05.03.00.02.</v>
      </c>
      <c r="E523" s="412">
        <f t="shared" si="136"/>
        <v>0</v>
      </c>
      <c r="F523" s="414">
        <f ca="1">OFFSET('Tabla III.2.'!$H$13,H523-1,I523-1)</f>
        <v>0</v>
      </c>
      <c r="G523" s="412" t="str">
        <f ca="1">OFFSET('Tabla III.2.'!$H$1,0,I523-1)</f>
        <v>03</v>
      </c>
      <c r="H523" s="111">
        <f>+H522</f>
        <v>9</v>
      </c>
      <c r="I523" s="111">
        <f>+I522+1</f>
        <v>3</v>
      </c>
      <c r="J523" s="111" t="str">
        <f ca="1">+'Tabla III.2.'!$C$9</f>
        <v>Tabla III.2.</v>
      </c>
      <c r="K523" s="111" t="str">
        <f>+K522</f>
        <v>A</v>
      </c>
      <c r="L523" s="412"/>
    </row>
    <row r="524" spans="1:12" s="415" customFormat="1">
      <c r="A524" s="412" t="s">
        <v>2944</v>
      </c>
      <c r="B524" s="412" t="str">
        <f t="shared" ca="1" si="137"/>
        <v>202503</v>
      </c>
      <c r="C524" s="412" t="str">
        <f t="shared" ca="1" si="135"/>
        <v>v1</v>
      </c>
      <c r="D524" s="413" t="str">
        <f ca="1">+D523</f>
        <v>05.03.00.02.</v>
      </c>
      <c r="E524" s="412">
        <f t="shared" si="136"/>
        <v>0</v>
      </c>
      <c r="F524" s="414">
        <f ca="1">OFFSET('Tabla III.2.'!$H$13,H524-1,I524-1)</f>
        <v>0</v>
      </c>
      <c r="G524" s="412" t="str">
        <f ca="1">OFFSET('Tabla III.2.'!$H$1,0,I524-1)</f>
        <v>04</v>
      </c>
      <c r="H524" s="111">
        <f>+H523</f>
        <v>9</v>
      </c>
      <c r="I524" s="111">
        <f>+I523+1</f>
        <v>4</v>
      </c>
      <c r="J524" s="111" t="str">
        <f ca="1">+'Tabla III.2.'!$C$9</f>
        <v>Tabla III.2.</v>
      </c>
      <c r="K524" s="111" t="str">
        <f>+K523</f>
        <v>A</v>
      </c>
      <c r="L524" s="412"/>
    </row>
    <row r="525" spans="1:12" s="415" customFormat="1">
      <c r="A525" s="412" t="s">
        <v>2944</v>
      </c>
      <c r="B525" s="412" t="str">
        <f t="shared" ca="1" si="137"/>
        <v>202503</v>
      </c>
      <c r="C525" s="412" t="str">
        <f t="shared" ca="1" si="135"/>
        <v>v1</v>
      </c>
      <c r="D525" s="413" t="str">
        <f ca="1">+D524</f>
        <v>05.03.00.02.</v>
      </c>
      <c r="E525" s="412">
        <f t="shared" si="136"/>
        <v>0</v>
      </c>
      <c r="F525" s="414">
        <f ca="1">OFFSET('Tabla III.2.'!$H$13,H525-1,I525-1)</f>
        <v>0</v>
      </c>
      <c r="G525" s="412" t="str">
        <f ca="1">OFFSET('Tabla III.2.'!$H$1,0,I525-1)</f>
        <v>05</v>
      </c>
      <c r="H525" s="111">
        <f>+H524</f>
        <v>9</v>
      </c>
      <c r="I525" s="111">
        <f>+I524+1</f>
        <v>5</v>
      </c>
      <c r="J525" s="111" t="str">
        <f ca="1">+'Tabla III.2.'!$C$9</f>
        <v>Tabla III.2.</v>
      </c>
      <c r="K525" s="111" t="str">
        <f>+K524</f>
        <v>A</v>
      </c>
      <c r="L525" s="412"/>
    </row>
    <row r="526" spans="1:12" s="415" customFormat="1">
      <c r="A526" s="412" t="s">
        <v>2944</v>
      </c>
      <c r="B526" s="412" t="str">
        <f t="shared" ca="1" si="137"/>
        <v>202503</v>
      </c>
      <c r="C526" s="412" t="str">
        <f t="shared" ca="1" si="135"/>
        <v>v1</v>
      </c>
      <c r="D526" s="413" t="str">
        <f ca="1">+D525</f>
        <v>05.03.00.02.</v>
      </c>
      <c r="E526" s="412">
        <f t="shared" si="136"/>
        <v>0</v>
      </c>
      <c r="F526" s="414">
        <f ca="1">OFFSET('Tabla III.2.'!$H$13,H526-1,I526-1)</f>
        <v>0</v>
      </c>
      <c r="G526" s="412" t="str">
        <f ca="1">OFFSET('Tabla III.2.'!$H$1,0,I526-1)</f>
        <v>06</v>
      </c>
      <c r="H526" s="111">
        <f>+H525</f>
        <v>9</v>
      </c>
      <c r="I526" s="111">
        <f>+I525+1</f>
        <v>6</v>
      </c>
      <c r="J526" s="111" t="str">
        <f ca="1">+'Tabla III.2.'!$C$9</f>
        <v>Tabla III.2.</v>
      </c>
      <c r="K526" s="111" t="str">
        <f>+K525</f>
        <v>A</v>
      </c>
      <c r="L526" s="412"/>
    </row>
    <row r="527" spans="1:12" s="112" customFormat="1">
      <c r="A527" s="107" t="s">
        <v>2944</v>
      </c>
      <c r="B527" s="107" t="str">
        <f t="shared" ca="1" si="137"/>
        <v>202502</v>
      </c>
      <c r="C527" s="107" t="str">
        <f t="shared" ca="1" si="135"/>
        <v>v2</v>
      </c>
      <c r="D527" s="399" t="str">
        <f ca="1">OFFSET('Tabla III.2.'!$F$13,H527-1,0)</f>
        <v>05.04.</v>
      </c>
      <c r="E527" s="107">
        <f t="shared" si="136"/>
        <v>0</v>
      </c>
      <c r="F527" s="108">
        <f ca="1">OFFSET('Tabla III.2.'!$H$13,H527-1,I527-1)</f>
        <v>0</v>
      </c>
      <c r="G527" s="107" t="str">
        <f ca="1">OFFSET('Tabla III.2.'!$H$1,0,I527-1)</f>
        <v>01</v>
      </c>
      <c r="H527" s="110">
        <f>+H521+1</f>
        <v>10</v>
      </c>
      <c r="I527" s="110">
        <v>1</v>
      </c>
      <c r="J527" s="110" t="str">
        <f ca="1">+'Tabla III.2.'!$C$9</f>
        <v>Tabla III.2.</v>
      </c>
      <c r="K527" s="110" t="s">
        <v>2266</v>
      </c>
      <c r="L527" s="107">
        <f>+L521+1</f>
        <v>10</v>
      </c>
    </row>
    <row r="528" spans="1:12" s="112" customFormat="1">
      <c r="A528" s="107" t="s">
        <v>2944</v>
      </c>
      <c r="B528" s="107" t="str">
        <f t="shared" ca="1" si="137"/>
        <v>202503</v>
      </c>
      <c r="C528" s="107" t="str">
        <f t="shared" ca="1" si="135"/>
        <v>v1</v>
      </c>
      <c r="D528" s="399" t="str">
        <f ca="1">+D527</f>
        <v>05.04.</v>
      </c>
      <c r="E528" s="107">
        <f t="shared" si="136"/>
        <v>0</v>
      </c>
      <c r="F528" s="108">
        <f ca="1">OFFSET('Tabla III.2.'!$H$13,H528-1,I528-1)</f>
        <v>0</v>
      </c>
      <c r="G528" s="107" t="str">
        <f ca="1">OFFSET('Tabla III.2.'!$H$1,0,I528-1)</f>
        <v>02</v>
      </c>
      <c r="H528" s="110">
        <f>+H527</f>
        <v>10</v>
      </c>
      <c r="I528" s="110">
        <f>+I527+1</f>
        <v>2</v>
      </c>
      <c r="J528" s="110" t="str">
        <f ca="1">+'Tabla III.2.'!$C$9</f>
        <v>Tabla III.2.</v>
      </c>
      <c r="K528" s="110" t="str">
        <f>+K527</f>
        <v>A</v>
      </c>
      <c r="L528" s="107"/>
    </row>
    <row r="529" spans="1:12" s="112" customFormat="1">
      <c r="A529" s="107" t="s">
        <v>2944</v>
      </c>
      <c r="B529" s="107" t="str">
        <f t="shared" ca="1" si="137"/>
        <v>202503</v>
      </c>
      <c r="C529" s="107" t="str">
        <f t="shared" ca="1" si="135"/>
        <v>v1</v>
      </c>
      <c r="D529" s="399" t="str">
        <f ca="1">+D528</f>
        <v>05.04.</v>
      </c>
      <c r="E529" s="107">
        <f t="shared" si="136"/>
        <v>0</v>
      </c>
      <c r="F529" s="108">
        <f ca="1">OFFSET('Tabla III.2.'!$H$13,H529-1,I529-1)</f>
        <v>0</v>
      </c>
      <c r="G529" s="107" t="str">
        <f ca="1">OFFSET('Tabla III.2.'!$H$1,0,I529-1)</f>
        <v>03</v>
      </c>
      <c r="H529" s="110">
        <f>+H528</f>
        <v>10</v>
      </c>
      <c r="I529" s="110">
        <f>+I528+1</f>
        <v>3</v>
      </c>
      <c r="J529" s="110" t="str">
        <f ca="1">+'Tabla III.2.'!$C$9</f>
        <v>Tabla III.2.</v>
      </c>
      <c r="K529" s="110" t="str">
        <f>+K528</f>
        <v>A</v>
      </c>
      <c r="L529" s="107"/>
    </row>
    <row r="530" spans="1:12" s="112" customFormat="1">
      <c r="A530" s="107" t="s">
        <v>2944</v>
      </c>
      <c r="B530" s="107" t="str">
        <f t="shared" ca="1" si="137"/>
        <v>202503</v>
      </c>
      <c r="C530" s="107" t="str">
        <f t="shared" ca="1" si="135"/>
        <v>v1</v>
      </c>
      <c r="D530" s="399" t="str">
        <f ca="1">+D529</f>
        <v>05.04.</v>
      </c>
      <c r="E530" s="107">
        <f t="shared" si="136"/>
        <v>0</v>
      </c>
      <c r="F530" s="108">
        <f ca="1">OFFSET('Tabla III.2.'!$H$13,H530-1,I530-1)</f>
        <v>0</v>
      </c>
      <c r="G530" s="107" t="str">
        <f ca="1">OFFSET('Tabla III.2.'!$H$1,0,I530-1)</f>
        <v>04</v>
      </c>
      <c r="H530" s="110">
        <f>+H529</f>
        <v>10</v>
      </c>
      <c r="I530" s="110">
        <f>+I529+1</f>
        <v>4</v>
      </c>
      <c r="J530" s="110" t="str">
        <f ca="1">+'Tabla III.2.'!$C$9</f>
        <v>Tabla III.2.</v>
      </c>
      <c r="K530" s="110" t="str">
        <f>+K529</f>
        <v>A</v>
      </c>
      <c r="L530" s="107"/>
    </row>
    <row r="531" spans="1:12" s="112" customFormat="1">
      <c r="A531" s="107" t="s">
        <v>2944</v>
      </c>
      <c r="B531" s="107" t="str">
        <f t="shared" ca="1" si="137"/>
        <v>202503</v>
      </c>
      <c r="C531" s="107" t="str">
        <f t="shared" ca="1" si="135"/>
        <v>v1</v>
      </c>
      <c r="D531" s="399" t="str">
        <f ca="1">+D530</f>
        <v>05.04.</v>
      </c>
      <c r="E531" s="107">
        <f t="shared" si="136"/>
        <v>0</v>
      </c>
      <c r="F531" s="108">
        <f ca="1">OFFSET('Tabla III.2.'!$H$13,H531-1,I531-1)</f>
        <v>0</v>
      </c>
      <c r="G531" s="107" t="str">
        <f ca="1">OFFSET('Tabla III.2.'!$H$1,0,I531-1)</f>
        <v>05</v>
      </c>
      <c r="H531" s="110">
        <f>+H530</f>
        <v>10</v>
      </c>
      <c r="I531" s="110">
        <f>+I530+1</f>
        <v>5</v>
      </c>
      <c r="J531" s="110" t="str">
        <f ca="1">+'Tabla III.2.'!$C$9</f>
        <v>Tabla III.2.</v>
      </c>
      <c r="K531" s="110" t="str">
        <f>+K530</f>
        <v>A</v>
      </c>
      <c r="L531" s="107"/>
    </row>
    <row r="532" spans="1:12" s="112" customFormat="1">
      <c r="A532" s="107" t="s">
        <v>2944</v>
      </c>
      <c r="B532" s="107" t="str">
        <f t="shared" ca="1" si="137"/>
        <v>202503</v>
      </c>
      <c r="C532" s="107" t="str">
        <f t="shared" ca="1" si="135"/>
        <v>v1</v>
      </c>
      <c r="D532" s="399" t="str">
        <f ca="1">+D531</f>
        <v>05.04.</v>
      </c>
      <c r="E532" s="107">
        <f t="shared" si="136"/>
        <v>0</v>
      </c>
      <c r="F532" s="108">
        <f ca="1">OFFSET('Tabla III.2.'!$H$13,H532-1,I532-1)</f>
        <v>0</v>
      </c>
      <c r="G532" s="107" t="str">
        <f ca="1">OFFSET('Tabla III.2.'!$H$1,0,I532-1)</f>
        <v>06</v>
      </c>
      <c r="H532" s="110">
        <f>+H531</f>
        <v>10</v>
      </c>
      <c r="I532" s="110">
        <f>+I531+1</f>
        <v>6</v>
      </c>
      <c r="J532" s="110" t="str">
        <f ca="1">+'Tabla III.2.'!$C$9</f>
        <v>Tabla III.2.</v>
      </c>
      <c r="K532" s="110" t="str">
        <f>+K531</f>
        <v>A</v>
      </c>
      <c r="L532" s="107"/>
    </row>
    <row r="533" spans="1:12" s="415" customFormat="1">
      <c r="A533" s="412" t="s">
        <v>2944</v>
      </c>
      <c r="B533" s="412" t="str">
        <f t="shared" ca="1" si="137"/>
        <v>202502</v>
      </c>
      <c r="C533" s="412" t="str">
        <f t="shared" ca="1" si="135"/>
        <v>v2</v>
      </c>
      <c r="D533" s="413" t="str">
        <f ca="1">OFFSET('Tabla III.2.'!$F$13,H533-1,0)</f>
        <v>05.04.00.01.</v>
      </c>
      <c r="E533" s="412">
        <f t="shared" si="136"/>
        <v>0</v>
      </c>
      <c r="F533" s="414">
        <f ca="1">OFFSET('Tabla III.2.'!$H$13,H533-1,I533-1)</f>
        <v>0</v>
      </c>
      <c r="G533" s="412" t="str">
        <f ca="1">OFFSET('Tabla III.2.'!$H$1,0,I533-1)</f>
        <v>01</v>
      </c>
      <c r="H533" s="111">
        <f>+H527+1</f>
        <v>11</v>
      </c>
      <c r="I533" s="111">
        <v>1</v>
      </c>
      <c r="J533" s="111" t="str">
        <f ca="1">+'Tabla III.2.'!$C$9</f>
        <v>Tabla III.2.</v>
      </c>
      <c r="K533" s="111" t="s">
        <v>2266</v>
      </c>
      <c r="L533" s="412">
        <f>+L527+1</f>
        <v>11</v>
      </c>
    </row>
    <row r="534" spans="1:12" s="415" customFormat="1">
      <c r="A534" s="412" t="s">
        <v>2944</v>
      </c>
      <c r="B534" s="412" t="str">
        <f t="shared" ca="1" si="137"/>
        <v>202503</v>
      </c>
      <c r="C534" s="412" t="str">
        <f t="shared" ca="1" si="135"/>
        <v>v1</v>
      </c>
      <c r="D534" s="413" t="str">
        <f ca="1">+D533</f>
        <v>05.04.00.01.</v>
      </c>
      <c r="E534" s="412">
        <f t="shared" si="136"/>
        <v>0</v>
      </c>
      <c r="F534" s="414">
        <f ca="1">OFFSET('Tabla III.2.'!$H$13,H534-1,I534-1)</f>
        <v>0</v>
      </c>
      <c r="G534" s="412" t="str">
        <f ca="1">OFFSET('Tabla III.2.'!$H$1,0,I534-1)</f>
        <v>02</v>
      </c>
      <c r="H534" s="111">
        <f>+H533</f>
        <v>11</v>
      </c>
      <c r="I534" s="111">
        <f>+I533+1</f>
        <v>2</v>
      </c>
      <c r="J534" s="111" t="str">
        <f ca="1">+'Tabla III.2.'!$C$9</f>
        <v>Tabla III.2.</v>
      </c>
      <c r="K534" s="111" t="str">
        <f>+K533</f>
        <v>A</v>
      </c>
      <c r="L534" s="412"/>
    </row>
    <row r="535" spans="1:12" s="415" customFormat="1">
      <c r="A535" s="412" t="s">
        <v>2944</v>
      </c>
      <c r="B535" s="412" t="str">
        <f t="shared" ca="1" si="137"/>
        <v>202503</v>
      </c>
      <c r="C535" s="412" t="str">
        <f t="shared" ca="1" si="135"/>
        <v>v1</v>
      </c>
      <c r="D535" s="413" t="str">
        <f ca="1">+D534</f>
        <v>05.04.00.01.</v>
      </c>
      <c r="E535" s="412">
        <f t="shared" si="136"/>
        <v>0</v>
      </c>
      <c r="F535" s="414">
        <f ca="1">OFFSET('Tabla III.2.'!$H$13,H535-1,I535-1)</f>
        <v>0</v>
      </c>
      <c r="G535" s="412" t="str">
        <f ca="1">OFFSET('Tabla III.2.'!$H$1,0,I535-1)</f>
        <v>03</v>
      </c>
      <c r="H535" s="111">
        <f>+H534</f>
        <v>11</v>
      </c>
      <c r="I535" s="111">
        <f>+I534+1</f>
        <v>3</v>
      </c>
      <c r="J535" s="111" t="str">
        <f ca="1">+'Tabla III.2.'!$C$9</f>
        <v>Tabla III.2.</v>
      </c>
      <c r="K535" s="111" t="str">
        <f>+K534</f>
        <v>A</v>
      </c>
      <c r="L535" s="412"/>
    </row>
    <row r="536" spans="1:12" s="415" customFormat="1">
      <c r="A536" s="412" t="s">
        <v>2944</v>
      </c>
      <c r="B536" s="412" t="str">
        <f t="shared" ca="1" si="137"/>
        <v>202503</v>
      </c>
      <c r="C536" s="412" t="str">
        <f t="shared" ca="1" si="135"/>
        <v>v1</v>
      </c>
      <c r="D536" s="413" t="str">
        <f ca="1">+D535</f>
        <v>05.04.00.01.</v>
      </c>
      <c r="E536" s="412">
        <f t="shared" si="136"/>
        <v>0</v>
      </c>
      <c r="F536" s="414">
        <f ca="1">OFFSET('Tabla III.2.'!$H$13,H536-1,I536-1)</f>
        <v>0</v>
      </c>
      <c r="G536" s="412" t="str">
        <f ca="1">OFFSET('Tabla III.2.'!$H$1,0,I536-1)</f>
        <v>04</v>
      </c>
      <c r="H536" s="111">
        <f>+H535</f>
        <v>11</v>
      </c>
      <c r="I536" s="111">
        <f>+I535+1</f>
        <v>4</v>
      </c>
      <c r="J536" s="111" t="str">
        <f ca="1">+'Tabla III.2.'!$C$9</f>
        <v>Tabla III.2.</v>
      </c>
      <c r="K536" s="111" t="str">
        <f>+K535</f>
        <v>A</v>
      </c>
      <c r="L536" s="412"/>
    </row>
    <row r="537" spans="1:12" s="415" customFormat="1">
      <c r="A537" s="412" t="s">
        <v>2944</v>
      </c>
      <c r="B537" s="412" t="str">
        <f t="shared" ca="1" si="137"/>
        <v>202503</v>
      </c>
      <c r="C537" s="412" t="str">
        <f t="shared" ca="1" si="135"/>
        <v>v1</v>
      </c>
      <c r="D537" s="413" t="str">
        <f ca="1">+D536</f>
        <v>05.04.00.01.</v>
      </c>
      <c r="E537" s="412">
        <f t="shared" si="136"/>
        <v>0</v>
      </c>
      <c r="F537" s="414">
        <f ca="1">OFFSET('Tabla III.2.'!$H$13,H537-1,I537-1)</f>
        <v>0</v>
      </c>
      <c r="G537" s="412" t="str">
        <f ca="1">OFFSET('Tabla III.2.'!$H$1,0,I537-1)</f>
        <v>05</v>
      </c>
      <c r="H537" s="111">
        <f>+H536</f>
        <v>11</v>
      </c>
      <c r="I537" s="111">
        <f>+I536+1</f>
        <v>5</v>
      </c>
      <c r="J537" s="111" t="str">
        <f ca="1">+'Tabla III.2.'!$C$9</f>
        <v>Tabla III.2.</v>
      </c>
      <c r="K537" s="111" t="str">
        <f>+K536</f>
        <v>A</v>
      </c>
      <c r="L537" s="412"/>
    </row>
    <row r="538" spans="1:12" s="415" customFormat="1">
      <c r="A538" s="412" t="s">
        <v>2944</v>
      </c>
      <c r="B538" s="412" t="str">
        <f t="shared" ca="1" si="137"/>
        <v>202503</v>
      </c>
      <c r="C538" s="412" t="str">
        <f t="shared" ca="1" si="135"/>
        <v>v1</v>
      </c>
      <c r="D538" s="413" t="str">
        <f ca="1">+D537</f>
        <v>05.04.00.01.</v>
      </c>
      <c r="E538" s="412">
        <f t="shared" si="136"/>
        <v>0</v>
      </c>
      <c r="F538" s="414">
        <f ca="1">OFFSET('Tabla III.2.'!$H$13,H538-1,I538-1)</f>
        <v>0</v>
      </c>
      <c r="G538" s="412" t="str">
        <f ca="1">OFFSET('Tabla III.2.'!$H$1,0,I538-1)</f>
        <v>06</v>
      </c>
      <c r="H538" s="111">
        <f>+H537</f>
        <v>11</v>
      </c>
      <c r="I538" s="111">
        <f>+I537+1</f>
        <v>6</v>
      </c>
      <c r="J538" s="111" t="str">
        <f ca="1">+'Tabla III.2.'!$C$9</f>
        <v>Tabla III.2.</v>
      </c>
      <c r="K538" s="111" t="str">
        <f>+K537</f>
        <v>A</v>
      </c>
      <c r="L538" s="412"/>
    </row>
    <row r="539" spans="1:12" s="112" customFormat="1">
      <c r="A539" s="107" t="s">
        <v>2944</v>
      </c>
      <c r="B539" s="107" t="str">
        <f t="shared" ca="1" si="137"/>
        <v>202502</v>
      </c>
      <c r="C539" s="107" t="str">
        <f t="shared" ca="1" si="135"/>
        <v>v2</v>
      </c>
      <c r="D539" s="399" t="str">
        <f ca="1">OFFSET('Tabla III.2.'!$F$13,H539-1,0)</f>
        <v>05.04.00.02.</v>
      </c>
      <c r="E539" s="107">
        <f t="shared" si="136"/>
        <v>0</v>
      </c>
      <c r="F539" s="108">
        <f ca="1">OFFSET('Tabla III.2.'!$H$13,H539-1,I539-1)</f>
        <v>0</v>
      </c>
      <c r="G539" s="107" t="str">
        <f ca="1">OFFSET('Tabla III.2.'!$H$1,0,I539-1)</f>
        <v>01</v>
      </c>
      <c r="H539" s="110">
        <f>+H533+1</f>
        <v>12</v>
      </c>
      <c r="I539" s="110">
        <v>1</v>
      </c>
      <c r="J539" s="110" t="str">
        <f ca="1">+'Tabla III.2.'!$C$9</f>
        <v>Tabla III.2.</v>
      </c>
      <c r="K539" s="110" t="s">
        <v>2266</v>
      </c>
      <c r="L539" s="107">
        <f>+L533+1</f>
        <v>12</v>
      </c>
    </row>
    <row r="540" spans="1:12" s="112" customFormat="1">
      <c r="A540" s="107" t="s">
        <v>2944</v>
      </c>
      <c r="B540" s="107" t="str">
        <f t="shared" ca="1" si="137"/>
        <v>202503</v>
      </c>
      <c r="C540" s="107" t="str">
        <f t="shared" ca="1" si="135"/>
        <v>v1</v>
      </c>
      <c r="D540" s="399" t="str">
        <f ca="1">+D539</f>
        <v>05.04.00.02.</v>
      </c>
      <c r="E540" s="107">
        <f t="shared" si="136"/>
        <v>0</v>
      </c>
      <c r="F540" s="108">
        <f ca="1">OFFSET('Tabla III.2.'!$H$13,H540-1,I540-1)</f>
        <v>0</v>
      </c>
      <c r="G540" s="107" t="str">
        <f ca="1">OFFSET('Tabla III.2.'!$H$1,0,I540-1)</f>
        <v>02</v>
      </c>
      <c r="H540" s="110">
        <f>+H539</f>
        <v>12</v>
      </c>
      <c r="I540" s="110">
        <f>+I539+1</f>
        <v>2</v>
      </c>
      <c r="J540" s="110" t="str">
        <f ca="1">+'Tabla III.2.'!$C$9</f>
        <v>Tabla III.2.</v>
      </c>
      <c r="K540" s="110" t="str">
        <f>+K539</f>
        <v>A</v>
      </c>
      <c r="L540" s="107"/>
    </row>
    <row r="541" spans="1:12" s="112" customFormat="1">
      <c r="A541" s="107" t="s">
        <v>2944</v>
      </c>
      <c r="B541" s="107" t="str">
        <f t="shared" ca="1" si="137"/>
        <v>202503</v>
      </c>
      <c r="C541" s="107" t="str">
        <f t="shared" ca="1" si="135"/>
        <v>v1</v>
      </c>
      <c r="D541" s="399" t="str">
        <f ca="1">+D540</f>
        <v>05.04.00.02.</v>
      </c>
      <c r="E541" s="107">
        <f t="shared" si="136"/>
        <v>0</v>
      </c>
      <c r="F541" s="108">
        <f ca="1">OFFSET('Tabla III.2.'!$H$13,H541-1,I541-1)</f>
        <v>0</v>
      </c>
      <c r="G541" s="107" t="str">
        <f ca="1">OFFSET('Tabla III.2.'!$H$1,0,I541-1)</f>
        <v>03</v>
      </c>
      <c r="H541" s="110">
        <f>+H540</f>
        <v>12</v>
      </c>
      <c r="I541" s="110">
        <f>+I540+1</f>
        <v>3</v>
      </c>
      <c r="J541" s="110" t="str">
        <f ca="1">+'Tabla III.2.'!$C$9</f>
        <v>Tabla III.2.</v>
      </c>
      <c r="K541" s="110" t="str">
        <f>+K540</f>
        <v>A</v>
      </c>
      <c r="L541" s="107"/>
    </row>
    <row r="542" spans="1:12" s="112" customFormat="1">
      <c r="A542" s="107" t="s">
        <v>2944</v>
      </c>
      <c r="B542" s="107" t="str">
        <f t="shared" ca="1" si="137"/>
        <v>202503</v>
      </c>
      <c r="C542" s="107" t="str">
        <f t="shared" ca="1" si="135"/>
        <v>v1</v>
      </c>
      <c r="D542" s="399" t="str">
        <f ca="1">+D541</f>
        <v>05.04.00.02.</v>
      </c>
      <c r="E542" s="107">
        <f t="shared" si="136"/>
        <v>0</v>
      </c>
      <c r="F542" s="108">
        <f ca="1">OFFSET('Tabla III.2.'!$H$13,H542-1,I542-1)</f>
        <v>0</v>
      </c>
      <c r="G542" s="107" t="str">
        <f ca="1">OFFSET('Tabla III.2.'!$H$1,0,I542-1)</f>
        <v>04</v>
      </c>
      <c r="H542" s="110">
        <f>+H541</f>
        <v>12</v>
      </c>
      <c r="I542" s="110">
        <f>+I541+1</f>
        <v>4</v>
      </c>
      <c r="J542" s="110" t="str">
        <f ca="1">+'Tabla III.2.'!$C$9</f>
        <v>Tabla III.2.</v>
      </c>
      <c r="K542" s="110" t="str">
        <f>+K541</f>
        <v>A</v>
      </c>
      <c r="L542" s="107"/>
    </row>
    <row r="543" spans="1:12" s="112" customFormat="1">
      <c r="A543" s="107" t="s">
        <v>2944</v>
      </c>
      <c r="B543" s="107" t="str">
        <f t="shared" ca="1" si="137"/>
        <v>202503</v>
      </c>
      <c r="C543" s="107" t="str">
        <f t="shared" ca="1" si="135"/>
        <v>v1</v>
      </c>
      <c r="D543" s="399" t="str">
        <f ca="1">+D542</f>
        <v>05.04.00.02.</v>
      </c>
      <c r="E543" s="107">
        <f t="shared" si="136"/>
        <v>0</v>
      </c>
      <c r="F543" s="108">
        <f ca="1">OFFSET('Tabla III.2.'!$H$13,H543-1,I543-1)</f>
        <v>0</v>
      </c>
      <c r="G543" s="107" t="str">
        <f ca="1">OFFSET('Tabla III.2.'!$H$1,0,I543-1)</f>
        <v>05</v>
      </c>
      <c r="H543" s="110">
        <f>+H542</f>
        <v>12</v>
      </c>
      <c r="I543" s="110">
        <f>+I542+1</f>
        <v>5</v>
      </c>
      <c r="J543" s="110" t="str">
        <f ca="1">+'Tabla III.2.'!$C$9</f>
        <v>Tabla III.2.</v>
      </c>
      <c r="K543" s="110" t="str">
        <f>+K542</f>
        <v>A</v>
      </c>
      <c r="L543" s="107"/>
    </row>
    <row r="544" spans="1:12" s="112" customFormat="1">
      <c r="A544" s="107" t="s">
        <v>2944</v>
      </c>
      <c r="B544" s="107" t="str">
        <f t="shared" ca="1" si="137"/>
        <v>202503</v>
      </c>
      <c r="C544" s="107" t="str">
        <f t="shared" ca="1" si="135"/>
        <v>v1</v>
      </c>
      <c r="D544" s="399" t="str">
        <f ca="1">+D543</f>
        <v>05.04.00.02.</v>
      </c>
      <c r="E544" s="107">
        <f t="shared" si="136"/>
        <v>0</v>
      </c>
      <c r="F544" s="108">
        <f ca="1">OFFSET('Tabla III.2.'!$H$13,H544-1,I544-1)</f>
        <v>0</v>
      </c>
      <c r="G544" s="107" t="str">
        <f ca="1">OFFSET('Tabla III.2.'!$H$1,0,I544-1)</f>
        <v>06</v>
      </c>
      <c r="H544" s="110">
        <f>+H543</f>
        <v>12</v>
      </c>
      <c r="I544" s="110">
        <f>+I543+1</f>
        <v>6</v>
      </c>
      <c r="J544" s="110" t="str">
        <f ca="1">+'Tabla III.2.'!$C$9</f>
        <v>Tabla III.2.</v>
      </c>
      <c r="K544" s="110" t="str">
        <f>+K543</f>
        <v>A</v>
      </c>
      <c r="L544" s="107"/>
    </row>
    <row r="545" spans="1:12" s="415" customFormat="1">
      <c r="A545" s="412" t="s">
        <v>2944</v>
      </c>
      <c r="B545" s="412" t="str">
        <f t="shared" ca="1" si="137"/>
        <v>202502</v>
      </c>
      <c r="C545" s="412" t="str">
        <f t="shared" ca="1" si="135"/>
        <v>v2</v>
      </c>
      <c r="D545" s="413" t="str">
        <f ca="1">OFFSET('Tabla III.2.'!$F$13,H545-1,0)</f>
        <v>05.99.</v>
      </c>
      <c r="E545" s="412">
        <f t="shared" si="136"/>
        <v>0</v>
      </c>
      <c r="F545" s="414">
        <f ca="1">OFFSET('Tabla III.2.'!$H$13,H545-1,I545-1)</f>
        <v>0</v>
      </c>
      <c r="G545" s="412" t="str">
        <f ca="1">OFFSET('Tabla III.2.'!$H$1,0,I545-1)</f>
        <v>01</v>
      </c>
      <c r="H545" s="111">
        <f>+H539+1</f>
        <v>13</v>
      </c>
      <c r="I545" s="111">
        <v>1</v>
      </c>
      <c r="J545" s="111" t="str">
        <f ca="1">+'Tabla III.2.'!$C$9</f>
        <v>Tabla III.2.</v>
      </c>
      <c r="K545" s="111" t="s">
        <v>2266</v>
      </c>
      <c r="L545" s="412">
        <f>+L539+1</f>
        <v>13</v>
      </c>
    </row>
    <row r="546" spans="1:12" s="415" customFormat="1">
      <c r="A546" s="412" t="s">
        <v>2944</v>
      </c>
      <c r="B546" s="412" t="str">
        <f t="shared" ca="1" si="137"/>
        <v>202503</v>
      </c>
      <c r="C546" s="412" t="str">
        <f t="shared" ca="1" si="135"/>
        <v>v1</v>
      </c>
      <c r="D546" s="413" t="str">
        <f ca="1">+D545</f>
        <v>05.99.</v>
      </c>
      <c r="E546" s="412">
        <f t="shared" si="136"/>
        <v>0</v>
      </c>
      <c r="F546" s="414">
        <f ca="1">OFFSET('Tabla III.2.'!$H$13,H546-1,I546-1)</f>
        <v>0</v>
      </c>
      <c r="G546" s="412" t="str">
        <f ca="1">OFFSET('Tabla III.2.'!$H$1,0,I546-1)</f>
        <v>02</v>
      </c>
      <c r="H546" s="111">
        <f>+H545</f>
        <v>13</v>
      </c>
      <c r="I546" s="111">
        <f>+I545+1</f>
        <v>2</v>
      </c>
      <c r="J546" s="111" t="str">
        <f ca="1">+'Tabla III.2.'!$C$9</f>
        <v>Tabla III.2.</v>
      </c>
      <c r="K546" s="111" t="str">
        <f>+K545</f>
        <v>A</v>
      </c>
      <c r="L546" s="412"/>
    </row>
    <row r="547" spans="1:12" s="415" customFormat="1">
      <c r="A547" s="412" t="s">
        <v>2944</v>
      </c>
      <c r="B547" s="412" t="str">
        <f t="shared" ca="1" si="137"/>
        <v>202503</v>
      </c>
      <c r="C547" s="412" t="str">
        <f t="shared" ca="1" si="135"/>
        <v>v1</v>
      </c>
      <c r="D547" s="413" t="str">
        <f ca="1">+D546</f>
        <v>05.99.</v>
      </c>
      <c r="E547" s="412">
        <f t="shared" si="136"/>
        <v>0</v>
      </c>
      <c r="F547" s="414">
        <f ca="1">OFFSET('Tabla III.2.'!$H$13,H547-1,I547-1)</f>
        <v>0</v>
      </c>
      <c r="G547" s="412" t="str">
        <f ca="1">OFFSET('Tabla III.2.'!$H$1,0,I547-1)</f>
        <v>03</v>
      </c>
      <c r="H547" s="111">
        <f>+H546</f>
        <v>13</v>
      </c>
      <c r="I547" s="111">
        <f>+I546+1</f>
        <v>3</v>
      </c>
      <c r="J547" s="111" t="str">
        <f ca="1">+'Tabla III.2.'!$C$9</f>
        <v>Tabla III.2.</v>
      </c>
      <c r="K547" s="111" t="str">
        <f>+K546</f>
        <v>A</v>
      </c>
      <c r="L547" s="412"/>
    </row>
    <row r="548" spans="1:12" s="415" customFormat="1">
      <c r="A548" s="412" t="s">
        <v>2944</v>
      </c>
      <c r="B548" s="412" t="str">
        <f t="shared" ca="1" si="137"/>
        <v>202503</v>
      </c>
      <c r="C548" s="412" t="str">
        <f t="shared" ca="1" si="135"/>
        <v>v1</v>
      </c>
      <c r="D548" s="413" t="str">
        <f ca="1">+D547</f>
        <v>05.99.</v>
      </c>
      <c r="E548" s="412">
        <f t="shared" si="136"/>
        <v>0</v>
      </c>
      <c r="F548" s="414">
        <f ca="1">OFFSET('Tabla III.2.'!$H$13,H548-1,I548-1)</f>
        <v>0</v>
      </c>
      <c r="G548" s="412" t="str">
        <f ca="1">OFFSET('Tabla III.2.'!$H$1,0,I548-1)</f>
        <v>04</v>
      </c>
      <c r="H548" s="111">
        <f>+H547</f>
        <v>13</v>
      </c>
      <c r="I548" s="111">
        <f>+I547+1</f>
        <v>4</v>
      </c>
      <c r="J548" s="111" t="str">
        <f ca="1">+'Tabla III.2.'!$C$9</f>
        <v>Tabla III.2.</v>
      </c>
      <c r="K548" s="111" t="str">
        <f>+K547</f>
        <v>A</v>
      </c>
      <c r="L548" s="412"/>
    </row>
    <row r="549" spans="1:12" s="415" customFormat="1">
      <c r="A549" s="412" t="s">
        <v>2944</v>
      </c>
      <c r="B549" s="412" t="str">
        <f t="shared" ca="1" si="137"/>
        <v>202503</v>
      </c>
      <c r="C549" s="412" t="str">
        <f t="shared" ca="1" si="135"/>
        <v>v1</v>
      </c>
      <c r="D549" s="413" t="str">
        <f ca="1">+D548</f>
        <v>05.99.</v>
      </c>
      <c r="E549" s="412">
        <f t="shared" si="136"/>
        <v>0</v>
      </c>
      <c r="F549" s="414">
        <f ca="1">OFFSET('Tabla III.2.'!$H$13,H549-1,I549-1)</f>
        <v>0</v>
      </c>
      <c r="G549" s="412" t="str">
        <f ca="1">OFFSET('Tabla III.2.'!$H$1,0,I549-1)</f>
        <v>05</v>
      </c>
      <c r="H549" s="111">
        <f>+H548</f>
        <v>13</v>
      </c>
      <c r="I549" s="111">
        <f>+I548+1</f>
        <v>5</v>
      </c>
      <c r="J549" s="111" t="str">
        <f ca="1">+'Tabla III.2.'!$C$9</f>
        <v>Tabla III.2.</v>
      </c>
      <c r="K549" s="111" t="str">
        <f>+K548</f>
        <v>A</v>
      </c>
      <c r="L549" s="412"/>
    </row>
    <row r="550" spans="1:12" s="415" customFormat="1">
      <c r="A550" s="412" t="s">
        <v>2944</v>
      </c>
      <c r="B550" s="412" t="str">
        <f t="shared" ca="1" si="137"/>
        <v>202503</v>
      </c>
      <c r="C550" s="412" t="str">
        <f t="shared" ref="C550:C613" ca="1" si="138">IF(G550="01","v2","v1")</f>
        <v>v1</v>
      </c>
      <c r="D550" s="413" t="str">
        <f ca="1">+D549</f>
        <v>05.99.</v>
      </c>
      <c r="E550" s="412">
        <f t="shared" ref="E550:E613" si="139">RUC</f>
        <v>0</v>
      </c>
      <c r="F550" s="414">
        <f ca="1">OFFSET('Tabla III.2.'!$H$13,H550-1,I550-1)</f>
        <v>0</v>
      </c>
      <c r="G550" s="412" t="str">
        <f ca="1">OFFSET('Tabla III.2.'!$H$1,0,I550-1)</f>
        <v>06</v>
      </c>
      <c r="H550" s="111">
        <f>+H549</f>
        <v>13</v>
      </c>
      <c r="I550" s="111">
        <f>+I549+1</f>
        <v>6</v>
      </c>
      <c r="J550" s="111" t="str">
        <f ca="1">+'Tabla III.2.'!$C$9</f>
        <v>Tabla III.2.</v>
      </c>
      <c r="K550" s="111" t="str">
        <f>+K549</f>
        <v>A</v>
      </c>
      <c r="L550" s="412"/>
    </row>
    <row r="551" spans="1:12" s="112" customFormat="1">
      <c r="A551" s="107" t="s">
        <v>2944</v>
      </c>
      <c r="B551" s="107" t="str">
        <f t="shared" ca="1" si="137"/>
        <v>202502</v>
      </c>
      <c r="C551" s="107" t="str">
        <f t="shared" ca="1" si="138"/>
        <v>v2</v>
      </c>
      <c r="D551" s="399" t="str">
        <f ca="1">OFFSET('Tabla III.2.'!$F$38,H551-1,0)</f>
        <v>06.01.</v>
      </c>
      <c r="E551" s="107">
        <f t="shared" si="139"/>
        <v>0</v>
      </c>
      <c r="F551" s="108">
        <f ca="1">OFFSET('Tabla III.2.'!$H$38,H551-1,I551-1)</f>
        <v>0</v>
      </c>
      <c r="G551" s="107" t="str">
        <f ca="1">OFFSET('Tabla III.2.'!$H$1,0,I551-1)</f>
        <v>01</v>
      </c>
      <c r="H551" s="110">
        <v>1</v>
      </c>
      <c r="I551" s="110">
        <v>1</v>
      </c>
      <c r="J551" s="110" t="str">
        <f ca="1">+'Tabla III.2.'!$C$9</f>
        <v>Tabla III.2.</v>
      </c>
      <c r="K551" s="110" t="s">
        <v>2267</v>
      </c>
      <c r="L551" s="107">
        <v>1</v>
      </c>
    </row>
    <row r="552" spans="1:12" s="112" customFormat="1">
      <c r="A552" s="107" t="s">
        <v>2944</v>
      </c>
      <c r="B552" s="107" t="str">
        <f t="shared" ca="1" si="137"/>
        <v>202503</v>
      </c>
      <c r="C552" s="107" t="str">
        <f t="shared" ca="1" si="138"/>
        <v>v1</v>
      </c>
      <c r="D552" s="399" t="str">
        <f ca="1">+D551</f>
        <v>06.01.</v>
      </c>
      <c r="E552" s="107">
        <f t="shared" si="139"/>
        <v>0</v>
      </c>
      <c r="F552" s="108">
        <f ca="1">OFFSET('Tabla III.2.'!$H$38,H552-1,I552-1)</f>
        <v>0</v>
      </c>
      <c r="G552" s="107" t="str">
        <f ca="1">OFFSET('Tabla III.2.'!$H$1,0,I552-1)</f>
        <v>02</v>
      </c>
      <c r="H552" s="110">
        <f>+H551</f>
        <v>1</v>
      </c>
      <c r="I552" s="110">
        <f>+I551+1</f>
        <v>2</v>
      </c>
      <c r="J552" s="110" t="str">
        <f ca="1">+'Tabla III.2.'!$C$9</f>
        <v>Tabla III.2.</v>
      </c>
      <c r="K552" s="110" t="str">
        <f>+K551</f>
        <v>B</v>
      </c>
      <c r="L552" s="107"/>
    </row>
    <row r="553" spans="1:12" s="112" customFormat="1">
      <c r="A553" s="107" t="s">
        <v>2944</v>
      </c>
      <c r="B553" s="107" t="str">
        <f t="shared" ca="1" si="137"/>
        <v>202503</v>
      </c>
      <c r="C553" s="107" t="str">
        <f t="shared" ca="1" si="138"/>
        <v>v1</v>
      </c>
      <c r="D553" s="399" t="str">
        <f ca="1">+D552</f>
        <v>06.01.</v>
      </c>
      <c r="E553" s="107">
        <f t="shared" si="139"/>
        <v>0</v>
      </c>
      <c r="F553" s="108">
        <f ca="1">OFFSET('Tabla III.2.'!$H$38,H553-1,I553-1)</f>
        <v>0</v>
      </c>
      <c r="G553" s="107" t="str">
        <f ca="1">OFFSET('Tabla III.2.'!$H$1,0,I553-1)</f>
        <v>03</v>
      </c>
      <c r="H553" s="110">
        <f>+H552</f>
        <v>1</v>
      </c>
      <c r="I553" s="110">
        <f>+I552+1</f>
        <v>3</v>
      </c>
      <c r="J553" s="110" t="str">
        <f ca="1">+'Tabla III.2.'!$C$9</f>
        <v>Tabla III.2.</v>
      </c>
      <c r="K553" s="110" t="str">
        <f>+K552</f>
        <v>B</v>
      </c>
      <c r="L553" s="107"/>
    </row>
    <row r="554" spans="1:12" s="112" customFormat="1">
      <c r="A554" s="107" t="s">
        <v>2944</v>
      </c>
      <c r="B554" s="107" t="str">
        <f t="shared" ca="1" si="137"/>
        <v>202503</v>
      </c>
      <c r="C554" s="107" t="str">
        <f t="shared" ca="1" si="138"/>
        <v>v1</v>
      </c>
      <c r="D554" s="399" t="str">
        <f ca="1">+D553</f>
        <v>06.01.</v>
      </c>
      <c r="E554" s="107">
        <f t="shared" si="139"/>
        <v>0</v>
      </c>
      <c r="F554" s="108">
        <f ca="1">OFFSET('Tabla III.2.'!$H$38,H554-1,I554-1)</f>
        <v>0</v>
      </c>
      <c r="G554" s="107" t="str">
        <f ca="1">OFFSET('Tabla III.2.'!$H$1,0,I554-1)</f>
        <v>04</v>
      </c>
      <c r="H554" s="110">
        <f>+H553</f>
        <v>1</v>
      </c>
      <c r="I554" s="110">
        <f>+I553+1</f>
        <v>4</v>
      </c>
      <c r="J554" s="110" t="str">
        <f ca="1">+'Tabla III.2.'!$C$9</f>
        <v>Tabla III.2.</v>
      </c>
      <c r="K554" s="110" t="str">
        <f>+K553</f>
        <v>B</v>
      </c>
      <c r="L554" s="107"/>
    </row>
    <row r="555" spans="1:12" s="112" customFormat="1">
      <c r="A555" s="107" t="s">
        <v>2944</v>
      </c>
      <c r="B555" s="107" t="str">
        <f t="shared" ca="1" si="137"/>
        <v>202503</v>
      </c>
      <c r="C555" s="107" t="str">
        <f t="shared" ca="1" si="138"/>
        <v>v1</v>
      </c>
      <c r="D555" s="399" t="str">
        <f ca="1">+D554</f>
        <v>06.01.</v>
      </c>
      <c r="E555" s="107">
        <f t="shared" si="139"/>
        <v>0</v>
      </c>
      <c r="F555" s="108">
        <f ca="1">OFFSET('Tabla III.2.'!$H$38,H555-1,I555-1)</f>
        <v>0</v>
      </c>
      <c r="G555" s="107" t="str">
        <f ca="1">OFFSET('Tabla III.2.'!$H$1,0,I555-1)</f>
        <v>05</v>
      </c>
      <c r="H555" s="110">
        <f>+H554</f>
        <v>1</v>
      </c>
      <c r="I555" s="110">
        <f>+I554+1</f>
        <v>5</v>
      </c>
      <c r="J555" s="110" t="str">
        <f ca="1">+'Tabla III.2.'!$C$9</f>
        <v>Tabla III.2.</v>
      </c>
      <c r="K555" s="110" t="str">
        <f>+K554</f>
        <v>B</v>
      </c>
      <c r="L555" s="107"/>
    </row>
    <row r="556" spans="1:12" s="112" customFormat="1">
      <c r="A556" s="107" t="s">
        <v>2944</v>
      </c>
      <c r="B556" s="107" t="str">
        <f t="shared" ca="1" si="137"/>
        <v>202503</v>
      </c>
      <c r="C556" s="107" t="str">
        <f t="shared" ca="1" si="138"/>
        <v>v1</v>
      </c>
      <c r="D556" s="399" t="str">
        <f ca="1">+D555</f>
        <v>06.01.</v>
      </c>
      <c r="E556" s="107">
        <f t="shared" si="139"/>
        <v>0</v>
      </c>
      <c r="F556" s="108">
        <f ca="1">OFFSET('Tabla III.2.'!$H$38,H556-1,I556-1)</f>
        <v>0</v>
      </c>
      <c r="G556" s="107" t="str">
        <f ca="1">OFFSET('Tabla III.2.'!$H$1,0,I556-1)</f>
        <v>06</v>
      </c>
      <c r="H556" s="110">
        <f>+H555</f>
        <v>1</v>
      </c>
      <c r="I556" s="110">
        <f>+I555+1</f>
        <v>6</v>
      </c>
      <c r="J556" s="110" t="str">
        <f ca="1">+'Tabla III.2.'!$C$9</f>
        <v>Tabla III.2.</v>
      </c>
      <c r="K556" s="110" t="str">
        <f>+K555</f>
        <v>B</v>
      </c>
      <c r="L556" s="107"/>
    </row>
    <row r="557" spans="1:12" s="415" customFormat="1">
      <c r="A557" s="412" t="s">
        <v>2944</v>
      </c>
      <c r="B557" s="412" t="str">
        <f t="shared" ca="1" si="137"/>
        <v>202502</v>
      </c>
      <c r="C557" s="412" t="str">
        <f t="shared" ca="1" si="138"/>
        <v>v2</v>
      </c>
      <c r="D557" s="413" t="str">
        <f ca="1">OFFSET('Tabla III.2.'!$F$38,H557-1,0)</f>
        <v>06.01.01.</v>
      </c>
      <c r="E557" s="412">
        <f t="shared" si="139"/>
        <v>0</v>
      </c>
      <c r="F557" s="414">
        <f ca="1">OFFSET('Tabla III.2.'!$H$38,H557-1,I557-1)</f>
        <v>0</v>
      </c>
      <c r="G557" s="412" t="str">
        <f ca="1">OFFSET('Tabla III.2.'!$H$1,0,I557-1)</f>
        <v>01</v>
      </c>
      <c r="H557" s="111">
        <f>+H551+1</f>
        <v>2</v>
      </c>
      <c r="I557" s="111">
        <v>1</v>
      </c>
      <c r="J557" s="111" t="str">
        <f ca="1">+'Tabla III.2.'!$C$9</f>
        <v>Tabla III.2.</v>
      </c>
      <c r="K557" s="111" t="s">
        <v>2267</v>
      </c>
      <c r="L557" s="412">
        <f>+L551+1</f>
        <v>2</v>
      </c>
    </row>
    <row r="558" spans="1:12" s="415" customFormat="1">
      <c r="A558" s="412" t="s">
        <v>2944</v>
      </c>
      <c r="B558" s="412" t="str">
        <f t="shared" ca="1" si="137"/>
        <v>202503</v>
      </c>
      <c r="C558" s="412" t="str">
        <f t="shared" ca="1" si="138"/>
        <v>v1</v>
      </c>
      <c r="D558" s="413" t="str">
        <f ca="1">+D557</f>
        <v>06.01.01.</v>
      </c>
      <c r="E558" s="412">
        <f t="shared" si="139"/>
        <v>0</v>
      </c>
      <c r="F558" s="414">
        <f ca="1">OFFSET('Tabla III.2.'!$H$38,H558-1,I558-1)</f>
        <v>0</v>
      </c>
      <c r="G558" s="412" t="str">
        <f ca="1">OFFSET('Tabla III.2.'!$H$1,0,I558-1)</f>
        <v>02</v>
      </c>
      <c r="H558" s="111">
        <f>+H557</f>
        <v>2</v>
      </c>
      <c r="I558" s="111">
        <f>+I557+1</f>
        <v>2</v>
      </c>
      <c r="J558" s="111" t="str">
        <f ca="1">+'Tabla III.2.'!$C$9</f>
        <v>Tabla III.2.</v>
      </c>
      <c r="K558" s="111" t="str">
        <f>+K557</f>
        <v>B</v>
      </c>
      <c r="L558" s="412"/>
    </row>
    <row r="559" spans="1:12" s="415" customFormat="1">
      <c r="A559" s="412" t="s">
        <v>2944</v>
      </c>
      <c r="B559" s="412" t="str">
        <f t="shared" ca="1" si="137"/>
        <v>202503</v>
      </c>
      <c r="C559" s="412" t="str">
        <f t="shared" ca="1" si="138"/>
        <v>v1</v>
      </c>
      <c r="D559" s="413" t="str">
        <f ca="1">+D558</f>
        <v>06.01.01.</v>
      </c>
      <c r="E559" s="412">
        <f t="shared" si="139"/>
        <v>0</v>
      </c>
      <c r="F559" s="414">
        <f ca="1">OFFSET('Tabla III.2.'!$H$38,H559-1,I559-1)</f>
        <v>0</v>
      </c>
      <c r="G559" s="412" t="str">
        <f ca="1">OFFSET('Tabla III.2.'!$H$1,0,I559-1)</f>
        <v>03</v>
      </c>
      <c r="H559" s="111">
        <f>+H558</f>
        <v>2</v>
      </c>
      <c r="I559" s="111">
        <f>+I558+1</f>
        <v>3</v>
      </c>
      <c r="J559" s="111" t="str">
        <f ca="1">+'Tabla III.2.'!$C$9</f>
        <v>Tabla III.2.</v>
      </c>
      <c r="K559" s="111" t="str">
        <f>+K558</f>
        <v>B</v>
      </c>
      <c r="L559" s="412"/>
    </row>
    <row r="560" spans="1:12" s="415" customFormat="1">
      <c r="A560" s="412" t="s">
        <v>2944</v>
      </c>
      <c r="B560" s="412" t="str">
        <f t="shared" ca="1" si="137"/>
        <v>202503</v>
      </c>
      <c r="C560" s="412" t="str">
        <f t="shared" ca="1" si="138"/>
        <v>v1</v>
      </c>
      <c r="D560" s="413" t="str">
        <f ca="1">+D559</f>
        <v>06.01.01.</v>
      </c>
      <c r="E560" s="412">
        <f t="shared" si="139"/>
        <v>0</v>
      </c>
      <c r="F560" s="414">
        <f ca="1">OFFSET('Tabla III.2.'!$H$38,H560-1,I560-1)</f>
        <v>0</v>
      </c>
      <c r="G560" s="412" t="str">
        <f ca="1">OFFSET('Tabla III.2.'!$H$1,0,I560-1)</f>
        <v>04</v>
      </c>
      <c r="H560" s="111">
        <f>+H559</f>
        <v>2</v>
      </c>
      <c r="I560" s="111">
        <f>+I559+1</f>
        <v>4</v>
      </c>
      <c r="J560" s="111" t="str">
        <f ca="1">+'Tabla III.2.'!$C$9</f>
        <v>Tabla III.2.</v>
      </c>
      <c r="K560" s="111" t="str">
        <f>+K559</f>
        <v>B</v>
      </c>
      <c r="L560" s="412"/>
    </row>
    <row r="561" spans="1:12" s="415" customFormat="1">
      <c r="A561" s="412" t="s">
        <v>2944</v>
      </c>
      <c r="B561" s="412" t="str">
        <f t="shared" ca="1" si="137"/>
        <v>202503</v>
      </c>
      <c r="C561" s="412" t="str">
        <f t="shared" ca="1" si="138"/>
        <v>v1</v>
      </c>
      <c r="D561" s="413" t="str">
        <f ca="1">+D560</f>
        <v>06.01.01.</v>
      </c>
      <c r="E561" s="412">
        <f t="shared" si="139"/>
        <v>0</v>
      </c>
      <c r="F561" s="414">
        <f ca="1">OFFSET('Tabla III.2.'!$H$38,H561-1,I561-1)</f>
        <v>0</v>
      </c>
      <c r="G561" s="412" t="str">
        <f ca="1">OFFSET('Tabla III.2.'!$H$1,0,I561-1)</f>
        <v>05</v>
      </c>
      <c r="H561" s="111">
        <f>+H560</f>
        <v>2</v>
      </c>
      <c r="I561" s="111">
        <f>+I560+1</f>
        <v>5</v>
      </c>
      <c r="J561" s="111" t="str">
        <f ca="1">+'Tabla III.2.'!$C$9</f>
        <v>Tabla III.2.</v>
      </c>
      <c r="K561" s="111" t="str">
        <f>+K560</f>
        <v>B</v>
      </c>
      <c r="L561" s="412"/>
    </row>
    <row r="562" spans="1:12" s="415" customFormat="1">
      <c r="A562" s="412" t="s">
        <v>2944</v>
      </c>
      <c r="B562" s="412" t="str">
        <f t="shared" ca="1" si="137"/>
        <v>202503</v>
      </c>
      <c r="C562" s="412" t="str">
        <f t="shared" ca="1" si="138"/>
        <v>v1</v>
      </c>
      <c r="D562" s="413" t="str">
        <f ca="1">+D561</f>
        <v>06.01.01.</v>
      </c>
      <c r="E562" s="412">
        <f t="shared" si="139"/>
        <v>0</v>
      </c>
      <c r="F562" s="414">
        <f ca="1">OFFSET('Tabla III.2.'!$H$38,H562-1,I562-1)</f>
        <v>0</v>
      </c>
      <c r="G562" s="412" t="str">
        <f ca="1">OFFSET('Tabla III.2.'!$H$1,0,I562-1)</f>
        <v>06</v>
      </c>
      <c r="H562" s="111">
        <f>+H561</f>
        <v>2</v>
      </c>
      <c r="I562" s="111">
        <f>+I561+1</f>
        <v>6</v>
      </c>
      <c r="J562" s="111" t="str">
        <f ca="1">+'Tabla III.2.'!$C$9</f>
        <v>Tabla III.2.</v>
      </c>
      <c r="K562" s="111" t="str">
        <f>+K561</f>
        <v>B</v>
      </c>
      <c r="L562" s="412"/>
    </row>
    <row r="563" spans="1:12" s="112" customFormat="1">
      <c r="A563" s="107" t="s">
        <v>2944</v>
      </c>
      <c r="B563" s="107" t="str">
        <f t="shared" ca="1" si="137"/>
        <v>202502</v>
      </c>
      <c r="C563" s="107" t="str">
        <f t="shared" ca="1" si="138"/>
        <v>v2</v>
      </c>
      <c r="D563" s="399" t="str">
        <f ca="1">OFFSET('Tabla III.2.'!$F$38,H563-1,0)</f>
        <v>06.01.01.01.</v>
      </c>
      <c r="E563" s="107">
        <f t="shared" si="139"/>
        <v>0</v>
      </c>
      <c r="F563" s="108">
        <f ca="1">OFFSET('Tabla III.2.'!$H$38,H563-1,I563-1)</f>
        <v>0</v>
      </c>
      <c r="G563" s="107" t="str">
        <f ca="1">OFFSET('Tabla III.2.'!$H$1,0,I563-1)</f>
        <v>01</v>
      </c>
      <c r="H563" s="110">
        <f>+H557+1</f>
        <v>3</v>
      </c>
      <c r="I563" s="110">
        <v>1</v>
      </c>
      <c r="J563" s="110" t="str">
        <f ca="1">+'Tabla III.2.'!$C$9</f>
        <v>Tabla III.2.</v>
      </c>
      <c r="K563" s="110" t="s">
        <v>2267</v>
      </c>
      <c r="L563" s="107">
        <f>+L557+1</f>
        <v>3</v>
      </c>
    </row>
    <row r="564" spans="1:12" s="112" customFormat="1">
      <c r="A564" s="107" t="s">
        <v>2944</v>
      </c>
      <c r="B564" s="107" t="str">
        <f t="shared" ca="1" si="137"/>
        <v>202503</v>
      </c>
      <c r="C564" s="107" t="str">
        <f t="shared" ca="1" si="138"/>
        <v>v1</v>
      </c>
      <c r="D564" s="399" t="str">
        <f ca="1">+D563</f>
        <v>06.01.01.01.</v>
      </c>
      <c r="E564" s="107">
        <f t="shared" si="139"/>
        <v>0</v>
      </c>
      <c r="F564" s="108">
        <f ca="1">OFFSET('Tabla III.2.'!$H$38,H564-1,I564-1)</f>
        <v>0</v>
      </c>
      <c r="G564" s="107" t="str">
        <f ca="1">OFFSET('Tabla III.2.'!$H$1,0,I564-1)</f>
        <v>02</v>
      </c>
      <c r="H564" s="110">
        <f>+H563</f>
        <v>3</v>
      </c>
      <c r="I564" s="110">
        <f>+I563+1</f>
        <v>2</v>
      </c>
      <c r="J564" s="110" t="str">
        <f ca="1">+'Tabla III.2.'!$C$9</f>
        <v>Tabla III.2.</v>
      </c>
      <c r="K564" s="110" t="str">
        <f>+K563</f>
        <v>B</v>
      </c>
      <c r="L564" s="107"/>
    </row>
    <row r="565" spans="1:12" s="112" customFormat="1">
      <c r="A565" s="107" t="s">
        <v>2944</v>
      </c>
      <c r="B565" s="107" t="str">
        <f t="shared" ca="1" si="137"/>
        <v>202503</v>
      </c>
      <c r="C565" s="107" t="str">
        <f t="shared" ca="1" si="138"/>
        <v>v1</v>
      </c>
      <c r="D565" s="399" t="str">
        <f ca="1">+D564</f>
        <v>06.01.01.01.</v>
      </c>
      <c r="E565" s="107">
        <f t="shared" si="139"/>
        <v>0</v>
      </c>
      <c r="F565" s="108">
        <f ca="1">OFFSET('Tabla III.2.'!$H$38,H565-1,I565-1)</f>
        <v>0</v>
      </c>
      <c r="G565" s="107" t="str">
        <f ca="1">OFFSET('Tabla III.2.'!$H$1,0,I565-1)</f>
        <v>03</v>
      </c>
      <c r="H565" s="110">
        <f>+H564</f>
        <v>3</v>
      </c>
      <c r="I565" s="110">
        <f>+I564+1</f>
        <v>3</v>
      </c>
      <c r="J565" s="110" t="str">
        <f ca="1">+'Tabla III.2.'!$C$9</f>
        <v>Tabla III.2.</v>
      </c>
      <c r="K565" s="110" t="str">
        <f>+K564</f>
        <v>B</v>
      </c>
      <c r="L565" s="107"/>
    </row>
    <row r="566" spans="1:12" s="112" customFormat="1">
      <c r="A566" s="107" t="s">
        <v>2944</v>
      </c>
      <c r="B566" s="107" t="str">
        <f t="shared" ca="1" si="137"/>
        <v>202503</v>
      </c>
      <c r="C566" s="107" t="str">
        <f t="shared" ca="1" si="138"/>
        <v>v1</v>
      </c>
      <c r="D566" s="399" t="str">
        <f ca="1">+D565</f>
        <v>06.01.01.01.</v>
      </c>
      <c r="E566" s="107">
        <f t="shared" si="139"/>
        <v>0</v>
      </c>
      <c r="F566" s="108">
        <f ca="1">OFFSET('Tabla III.2.'!$H$38,H566-1,I566-1)</f>
        <v>0</v>
      </c>
      <c r="G566" s="107" t="str">
        <f ca="1">OFFSET('Tabla III.2.'!$H$1,0,I566-1)</f>
        <v>04</v>
      </c>
      <c r="H566" s="110">
        <f>+H565</f>
        <v>3</v>
      </c>
      <c r="I566" s="110">
        <f>+I565+1</f>
        <v>4</v>
      </c>
      <c r="J566" s="110" t="str">
        <f ca="1">+'Tabla III.2.'!$C$9</f>
        <v>Tabla III.2.</v>
      </c>
      <c r="K566" s="110" t="str">
        <f>+K565</f>
        <v>B</v>
      </c>
      <c r="L566" s="107"/>
    </row>
    <row r="567" spans="1:12" s="112" customFormat="1">
      <c r="A567" s="107" t="s">
        <v>2944</v>
      </c>
      <c r="B567" s="107" t="str">
        <f t="shared" ca="1" si="137"/>
        <v>202503</v>
      </c>
      <c r="C567" s="107" t="str">
        <f t="shared" ca="1" si="138"/>
        <v>v1</v>
      </c>
      <c r="D567" s="399" t="str">
        <f ca="1">+D566</f>
        <v>06.01.01.01.</v>
      </c>
      <c r="E567" s="107">
        <f t="shared" si="139"/>
        <v>0</v>
      </c>
      <c r="F567" s="108">
        <f ca="1">OFFSET('Tabla III.2.'!$H$38,H567-1,I567-1)</f>
        <v>0</v>
      </c>
      <c r="G567" s="107" t="str">
        <f ca="1">OFFSET('Tabla III.2.'!$H$1,0,I567-1)</f>
        <v>05</v>
      </c>
      <c r="H567" s="110">
        <f>+H566</f>
        <v>3</v>
      </c>
      <c r="I567" s="110">
        <f>+I566+1</f>
        <v>5</v>
      </c>
      <c r="J567" s="110" t="str">
        <f ca="1">+'Tabla III.2.'!$C$9</f>
        <v>Tabla III.2.</v>
      </c>
      <c r="K567" s="110" t="str">
        <f>+K566</f>
        <v>B</v>
      </c>
      <c r="L567" s="107"/>
    </row>
    <row r="568" spans="1:12" s="112" customFormat="1">
      <c r="A568" s="107" t="s">
        <v>2944</v>
      </c>
      <c r="B568" s="107" t="str">
        <f t="shared" ca="1" si="137"/>
        <v>202503</v>
      </c>
      <c r="C568" s="107" t="str">
        <f t="shared" ca="1" si="138"/>
        <v>v1</v>
      </c>
      <c r="D568" s="399" t="str">
        <f ca="1">+D567</f>
        <v>06.01.01.01.</v>
      </c>
      <c r="E568" s="107">
        <f t="shared" si="139"/>
        <v>0</v>
      </c>
      <c r="F568" s="108">
        <f ca="1">OFFSET('Tabla III.2.'!$H$38,H568-1,I568-1)</f>
        <v>0</v>
      </c>
      <c r="G568" s="107" t="str">
        <f ca="1">OFFSET('Tabla III.2.'!$H$1,0,I568-1)</f>
        <v>06</v>
      </c>
      <c r="H568" s="110">
        <f>+H567</f>
        <v>3</v>
      </c>
      <c r="I568" s="110">
        <f>+I567+1</f>
        <v>6</v>
      </c>
      <c r="J568" s="110" t="str">
        <f ca="1">+'Tabla III.2.'!$C$9</f>
        <v>Tabla III.2.</v>
      </c>
      <c r="K568" s="110" t="str">
        <f>+K567</f>
        <v>B</v>
      </c>
      <c r="L568" s="107"/>
    </row>
    <row r="569" spans="1:12" s="415" customFormat="1">
      <c r="A569" s="412" t="s">
        <v>2944</v>
      </c>
      <c r="B569" s="412" t="str">
        <f t="shared" ca="1" si="137"/>
        <v>202502</v>
      </c>
      <c r="C569" s="412" t="str">
        <f t="shared" ca="1" si="138"/>
        <v>v2</v>
      </c>
      <c r="D569" s="413" t="str">
        <f ca="1">OFFSET('Tabla III.2.'!$F$38,H569-1,0)</f>
        <v>06.01.01.02.</v>
      </c>
      <c r="E569" s="412">
        <f t="shared" si="139"/>
        <v>0</v>
      </c>
      <c r="F569" s="414">
        <f ca="1">OFFSET('Tabla III.2.'!$H$38,H569-1,I569-1)</f>
        <v>0</v>
      </c>
      <c r="G569" s="412" t="str">
        <f ca="1">OFFSET('Tabla III.2.'!$H$1,0,I569-1)</f>
        <v>01</v>
      </c>
      <c r="H569" s="111">
        <f>+H563+1</f>
        <v>4</v>
      </c>
      <c r="I569" s="111">
        <v>1</v>
      </c>
      <c r="J569" s="111" t="str">
        <f ca="1">+'Tabla III.2.'!$C$9</f>
        <v>Tabla III.2.</v>
      </c>
      <c r="K569" s="111" t="s">
        <v>2267</v>
      </c>
      <c r="L569" s="412">
        <f>+L563+1</f>
        <v>4</v>
      </c>
    </row>
    <row r="570" spans="1:12" s="415" customFormat="1">
      <c r="A570" s="412" t="s">
        <v>2944</v>
      </c>
      <c r="B570" s="412" t="str">
        <f t="shared" ca="1" si="137"/>
        <v>202503</v>
      </c>
      <c r="C570" s="412" t="str">
        <f t="shared" ca="1" si="138"/>
        <v>v1</v>
      </c>
      <c r="D570" s="413" t="str">
        <f ca="1">+D569</f>
        <v>06.01.01.02.</v>
      </c>
      <c r="E570" s="412">
        <f t="shared" si="139"/>
        <v>0</v>
      </c>
      <c r="F570" s="414">
        <f ca="1">OFFSET('Tabla III.2.'!$H$38,H570-1,I570-1)</f>
        <v>0</v>
      </c>
      <c r="G570" s="412" t="str">
        <f ca="1">OFFSET('Tabla III.2.'!$H$1,0,I570-1)</f>
        <v>02</v>
      </c>
      <c r="H570" s="111">
        <f>+H569</f>
        <v>4</v>
      </c>
      <c r="I570" s="111">
        <f>+I569+1</f>
        <v>2</v>
      </c>
      <c r="J570" s="111" t="str">
        <f ca="1">+'Tabla III.2.'!$C$9</f>
        <v>Tabla III.2.</v>
      </c>
      <c r="K570" s="111" t="str">
        <f>+K569</f>
        <v>B</v>
      </c>
      <c r="L570" s="412"/>
    </row>
    <row r="571" spans="1:12" s="415" customFormat="1">
      <c r="A571" s="412" t="s">
        <v>2944</v>
      </c>
      <c r="B571" s="412" t="str">
        <f t="shared" ca="1" si="137"/>
        <v>202503</v>
      </c>
      <c r="C571" s="412" t="str">
        <f t="shared" ca="1" si="138"/>
        <v>v1</v>
      </c>
      <c r="D571" s="413" t="str">
        <f ca="1">+D570</f>
        <v>06.01.01.02.</v>
      </c>
      <c r="E571" s="412">
        <f t="shared" si="139"/>
        <v>0</v>
      </c>
      <c r="F571" s="414">
        <f ca="1">OFFSET('Tabla III.2.'!$H$38,H571-1,I571-1)</f>
        <v>0</v>
      </c>
      <c r="G571" s="412" t="str">
        <f ca="1">OFFSET('Tabla III.2.'!$H$1,0,I571-1)</f>
        <v>03</v>
      </c>
      <c r="H571" s="111">
        <f>+H570</f>
        <v>4</v>
      </c>
      <c r="I571" s="111">
        <f>+I570+1</f>
        <v>3</v>
      </c>
      <c r="J571" s="111" t="str">
        <f ca="1">+'Tabla III.2.'!$C$9</f>
        <v>Tabla III.2.</v>
      </c>
      <c r="K571" s="111" t="str">
        <f>+K570</f>
        <v>B</v>
      </c>
      <c r="L571" s="412"/>
    </row>
    <row r="572" spans="1:12" s="415" customFormat="1">
      <c r="A572" s="412" t="s">
        <v>2944</v>
      </c>
      <c r="B572" s="412" t="str">
        <f t="shared" ca="1" si="137"/>
        <v>202503</v>
      </c>
      <c r="C572" s="412" t="str">
        <f t="shared" ca="1" si="138"/>
        <v>v1</v>
      </c>
      <c r="D572" s="413" t="str">
        <f ca="1">+D571</f>
        <v>06.01.01.02.</v>
      </c>
      <c r="E572" s="412">
        <f t="shared" si="139"/>
        <v>0</v>
      </c>
      <c r="F572" s="414">
        <f ca="1">OFFSET('Tabla III.2.'!$H$38,H572-1,I572-1)</f>
        <v>0</v>
      </c>
      <c r="G572" s="412" t="str">
        <f ca="1">OFFSET('Tabla III.2.'!$H$1,0,I572-1)</f>
        <v>04</v>
      </c>
      <c r="H572" s="111">
        <f>+H571</f>
        <v>4</v>
      </c>
      <c r="I572" s="111">
        <f>+I571+1</f>
        <v>4</v>
      </c>
      <c r="J572" s="111" t="str">
        <f ca="1">+'Tabla III.2.'!$C$9</f>
        <v>Tabla III.2.</v>
      </c>
      <c r="K572" s="111" t="str">
        <f>+K571</f>
        <v>B</v>
      </c>
      <c r="L572" s="412"/>
    </row>
    <row r="573" spans="1:12" s="415" customFormat="1">
      <c r="A573" s="412" t="s">
        <v>2944</v>
      </c>
      <c r="B573" s="412" t="str">
        <f t="shared" ca="1" si="137"/>
        <v>202503</v>
      </c>
      <c r="C573" s="412" t="str">
        <f t="shared" ca="1" si="138"/>
        <v>v1</v>
      </c>
      <c r="D573" s="413" t="str">
        <f ca="1">+D572</f>
        <v>06.01.01.02.</v>
      </c>
      <c r="E573" s="412">
        <f t="shared" si="139"/>
        <v>0</v>
      </c>
      <c r="F573" s="414">
        <f ca="1">OFFSET('Tabla III.2.'!$H$38,H573-1,I573-1)</f>
        <v>0</v>
      </c>
      <c r="G573" s="412" t="str">
        <f ca="1">OFFSET('Tabla III.2.'!$H$1,0,I573-1)</f>
        <v>05</v>
      </c>
      <c r="H573" s="111">
        <f>+H572</f>
        <v>4</v>
      </c>
      <c r="I573" s="111">
        <f>+I572+1</f>
        <v>5</v>
      </c>
      <c r="J573" s="111" t="str">
        <f ca="1">+'Tabla III.2.'!$C$9</f>
        <v>Tabla III.2.</v>
      </c>
      <c r="K573" s="111" t="str">
        <f>+K572</f>
        <v>B</v>
      </c>
      <c r="L573" s="412"/>
    </row>
    <row r="574" spans="1:12" s="415" customFormat="1">
      <c r="A574" s="412" t="s">
        <v>2944</v>
      </c>
      <c r="B574" s="412" t="str">
        <f t="shared" ca="1" si="137"/>
        <v>202503</v>
      </c>
      <c r="C574" s="412" t="str">
        <f t="shared" ca="1" si="138"/>
        <v>v1</v>
      </c>
      <c r="D574" s="413" t="str">
        <f ca="1">+D573</f>
        <v>06.01.01.02.</v>
      </c>
      <c r="E574" s="412">
        <f t="shared" si="139"/>
        <v>0</v>
      </c>
      <c r="F574" s="414">
        <f ca="1">OFFSET('Tabla III.2.'!$H$38,H574-1,I574-1)</f>
        <v>0</v>
      </c>
      <c r="G574" s="412" t="str">
        <f ca="1">OFFSET('Tabla III.2.'!$H$1,0,I574-1)</f>
        <v>06</v>
      </c>
      <c r="H574" s="111">
        <f>+H573</f>
        <v>4</v>
      </c>
      <c r="I574" s="111">
        <f>+I573+1</f>
        <v>6</v>
      </c>
      <c r="J574" s="111" t="str">
        <f ca="1">+'Tabla III.2.'!$C$9</f>
        <v>Tabla III.2.</v>
      </c>
      <c r="K574" s="111" t="str">
        <f>+K573</f>
        <v>B</v>
      </c>
      <c r="L574" s="412"/>
    </row>
    <row r="575" spans="1:12" s="112" customFormat="1">
      <c r="A575" s="107" t="s">
        <v>2944</v>
      </c>
      <c r="B575" s="107" t="str">
        <f t="shared" ca="1" si="137"/>
        <v>202502</v>
      </c>
      <c r="C575" s="107" t="str">
        <f t="shared" ca="1" si="138"/>
        <v>v2</v>
      </c>
      <c r="D575" s="399" t="str">
        <f ca="1">OFFSET('Tabla III.2.'!$F$38,H575-1,0)</f>
        <v>06.01.02.</v>
      </c>
      <c r="E575" s="107">
        <f t="shared" si="139"/>
        <v>0</v>
      </c>
      <c r="F575" s="108">
        <f ca="1">OFFSET('Tabla III.2.'!$H$38,H575-1,I575-1)</f>
        <v>0</v>
      </c>
      <c r="G575" s="107" t="str">
        <f ca="1">OFFSET('Tabla III.2.'!$H$1,0,I575-1)</f>
        <v>01</v>
      </c>
      <c r="H575" s="110">
        <f>+H569+1</f>
        <v>5</v>
      </c>
      <c r="I575" s="110">
        <v>1</v>
      </c>
      <c r="J575" s="110" t="str">
        <f ca="1">+'Tabla III.2.'!$C$9</f>
        <v>Tabla III.2.</v>
      </c>
      <c r="K575" s="110" t="s">
        <v>2267</v>
      </c>
      <c r="L575" s="107">
        <f>+L569+1</f>
        <v>5</v>
      </c>
    </row>
    <row r="576" spans="1:12" s="112" customFormat="1">
      <c r="A576" s="107" t="s">
        <v>2944</v>
      </c>
      <c r="B576" s="107" t="str">
        <f t="shared" ca="1" si="137"/>
        <v>202503</v>
      </c>
      <c r="C576" s="107" t="str">
        <f t="shared" ca="1" si="138"/>
        <v>v1</v>
      </c>
      <c r="D576" s="399" t="str">
        <f ca="1">+D575</f>
        <v>06.01.02.</v>
      </c>
      <c r="E576" s="107">
        <f t="shared" si="139"/>
        <v>0</v>
      </c>
      <c r="F576" s="108">
        <f ca="1">OFFSET('Tabla III.2.'!$H$38,H576-1,I576-1)</f>
        <v>0</v>
      </c>
      <c r="G576" s="107" t="str">
        <f ca="1">OFFSET('Tabla III.2.'!$H$1,0,I576-1)</f>
        <v>02</v>
      </c>
      <c r="H576" s="110">
        <f>+H575</f>
        <v>5</v>
      </c>
      <c r="I576" s="110">
        <f>+I575+1</f>
        <v>2</v>
      </c>
      <c r="J576" s="110" t="str">
        <f ca="1">+'Tabla III.2.'!$C$9</f>
        <v>Tabla III.2.</v>
      </c>
      <c r="K576" s="110" t="str">
        <f>+K575</f>
        <v>B</v>
      </c>
      <c r="L576" s="107"/>
    </row>
    <row r="577" spans="1:12" s="112" customFormat="1">
      <c r="A577" s="107" t="s">
        <v>2944</v>
      </c>
      <c r="B577" s="107" t="str">
        <f t="shared" ca="1" si="137"/>
        <v>202503</v>
      </c>
      <c r="C577" s="107" t="str">
        <f t="shared" ca="1" si="138"/>
        <v>v1</v>
      </c>
      <c r="D577" s="399" t="str">
        <f ca="1">+D576</f>
        <v>06.01.02.</v>
      </c>
      <c r="E577" s="107">
        <f t="shared" si="139"/>
        <v>0</v>
      </c>
      <c r="F577" s="108">
        <f ca="1">OFFSET('Tabla III.2.'!$H$38,H577-1,I577-1)</f>
        <v>0</v>
      </c>
      <c r="G577" s="107" t="str">
        <f ca="1">OFFSET('Tabla III.2.'!$H$1,0,I577-1)</f>
        <v>03</v>
      </c>
      <c r="H577" s="110">
        <f>+H576</f>
        <v>5</v>
      </c>
      <c r="I577" s="110">
        <f>+I576+1</f>
        <v>3</v>
      </c>
      <c r="J577" s="110" t="str">
        <f ca="1">+'Tabla III.2.'!$C$9</f>
        <v>Tabla III.2.</v>
      </c>
      <c r="K577" s="110" t="str">
        <f>+K576</f>
        <v>B</v>
      </c>
      <c r="L577" s="107"/>
    </row>
    <row r="578" spans="1:12" s="112" customFormat="1">
      <c r="A578" s="107" t="s">
        <v>2944</v>
      </c>
      <c r="B578" s="107" t="str">
        <f t="shared" ref="B578:B641" ca="1" si="140">IF(G578="01",(IF(TRIM&gt;1,CONCATENATE(ANUAL,"0",TRIM-1),CONCATENATE(ANUAL-1,"04"))),PERIODO)</f>
        <v>202503</v>
      </c>
      <c r="C578" s="107" t="str">
        <f t="shared" ca="1" si="138"/>
        <v>v1</v>
      </c>
      <c r="D578" s="399" t="str">
        <f ca="1">+D577</f>
        <v>06.01.02.</v>
      </c>
      <c r="E578" s="107">
        <f t="shared" si="139"/>
        <v>0</v>
      </c>
      <c r="F578" s="108">
        <f ca="1">OFFSET('Tabla III.2.'!$H$38,H578-1,I578-1)</f>
        <v>0</v>
      </c>
      <c r="G578" s="107" t="str">
        <f ca="1">OFFSET('Tabla III.2.'!$H$1,0,I578-1)</f>
        <v>04</v>
      </c>
      <c r="H578" s="110">
        <f>+H577</f>
        <v>5</v>
      </c>
      <c r="I578" s="110">
        <f>+I577+1</f>
        <v>4</v>
      </c>
      <c r="J578" s="110" t="str">
        <f ca="1">+'Tabla III.2.'!$C$9</f>
        <v>Tabla III.2.</v>
      </c>
      <c r="K578" s="110" t="str">
        <f>+K577</f>
        <v>B</v>
      </c>
      <c r="L578" s="107"/>
    </row>
    <row r="579" spans="1:12" s="112" customFormat="1">
      <c r="A579" s="107" t="s">
        <v>2944</v>
      </c>
      <c r="B579" s="107" t="str">
        <f t="shared" ca="1" si="140"/>
        <v>202503</v>
      </c>
      <c r="C579" s="107" t="str">
        <f t="shared" ca="1" si="138"/>
        <v>v1</v>
      </c>
      <c r="D579" s="399" t="str">
        <f ca="1">+D578</f>
        <v>06.01.02.</v>
      </c>
      <c r="E579" s="107">
        <f t="shared" si="139"/>
        <v>0</v>
      </c>
      <c r="F579" s="108">
        <f ca="1">OFFSET('Tabla III.2.'!$H$38,H579-1,I579-1)</f>
        <v>0</v>
      </c>
      <c r="G579" s="107" t="str">
        <f ca="1">OFFSET('Tabla III.2.'!$H$1,0,I579-1)</f>
        <v>05</v>
      </c>
      <c r="H579" s="110">
        <f>+H578</f>
        <v>5</v>
      </c>
      <c r="I579" s="110">
        <f>+I578+1</f>
        <v>5</v>
      </c>
      <c r="J579" s="110" t="str">
        <f ca="1">+'Tabla III.2.'!$C$9</f>
        <v>Tabla III.2.</v>
      </c>
      <c r="K579" s="110" t="str">
        <f>+K578</f>
        <v>B</v>
      </c>
      <c r="L579" s="107"/>
    </row>
    <row r="580" spans="1:12" s="112" customFormat="1">
      <c r="A580" s="107" t="s">
        <v>2944</v>
      </c>
      <c r="B580" s="107" t="str">
        <f t="shared" ca="1" si="140"/>
        <v>202503</v>
      </c>
      <c r="C580" s="107" t="str">
        <f t="shared" ca="1" si="138"/>
        <v>v1</v>
      </c>
      <c r="D580" s="399" t="str">
        <f ca="1">+D579</f>
        <v>06.01.02.</v>
      </c>
      <c r="E580" s="107">
        <f t="shared" si="139"/>
        <v>0</v>
      </c>
      <c r="F580" s="108">
        <f ca="1">OFFSET('Tabla III.2.'!$H$38,H580-1,I580-1)</f>
        <v>0</v>
      </c>
      <c r="G580" s="107" t="str">
        <f ca="1">OFFSET('Tabla III.2.'!$H$1,0,I580-1)</f>
        <v>06</v>
      </c>
      <c r="H580" s="110">
        <f>+H579</f>
        <v>5</v>
      </c>
      <c r="I580" s="110">
        <f>+I579+1</f>
        <v>6</v>
      </c>
      <c r="J580" s="110" t="str">
        <f ca="1">+'Tabla III.2.'!$C$9</f>
        <v>Tabla III.2.</v>
      </c>
      <c r="K580" s="110" t="str">
        <f>+K579</f>
        <v>B</v>
      </c>
      <c r="L580" s="107"/>
    </row>
    <row r="581" spans="1:12" s="415" customFormat="1">
      <c r="A581" s="412" t="s">
        <v>2944</v>
      </c>
      <c r="B581" s="412" t="str">
        <f t="shared" ca="1" si="140"/>
        <v>202502</v>
      </c>
      <c r="C581" s="412" t="str">
        <f t="shared" ca="1" si="138"/>
        <v>v2</v>
      </c>
      <c r="D581" s="413" t="str">
        <f ca="1">OFFSET('Tabla III.2.'!$F$38,H581-1,0)</f>
        <v>06.01.02.01.</v>
      </c>
      <c r="E581" s="412">
        <f t="shared" si="139"/>
        <v>0</v>
      </c>
      <c r="F581" s="414">
        <f ca="1">OFFSET('Tabla III.2.'!$H$38,H581-1,I581-1)</f>
        <v>0</v>
      </c>
      <c r="G581" s="412" t="str">
        <f ca="1">OFFSET('Tabla III.2.'!$H$1,0,I581-1)</f>
        <v>01</v>
      </c>
      <c r="H581" s="111">
        <f>+H575+1</f>
        <v>6</v>
      </c>
      <c r="I581" s="111">
        <v>1</v>
      </c>
      <c r="J581" s="111" t="str">
        <f ca="1">+'Tabla III.2.'!$C$9</f>
        <v>Tabla III.2.</v>
      </c>
      <c r="K581" s="111" t="s">
        <v>2267</v>
      </c>
      <c r="L581" s="412">
        <f>+L575+1</f>
        <v>6</v>
      </c>
    </row>
    <row r="582" spans="1:12" s="415" customFormat="1">
      <c r="A582" s="412" t="s">
        <v>2944</v>
      </c>
      <c r="B582" s="412" t="str">
        <f t="shared" ca="1" si="140"/>
        <v>202503</v>
      </c>
      <c r="C582" s="412" t="str">
        <f t="shared" ca="1" si="138"/>
        <v>v1</v>
      </c>
      <c r="D582" s="413" t="str">
        <f ca="1">+D581</f>
        <v>06.01.02.01.</v>
      </c>
      <c r="E582" s="412">
        <f t="shared" si="139"/>
        <v>0</v>
      </c>
      <c r="F582" s="414">
        <f ca="1">OFFSET('Tabla III.2.'!$H$38,H582-1,I582-1)</f>
        <v>0</v>
      </c>
      <c r="G582" s="412" t="str">
        <f ca="1">OFFSET('Tabla III.2.'!$H$1,0,I582-1)</f>
        <v>02</v>
      </c>
      <c r="H582" s="111">
        <f>+H581</f>
        <v>6</v>
      </c>
      <c r="I582" s="111">
        <f>+I581+1</f>
        <v>2</v>
      </c>
      <c r="J582" s="111" t="str">
        <f ca="1">+'Tabla III.2.'!$C$9</f>
        <v>Tabla III.2.</v>
      </c>
      <c r="K582" s="111" t="str">
        <f>+K581</f>
        <v>B</v>
      </c>
      <c r="L582" s="412"/>
    </row>
    <row r="583" spans="1:12" s="415" customFormat="1">
      <c r="A583" s="412" t="s">
        <v>2944</v>
      </c>
      <c r="B583" s="412" t="str">
        <f t="shared" ca="1" si="140"/>
        <v>202503</v>
      </c>
      <c r="C583" s="412" t="str">
        <f t="shared" ca="1" si="138"/>
        <v>v1</v>
      </c>
      <c r="D583" s="413" t="str">
        <f ca="1">+D582</f>
        <v>06.01.02.01.</v>
      </c>
      <c r="E583" s="412">
        <f t="shared" si="139"/>
        <v>0</v>
      </c>
      <c r="F583" s="414">
        <f ca="1">OFFSET('Tabla III.2.'!$H$38,H583-1,I583-1)</f>
        <v>0</v>
      </c>
      <c r="G583" s="412" t="str">
        <f ca="1">OFFSET('Tabla III.2.'!$H$1,0,I583-1)</f>
        <v>03</v>
      </c>
      <c r="H583" s="111">
        <f>+H582</f>
        <v>6</v>
      </c>
      <c r="I583" s="111">
        <f>+I582+1</f>
        <v>3</v>
      </c>
      <c r="J583" s="111" t="str">
        <f ca="1">+'Tabla III.2.'!$C$9</f>
        <v>Tabla III.2.</v>
      </c>
      <c r="K583" s="111" t="str">
        <f>+K582</f>
        <v>B</v>
      </c>
      <c r="L583" s="412"/>
    </row>
    <row r="584" spans="1:12" s="415" customFormat="1">
      <c r="A584" s="412" t="s">
        <v>2944</v>
      </c>
      <c r="B584" s="412" t="str">
        <f t="shared" ca="1" si="140"/>
        <v>202503</v>
      </c>
      <c r="C584" s="412" t="str">
        <f t="shared" ca="1" si="138"/>
        <v>v1</v>
      </c>
      <c r="D584" s="413" t="str">
        <f ca="1">+D583</f>
        <v>06.01.02.01.</v>
      </c>
      <c r="E584" s="412">
        <f t="shared" si="139"/>
        <v>0</v>
      </c>
      <c r="F584" s="414">
        <f ca="1">OFFSET('Tabla III.2.'!$H$38,H584-1,I584-1)</f>
        <v>0</v>
      </c>
      <c r="G584" s="412" t="str">
        <f ca="1">OFFSET('Tabla III.2.'!$H$1,0,I584-1)</f>
        <v>04</v>
      </c>
      <c r="H584" s="111">
        <f>+H583</f>
        <v>6</v>
      </c>
      <c r="I584" s="111">
        <f>+I583+1</f>
        <v>4</v>
      </c>
      <c r="J584" s="111" t="str">
        <f ca="1">+'Tabla III.2.'!$C$9</f>
        <v>Tabla III.2.</v>
      </c>
      <c r="K584" s="111" t="str">
        <f>+K583</f>
        <v>B</v>
      </c>
      <c r="L584" s="412"/>
    </row>
    <row r="585" spans="1:12" s="415" customFormat="1">
      <c r="A585" s="412" t="s">
        <v>2944</v>
      </c>
      <c r="B585" s="412" t="str">
        <f t="shared" ca="1" si="140"/>
        <v>202503</v>
      </c>
      <c r="C585" s="412" t="str">
        <f t="shared" ca="1" si="138"/>
        <v>v1</v>
      </c>
      <c r="D585" s="413" t="str">
        <f ca="1">+D584</f>
        <v>06.01.02.01.</v>
      </c>
      <c r="E585" s="412">
        <f t="shared" si="139"/>
        <v>0</v>
      </c>
      <c r="F585" s="414">
        <f ca="1">OFFSET('Tabla III.2.'!$H$38,H585-1,I585-1)</f>
        <v>0</v>
      </c>
      <c r="G585" s="412" t="str">
        <f ca="1">OFFSET('Tabla III.2.'!$H$1,0,I585-1)</f>
        <v>05</v>
      </c>
      <c r="H585" s="111">
        <f>+H584</f>
        <v>6</v>
      </c>
      <c r="I585" s="111">
        <f>+I584+1</f>
        <v>5</v>
      </c>
      <c r="J585" s="111" t="str">
        <f ca="1">+'Tabla III.2.'!$C$9</f>
        <v>Tabla III.2.</v>
      </c>
      <c r="K585" s="111" t="str">
        <f>+K584</f>
        <v>B</v>
      </c>
      <c r="L585" s="412"/>
    </row>
    <row r="586" spans="1:12" s="415" customFormat="1">
      <c r="A586" s="412" t="s">
        <v>2944</v>
      </c>
      <c r="B586" s="412" t="str">
        <f t="shared" ca="1" si="140"/>
        <v>202503</v>
      </c>
      <c r="C586" s="412" t="str">
        <f t="shared" ca="1" si="138"/>
        <v>v1</v>
      </c>
      <c r="D586" s="413" t="str">
        <f ca="1">+D585</f>
        <v>06.01.02.01.</v>
      </c>
      <c r="E586" s="412">
        <f t="shared" si="139"/>
        <v>0</v>
      </c>
      <c r="F586" s="414">
        <f ca="1">OFFSET('Tabla III.2.'!$H$38,H586-1,I586-1)</f>
        <v>0</v>
      </c>
      <c r="G586" s="412" t="str">
        <f ca="1">OFFSET('Tabla III.2.'!$H$1,0,I586-1)</f>
        <v>06</v>
      </c>
      <c r="H586" s="111">
        <f>+H585</f>
        <v>6</v>
      </c>
      <c r="I586" s="111">
        <f>+I585+1</f>
        <v>6</v>
      </c>
      <c r="J586" s="111" t="str">
        <f ca="1">+'Tabla III.2.'!$C$9</f>
        <v>Tabla III.2.</v>
      </c>
      <c r="K586" s="111" t="str">
        <f>+K585</f>
        <v>B</v>
      </c>
      <c r="L586" s="412"/>
    </row>
    <row r="587" spans="1:12" s="112" customFormat="1">
      <c r="A587" s="107" t="s">
        <v>2944</v>
      </c>
      <c r="B587" s="107" t="str">
        <f t="shared" ca="1" si="140"/>
        <v>202502</v>
      </c>
      <c r="C587" s="107" t="str">
        <f t="shared" ca="1" si="138"/>
        <v>v2</v>
      </c>
      <c r="D587" s="399" t="str">
        <f ca="1">OFFSET('Tabla III.2.'!$F$38,H587-1,0)</f>
        <v>06.01.02.02.</v>
      </c>
      <c r="E587" s="107">
        <f t="shared" si="139"/>
        <v>0</v>
      </c>
      <c r="F587" s="108">
        <f ca="1">OFFSET('Tabla III.2.'!$H$38,H587-1,I587-1)</f>
        <v>0</v>
      </c>
      <c r="G587" s="107" t="str">
        <f ca="1">OFFSET('Tabla III.2.'!$H$1,0,I587-1)</f>
        <v>01</v>
      </c>
      <c r="H587" s="110">
        <f>+H581+1</f>
        <v>7</v>
      </c>
      <c r="I587" s="110">
        <v>1</v>
      </c>
      <c r="J587" s="110" t="str">
        <f ca="1">+'Tabla III.2.'!$C$9</f>
        <v>Tabla III.2.</v>
      </c>
      <c r="K587" s="110" t="s">
        <v>2267</v>
      </c>
      <c r="L587" s="107">
        <f>+L581+1</f>
        <v>7</v>
      </c>
    </row>
    <row r="588" spans="1:12" s="112" customFormat="1">
      <c r="A588" s="107" t="s">
        <v>2944</v>
      </c>
      <c r="B588" s="107" t="str">
        <f t="shared" ca="1" si="140"/>
        <v>202503</v>
      </c>
      <c r="C588" s="107" t="str">
        <f t="shared" ca="1" si="138"/>
        <v>v1</v>
      </c>
      <c r="D588" s="399" t="str">
        <f ca="1">+D587</f>
        <v>06.01.02.02.</v>
      </c>
      <c r="E588" s="107">
        <f t="shared" si="139"/>
        <v>0</v>
      </c>
      <c r="F588" s="108">
        <f ca="1">OFFSET('Tabla III.2.'!$H$38,H588-1,I588-1)</f>
        <v>0</v>
      </c>
      <c r="G588" s="107" t="str">
        <f ca="1">OFFSET('Tabla III.2.'!$H$1,0,I588-1)</f>
        <v>02</v>
      </c>
      <c r="H588" s="110">
        <f>+H587</f>
        <v>7</v>
      </c>
      <c r="I588" s="110">
        <f>+I587+1</f>
        <v>2</v>
      </c>
      <c r="J588" s="110" t="str">
        <f ca="1">+'Tabla III.2.'!$C$9</f>
        <v>Tabla III.2.</v>
      </c>
      <c r="K588" s="110" t="str">
        <f>+K587</f>
        <v>B</v>
      </c>
      <c r="L588" s="107"/>
    </row>
    <row r="589" spans="1:12" s="112" customFormat="1">
      <c r="A589" s="107" t="s">
        <v>2944</v>
      </c>
      <c r="B589" s="107" t="str">
        <f t="shared" ca="1" si="140"/>
        <v>202503</v>
      </c>
      <c r="C589" s="107" t="str">
        <f t="shared" ca="1" si="138"/>
        <v>v1</v>
      </c>
      <c r="D589" s="399" t="str">
        <f ca="1">+D588</f>
        <v>06.01.02.02.</v>
      </c>
      <c r="E589" s="107">
        <f t="shared" si="139"/>
        <v>0</v>
      </c>
      <c r="F589" s="108">
        <f ca="1">OFFSET('Tabla III.2.'!$H$38,H589-1,I589-1)</f>
        <v>0</v>
      </c>
      <c r="G589" s="107" t="str">
        <f ca="1">OFFSET('Tabla III.2.'!$H$1,0,I589-1)</f>
        <v>03</v>
      </c>
      <c r="H589" s="110">
        <f>+H588</f>
        <v>7</v>
      </c>
      <c r="I589" s="110">
        <f>+I588+1</f>
        <v>3</v>
      </c>
      <c r="J589" s="110" t="str">
        <f ca="1">+'Tabla III.2.'!$C$9</f>
        <v>Tabla III.2.</v>
      </c>
      <c r="K589" s="110" t="str">
        <f>+K588</f>
        <v>B</v>
      </c>
      <c r="L589" s="107"/>
    </row>
    <row r="590" spans="1:12" s="112" customFormat="1">
      <c r="A590" s="107" t="s">
        <v>2944</v>
      </c>
      <c r="B590" s="107" t="str">
        <f t="shared" ca="1" si="140"/>
        <v>202503</v>
      </c>
      <c r="C590" s="107" t="str">
        <f t="shared" ca="1" si="138"/>
        <v>v1</v>
      </c>
      <c r="D590" s="399" t="str">
        <f ca="1">+D589</f>
        <v>06.01.02.02.</v>
      </c>
      <c r="E590" s="107">
        <f t="shared" si="139"/>
        <v>0</v>
      </c>
      <c r="F590" s="108">
        <f ca="1">OFFSET('Tabla III.2.'!$H$38,H590-1,I590-1)</f>
        <v>0</v>
      </c>
      <c r="G590" s="107" t="str">
        <f ca="1">OFFSET('Tabla III.2.'!$H$1,0,I590-1)</f>
        <v>04</v>
      </c>
      <c r="H590" s="110">
        <f>+H589</f>
        <v>7</v>
      </c>
      <c r="I590" s="110">
        <f>+I589+1</f>
        <v>4</v>
      </c>
      <c r="J590" s="110" t="str">
        <f ca="1">+'Tabla III.2.'!$C$9</f>
        <v>Tabla III.2.</v>
      </c>
      <c r="K590" s="110" t="str">
        <f>+K589</f>
        <v>B</v>
      </c>
      <c r="L590" s="107"/>
    </row>
    <row r="591" spans="1:12" s="112" customFormat="1">
      <c r="A591" s="107" t="s">
        <v>2944</v>
      </c>
      <c r="B591" s="107" t="str">
        <f t="shared" ca="1" si="140"/>
        <v>202503</v>
      </c>
      <c r="C591" s="107" t="str">
        <f t="shared" ca="1" si="138"/>
        <v>v1</v>
      </c>
      <c r="D591" s="399" t="str">
        <f ca="1">+D590</f>
        <v>06.01.02.02.</v>
      </c>
      <c r="E591" s="107">
        <f t="shared" si="139"/>
        <v>0</v>
      </c>
      <c r="F591" s="108">
        <f ca="1">OFFSET('Tabla III.2.'!$H$38,H591-1,I591-1)</f>
        <v>0</v>
      </c>
      <c r="G591" s="107" t="str">
        <f ca="1">OFFSET('Tabla III.2.'!$H$1,0,I591-1)</f>
        <v>05</v>
      </c>
      <c r="H591" s="110">
        <f>+H590</f>
        <v>7</v>
      </c>
      <c r="I591" s="110">
        <f>+I590+1</f>
        <v>5</v>
      </c>
      <c r="J591" s="110" t="str">
        <f ca="1">+'Tabla III.2.'!$C$9</f>
        <v>Tabla III.2.</v>
      </c>
      <c r="K591" s="110" t="str">
        <f>+K590</f>
        <v>B</v>
      </c>
      <c r="L591" s="107"/>
    </row>
    <row r="592" spans="1:12" s="112" customFormat="1">
      <c r="A592" s="107" t="s">
        <v>2944</v>
      </c>
      <c r="B592" s="107" t="str">
        <f t="shared" ca="1" si="140"/>
        <v>202503</v>
      </c>
      <c r="C592" s="107" t="str">
        <f t="shared" ca="1" si="138"/>
        <v>v1</v>
      </c>
      <c r="D592" s="399" t="str">
        <f ca="1">+D591</f>
        <v>06.01.02.02.</v>
      </c>
      <c r="E592" s="107">
        <f t="shared" si="139"/>
        <v>0</v>
      </c>
      <c r="F592" s="108">
        <f ca="1">OFFSET('Tabla III.2.'!$H$38,H592-1,I592-1)</f>
        <v>0</v>
      </c>
      <c r="G592" s="107" t="str">
        <f ca="1">OFFSET('Tabla III.2.'!$H$1,0,I592-1)</f>
        <v>06</v>
      </c>
      <c r="H592" s="110">
        <f>+H591</f>
        <v>7</v>
      </c>
      <c r="I592" s="110">
        <f>+I591+1</f>
        <v>6</v>
      </c>
      <c r="J592" s="110" t="str">
        <f ca="1">+'Tabla III.2.'!$C$9</f>
        <v>Tabla III.2.</v>
      </c>
      <c r="K592" s="110" t="str">
        <f>+K591</f>
        <v>B</v>
      </c>
      <c r="L592" s="107"/>
    </row>
    <row r="593" spans="1:12" s="415" customFormat="1">
      <c r="A593" s="412" t="s">
        <v>2944</v>
      </c>
      <c r="B593" s="412" t="str">
        <f t="shared" ca="1" si="140"/>
        <v>202502</v>
      </c>
      <c r="C593" s="412" t="str">
        <f t="shared" ca="1" si="138"/>
        <v>v2</v>
      </c>
      <c r="D593" s="413" t="str">
        <f ca="1">OFFSET('Tabla III.2.'!$F$38,H593-1,0)</f>
        <v>06.01.03.</v>
      </c>
      <c r="E593" s="412">
        <f t="shared" si="139"/>
        <v>0</v>
      </c>
      <c r="F593" s="414">
        <f ca="1">OFFSET('Tabla III.2.'!$H$38,H593-1,I593-1)</f>
        <v>0</v>
      </c>
      <c r="G593" s="412" t="str">
        <f ca="1">OFFSET('Tabla III.2.'!$H$1,0,I593-1)</f>
        <v>01</v>
      </c>
      <c r="H593" s="111">
        <f>+H587+1</f>
        <v>8</v>
      </c>
      <c r="I593" s="111">
        <v>1</v>
      </c>
      <c r="J593" s="111" t="str">
        <f ca="1">+'Tabla III.2.'!$C$9</f>
        <v>Tabla III.2.</v>
      </c>
      <c r="K593" s="111" t="s">
        <v>2267</v>
      </c>
      <c r="L593" s="412">
        <f>+L587+1</f>
        <v>8</v>
      </c>
    </row>
    <row r="594" spans="1:12" s="415" customFormat="1">
      <c r="A594" s="412" t="s">
        <v>2944</v>
      </c>
      <c r="B594" s="412" t="str">
        <f t="shared" ca="1" si="140"/>
        <v>202503</v>
      </c>
      <c r="C594" s="412" t="str">
        <f t="shared" ca="1" si="138"/>
        <v>v1</v>
      </c>
      <c r="D594" s="413" t="str">
        <f ca="1">+D593</f>
        <v>06.01.03.</v>
      </c>
      <c r="E594" s="412">
        <f t="shared" si="139"/>
        <v>0</v>
      </c>
      <c r="F594" s="414">
        <f ca="1">OFFSET('Tabla III.2.'!$H$38,H594-1,I594-1)</f>
        <v>0</v>
      </c>
      <c r="G594" s="412" t="str">
        <f ca="1">OFFSET('Tabla III.2.'!$H$1,0,I594-1)</f>
        <v>02</v>
      </c>
      <c r="H594" s="111">
        <f>+H593</f>
        <v>8</v>
      </c>
      <c r="I594" s="111">
        <f>+I593+1</f>
        <v>2</v>
      </c>
      <c r="J594" s="111" t="str">
        <f ca="1">+'Tabla III.2.'!$C$9</f>
        <v>Tabla III.2.</v>
      </c>
      <c r="K594" s="111" t="str">
        <f>+K593</f>
        <v>B</v>
      </c>
      <c r="L594" s="412"/>
    </row>
    <row r="595" spans="1:12" s="415" customFormat="1">
      <c r="A595" s="412" t="s">
        <v>2944</v>
      </c>
      <c r="B595" s="412" t="str">
        <f t="shared" ca="1" si="140"/>
        <v>202503</v>
      </c>
      <c r="C595" s="412" t="str">
        <f t="shared" ca="1" si="138"/>
        <v>v1</v>
      </c>
      <c r="D595" s="413" t="str">
        <f ca="1">+D594</f>
        <v>06.01.03.</v>
      </c>
      <c r="E595" s="412">
        <f t="shared" si="139"/>
        <v>0</v>
      </c>
      <c r="F595" s="414">
        <f ca="1">OFFSET('Tabla III.2.'!$H$38,H595-1,I595-1)</f>
        <v>0</v>
      </c>
      <c r="G595" s="412" t="str">
        <f ca="1">OFFSET('Tabla III.2.'!$H$1,0,I595-1)</f>
        <v>03</v>
      </c>
      <c r="H595" s="111">
        <f>+H594</f>
        <v>8</v>
      </c>
      <c r="I595" s="111">
        <f>+I594+1</f>
        <v>3</v>
      </c>
      <c r="J595" s="111" t="str">
        <f ca="1">+'Tabla III.2.'!$C$9</f>
        <v>Tabla III.2.</v>
      </c>
      <c r="K595" s="111" t="str">
        <f>+K594</f>
        <v>B</v>
      </c>
      <c r="L595" s="412"/>
    </row>
    <row r="596" spans="1:12" s="415" customFormat="1">
      <c r="A596" s="412" t="s">
        <v>2944</v>
      </c>
      <c r="B596" s="412" t="str">
        <f t="shared" ca="1" si="140"/>
        <v>202503</v>
      </c>
      <c r="C596" s="412" t="str">
        <f t="shared" ca="1" si="138"/>
        <v>v1</v>
      </c>
      <c r="D596" s="413" t="str">
        <f ca="1">+D595</f>
        <v>06.01.03.</v>
      </c>
      <c r="E596" s="412">
        <f t="shared" si="139"/>
        <v>0</v>
      </c>
      <c r="F596" s="414">
        <f ca="1">OFFSET('Tabla III.2.'!$H$38,H596-1,I596-1)</f>
        <v>0</v>
      </c>
      <c r="G596" s="412" t="str">
        <f ca="1">OFFSET('Tabla III.2.'!$H$1,0,I596-1)</f>
        <v>04</v>
      </c>
      <c r="H596" s="111">
        <f>+H595</f>
        <v>8</v>
      </c>
      <c r="I596" s="111">
        <f>+I595+1</f>
        <v>4</v>
      </c>
      <c r="J596" s="111" t="str">
        <f ca="1">+'Tabla III.2.'!$C$9</f>
        <v>Tabla III.2.</v>
      </c>
      <c r="K596" s="111" t="str">
        <f>+K595</f>
        <v>B</v>
      </c>
      <c r="L596" s="412"/>
    </row>
    <row r="597" spans="1:12" s="415" customFormat="1">
      <c r="A597" s="412" t="s">
        <v>2944</v>
      </c>
      <c r="B597" s="412" t="str">
        <f t="shared" ca="1" si="140"/>
        <v>202503</v>
      </c>
      <c r="C597" s="412" t="str">
        <f t="shared" ca="1" si="138"/>
        <v>v1</v>
      </c>
      <c r="D597" s="413" t="str">
        <f ca="1">+D596</f>
        <v>06.01.03.</v>
      </c>
      <c r="E597" s="412">
        <f t="shared" si="139"/>
        <v>0</v>
      </c>
      <c r="F597" s="414">
        <f ca="1">OFFSET('Tabla III.2.'!$H$38,H597-1,I597-1)</f>
        <v>0</v>
      </c>
      <c r="G597" s="412" t="str">
        <f ca="1">OFFSET('Tabla III.2.'!$H$1,0,I597-1)</f>
        <v>05</v>
      </c>
      <c r="H597" s="111">
        <f>+H596</f>
        <v>8</v>
      </c>
      <c r="I597" s="111">
        <f>+I596+1</f>
        <v>5</v>
      </c>
      <c r="J597" s="111" t="str">
        <f ca="1">+'Tabla III.2.'!$C$9</f>
        <v>Tabla III.2.</v>
      </c>
      <c r="K597" s="111" t="str">
        <f>+K596</f>
        <v>B</v>
      </c>
      <c r="L597" s="412"/>
    </row>
    <row r="598" spans="1:12" s="415" customFormat="1">
      <c r="A598" s="412" t="s">
        <v>2944</v>
      </c>
      <c r="B598" s="412" t="str">
        <f t="shared" ca="1" si="140"/>
        <v>202503</v>
      </c>
      <c r="C598" s="412" t="str">
        <f t="shared" ca="1" si="138"/>
        <v>v1</v>
      </c>
      <c r="D598" s="413" t="str">
        <f ca="1">+D597</f>
        <v>06.01.03.</v>
      </c>
      <c r="E598" s="412">
        <f t="shared" si="139"/>
        <v>0</v>
      </c>
      <c r="F598" s="414">
        <f ca="1">OFFSET('Tabla III.2.'!$H$38,H598-1,I598-1)</f>
        <v>0</v>
      </c>
      <c r="G598" s="412" t="str">
        <f ca="1">OFFSET('Tabla III.2.'!$H$1,0,I598-1)</f>
        <v>06</v>
      </c>
      <c r="H598" s="111">
        <f>+H597</f>
        <v>8</v>
      </c>
      <c r="I598" s="111">
        <f>+I597+1</f>
        <v>6</v>
      </c>
      <c r="J598" s="111" t="str">
        <f ca="1">+'Tabla III.2.'!$C$9</f>
        <v>Tabla III.2.</v>
      </c>
      <c r="K598" s="111" t="str">
        <f>+K597</f>
        <v>B</v>
      </c>
      <c r="L598" s="412"/>
    </row>
    <row r="599" spans="1:12" s="112" customFormat="1">
      <c r="A599" s="107" t="s">
        <v>2944</v>
      </c>
      <c r="B599" s="107" t="str">
        <f t="shared" ca="1" si="140"/>
        <v>202502</v>
      </c>
      <c r="C599" s="107" t="str">
        <f t="shared" ca="1" si="138"/>
        <v>v2</v>
      </c>
      <c r="D599" s="399" t="str">
        <f ca="1">OFFSET('Tabla III.2.'!$F$38,H599-1,0)</f>
        <v>06.01.03.01.</v>
      </c>
      <c r="E599" s="107">
        <f t="shared" si="139"/>
        <v>0</v>
      </c>
      <c r="F599" s="108">
        <f ca="1">OFFSET('Tabla III.2.'!$H$38,H599-1,I599-1)</f>
        <v>0</v>
      </c>
      <c r="G599" s="107" t="str">
        <f ca="1">OFFSET('Tabla III.2.'!$H$1,0,I599-1)</f>
        <v>01</v>
      </c>
      <c r="H599" s="110">
        <f>+H593+1</f>
        <v>9</v>
      </c>
      <c r="I599" s="110">
        <v>1</v>
      </c>
      <c r="J599" s="110" t="str">
        <f ca="1">+'Tabla III.2.'!$C$9</f>
        <v>Tabla III.2.</v>
      </c>
      <c r="K599" s="110" t="s">
        <v>2267</v>
      </c>
      <c r="L599" s="107">
        <f>+L593+1</f>
        <v>9</v>
      </c>
    </row>
    <row r="600" spans="1:12" s="112" customFormat="1">
      <c r="A600" s="107" t="s">
        <v>2944</v>
      </c>
      <c r="B600" s="107" t="str">
        <f t="shared" ca="1" si="140"/>
        <v>202503</v>
      </c>
      <c r="C600" s="107" t="str">
        <f t="shared" ca="1" si="138"/>
        <v>v1</v>
      </c>
      <c r="D600" s="399" t="str">
        <f ca="1">+D599</f>
        <v>06.01.03.01.</v>
      </c>
      <c r="E600" s="107">
        <f t="shared" si="139"/>
        <v>0</v>
      </c>
      <c r="F600" s="108">
        <f ca="1">OFFSET('Tabla III.2.'!$H$38,H600-1,I600-1)</f>
        <v>0</v>
      </c>
      <c r="G600" s="107" t="str">
        <f ca="1">OFFSET('Tabla III.2.'!$H$1,0,I600-1)</f>
        <v>02</v>
      </c>
      <c r="H600" s="110">
        <f>+H599</f>
        <v>9</v>
      </c>
      <c r="I600" s="110">
        <f>+I599+1</f>
        <v>2</v>
      </c>
      <c r="J600" s="110" t="str">
        <f ca="1">+'Tabla III.2.'!$C$9</f>
        <v>Tabla III.2.</v>
      </c>
      <c r="K600" s="110" t="str">
        <f>+K599</f>
        <v>B</v>
      </c>
      <c r="L600" s="107"/>
    </row>
    <row r="601" spans="1:12" s="112" customFormat="1">
      <c r="A601" s="107" t="s">
        <v>2944</v>
      </c>
      <c r="B601" s="107" t="str">
        <f t="shared" ca="1" si="140"/>
        <v>202503</v>
      </c>
      <c r="C601" s="107" t="str">
        <f t="shared" ca="1" si="138"/>
        <v>v1</v>
      </c>
      <c r="D601" s="399" t="str">
        <f ca="1">+D600</f>
        <v>06.01.03.01.</v>
      </c>
      <c r="E601" s="107">
        <f t="shared" si="139"/>
        <v>0</v>
      </c>
      <c r="F601" s="108">
        <f ca="1">OFFSET('Tabla III.2.'!$H$38,H601-1,I601-1)</f>
        <v>0</v>
      </c>
      <c r="G601" s="107" t="str">
        <f ca="1">OFFSET('Tabla III.2.'!$H$1,0,I601-1)</f>
        <v>03</v>
      </c>
      <c r="H601" s="110">
        <f>+H600</f>
        <v>9</v>
      </c>
      <c r="I601" s="110">
        <f>+I600+1</f>
        <v>3</v>
      </c>
      <c r="J601" s="110" t="str">
        <f ca="1">+'Tabla III.2.'!$C$9</f>
        <v>Tabla III.2.</v>
      </c>
      <c r="K601" s="110" t="str">
        <f>+K600</f>
        <v>B</v>
      </c>
      <c r="L601" s="107"/>
    </row>
    <row r="602" spans="1:12" s="112" customFormat="1">
      <c r="A602" s="107" t="s">
        <v>2944</v>
      </c>
      <c r="B602" s="107" t="str">
        <f t="shared" ca="1" si="140"/>
        <v>202503</v>
      </c>
      <c r="C602" s="107" t="str">
        <f t="shared" ca="1" si="138"/>
        <v>v1</v>
      </c>
      <c r="D602" s="399" t="str">
        <f ca="1">+D601</f>
        <v>06.01.03.01.</v>
      </c>
      <c r="E602" s="107">
        <f t="shared" si="139"/>
        <v>0</v>
      </c>
      <c r="F602" s="108">
        <f ca="1">OFFSET('Tabla III.2.'!$H$38,H602-1,I602-1)</f>
        <v>0</v>
      </c>
      <c r="G602" s="107" t="str">
        <f ca="1">OFFSET('Tabla III.2.'!$H$1,0,I602-1)</f>
        <v>04</v>
      </c>
      <c r="H602" s="110">
        <f>+H601</f>
        <v>9</v>
      </c>
      <c r="I602" s="110">
        <f>+I601+1</f>
        <v>4</v>
      </c>
      <c r="J602" s="110" t="str">
        <f ca="1">+'Tabla III.2.'!$C$9</f>
        <v>Tabla III.2.</v>
      </c>
      <c r="K602" s="110" t="str">
        <f>+K601</f>
        <v>B</v>
      </c>
      <c r="L602" s="107"/>
    </row>
    <row r="603" spans="1:12" s="112" customFormat="1">
      <c r="A603" s="107" t="s">
        <v>2944</v>
      </c>
      <c r="B603" s="107" t="str">
        <f t="shared" ca="1" si="140"/>
        <v>202503</v>
      </c>
      <c r="C603" s="107" t="str">
        <f t="shared" ca="1" si="138"/>
        <v>v1</v>
      </c>
      <c r="D603" s="399" t="str">
        <f ca="1">+D602</f>
        <v>06.01.03.01.</v>
      </c>
      <c r="E603" s="107">
        <f t="shared" si="139"/>
        <v>0</v>
      </c>
      <c r="F603" s="108">
        <f ca="1">OFFSET('Tabla III.2.'!$H$38,H603-1,I603-1)</f>
        <v>0</v>
      </c>
      <c r="G603" s="107" t="str">
        <f ca="1">OFFSET('Tabla III.2.'!$H$1,0,I603-1)</f>
        <v>05</v>
      </c>
      <c r="H603" s="110">
        <f>+H602</f>
        <v>9</v>
      </c>
      <c r="I603" s="110">
        <f>+I602+1</f>
        <v>5</v>
      </c>
      <c r="J603" s="110" t="str">
        <f ca="1">+'Tabla III.2.'!$C$9</f>
        <v>Tabla III.2.</v>
      </c>
      <c r="K603" s="110" t="str">
        <f>+K602</f>
        <v>B</v>
      </c>
      <c r="L603" s="107"/>
    </row>
    <row r="604" spans="1:12" s="112" customFormat="1">
      <c r="A604" s="107" t="s">
        <v>2944</v>
      </c>
      <c r="B604" s="107" t="str">
        <f t="shared" ca="1" si="140"/>
        <v>202503</v>
      </c>
      <c r="C604" s="107" t="str">
        <f t="shared" ca="1" si="138"/>
        <v>v1</v>
      </c>
      <c r="D604" s="399" t="str">
        <f ca="1">+D603</f>
        <v>06.01.03.01.</v>
      </c>
      <c r="E604" s="107">
        <f t="shared" si="139"/>
        <v>0</v>
      </c>
      <c r="F604" s="108">
        <f ca="1">OFFSET('Tabla III.2.'!$H$38,H604-1,I604-1)</f>
        <v>0</v>
      </c>
      <c r="G604" s="107" t="str">
        <f ca="1">OFFSET('Tabla III.2.'!$H$1,0,I604-1)</f>
        <v>06</v>
      </c>
      <c r="H604" s="110">
        <f>+H603</f>
        <v>9</v>
      </c>
      <c r="I604" s="110">
        <f>+I603+1</f>
        <v>6</v>
      </c>
      <c r="J604" s="110" t="str">
        <f ca="1">+'Tabla III.2.'!$C$9</f>
        <v>Tabla III.2.</v>
      </c>
      <c r="K604" s="110" t="str">
        <f>+K603</f>
        <v>B</v>
      </c>
      <c r="L604" s="107"/>
    </row>
    <row r="605" spans="1:12" s="415" customFormat="1">
      <c r="A605" s="412" t="s">
        <v>2944</v>
      </c>
      <c r="B605" s="412" t="str">
        <f t="shared" ca="1" si="140"/>
        <v>202502</v>
      </c>
      <c r="C605" s="412" t="str">
        <f t="shared" ca="1" si="138"/>
        <v>v2</v>
      </c>
      <c r="D605" s="413" t="str">
        <f ca="1">OFFSET('Tabla III.2.'!$F$38,H605-1,0)</f>
        <v>06.01.03.02.</v>
      </c>
      <c r="E605" s="412">
        <f t="shared" si="139"/>
        <v>0</v>
      </c>
      <c r="F605" s="414">
        <f ca="1">OFFSET('Tabla III.2.'!$H$38,H605-1,I605-1)</f>
        <v>0</v>
      </c>
      <c r="G605" s="412" t="str">
        <f ca="1">OFFSET('Tabla III.2.'!$H$1,0,I605-1)</f>
        <v>01</v>
      </c>
      <c r="H605" s="111">
        <f>+H599+1</f>
        <v>10</v>
      </c>
      <c r="I605" s="111">
        <v>1</v>
      </c>
      <c r="J605" s="111" t="str">
        <f ca="1">+'Tabla III.2.'!$C$9</f>
        <v>Tabla III.2.</v>
      </c>
      <c r="K605" s="111" t="s">
        <v>2267</v>
      </c>
      <c r="L605" s="412">
        <f>+L599+1</f>
        <v>10</v>
      </c>
    </row>
    <row r="606" spans="1:12" s="415" customFormat="1">
      <c r="A606" s="412" t="s">
        <v>2944</v>
      </c>
      <c r="B606" s="412" t="str">
        <f t="shared" ca="1" si="140"/>
        <v>202503</v>
      </c>
      <c r="C606" s="412" t="str">
        <f t="shared" ca="1" si="138"/>
        <v>v1</v>
      </c>
      <c r="D606" s="413" t="str">
        <f ca="1">+D605</f>
        <v>06.01.03.02.</v>
      </c>
      <c r="E606" s="412">
        <f t="shared" si="139"/>
        <v>0</v>
      </c>
      <c r="F606" s="414">
        <f ca="1">OFFSET('Tabla III.2.'!$H$38,H606-1,I606-1)</f>
        <v>0</v>
      </c>
      <c r="G606" s="412" t="str">
        <f ca="1">OFFSET('Tabla III.2.'!$H$1,0,I606-1)</f>
        <v>02</v>
      </c>
      <c r="H606" s="111">
        <f>+H605</f>
        <v>10</v>
      </c>
      <c r="I606" s="111">
        <f>+I605+1</f>
        <v>2</v>
      </c>
      <c r="J606" s="111" t="str">
        <f ca="1">+'Tabla III.2.'!$C$9</f>
        <v>Tabla III.2.</v>
      </c>
      <c r="K606" s="111" t="str">
        <f>+K605</f>
        <v>B</v>
      </c>
      <c r="L606" s="412"/>
    </row>
    <row r="607" spans="1:12" s="415" customFormat="1">
      <c r="A607" s="412" t="s">
        <v>2944</v>
      </c>
      <c r="B607" s="412" t="str">
        <f t="shared" ca="1" si="140"/>
        <v>202503</v>
      </c>
      <c r="C607" s="412" t="str">
        <f t="shared" ca="1" si="138"/>
        <v>v1</v>
      </c>
      <c r="D607" s="413" t="str">
        <f ca="1">+D606</f>
        <v>06.01.03.02.</v>
      </c>
      <c r="E607" s="412">
        <f t="shared" si="139"/>
        <v>0</v>
      </c>
      <c r="F607" s="414">
        <f ca="1">OFFSET('Tabla III.2.'!$H$38,H607-1,I607-1)</f>
        <v>0</v>
      </c>
      <c r="G607" s="412" t="str">
        <f ca="1">OFFSET('Tabla III.2.'!$H$1,0,I607-1)</f>
        <v>03</v>
      </c>
      <c r="H607" s="111">
        <f>+H606</f>
        <v>10</v>
      </c>
      <c r="I607" s="111">
        <f>+I606+1</f>
        <v>3</v>
      </c>
      <c r="J607" s="111" t="str">
        <f ca="1">+'Tabla III.2.'!$C$9</f>
        <v>Tabla III.2.</v>
      </c>
      <c r="K607" s="111" t="str">
        <f>+K606</f>
        <v>B</v>
      </c>
      <c r="L607" s="412"/>
    </row>
    <row r="608" spans="1:12" s="415" customFormat="1">
      <c r="A608" s="412" t="s">
        <v>2944</v>
      </c>
      <c r="B608" s="412" t="str">
        <f t="shared" ca="1" si="140"/>
        <v>202503</v>
      </c>
      <c r="C608" s="412" t="str">
        <f t="shared" ca="1" si="138"/>
        <v>v1</v>
      </c>
      <c r="D608" s="413" t="str">
        <f ca="1">+D607</f>
        <v>06.01.03.02.</v>
      </c>
      <c r="E608" s="412">
        <f t="shared" si="139"/>
        <v>0</v>
      </c>
      <c r="F608" s="414">
        <f ca="1">OFFSET('Tabla III.2.'!$H$38,H608-1,I608-1)</f>
        <v>0</v>
      </c>
      <c r="G608" s="412" t="str">
        <f ca="1">OFFSET('Tabla III.2.'!$H$1,0,I608-1)</f>
        <v>04</v>
      </c>
      <c r="H608" s="111">
        <f>+H607</f>
        <v>10</v>
      </c>
      <c r="I608" s="111">
        <f>+I607+1</f>
        <v>4</v>
      </c>
      <c r="J608" s="111" t="str">
        <f ca="1">+'Tabla III.2.'!$C$9</f>
        <v>Tabla III.2.</v>
      </c>
      <c r="K608" s="111" t="str">
        <f>+K607</f>
        <v>B</v>
      </c>
      <c r="L608" s="412"/>
    </row>
    <row r="609" spans="1:12" s="415" customFormat="1">
      <c r="A609" s="412" t="s">
        <v>2944</v>
      </c>
      <c r="B609" s="412" t="str">
        <f t="shared" ca="1" si="140"/>
        <v>202503</v>
      </c>
      <c r="C609" s="412" t="str">
        <f t="shared" ca="1" si="138"/>
        <v>v1</v>
      </c>
      <c r="D609" s="413" t="str">
        <f ca="1">+D608</f>
        <v>06.01.03.02.</v>
      </c>
      <c r="E609" s="412">
        <f t="shared" si="139"/>
        <v>0</v>
      </c>
      <c r="F609" s="414">
        <f ca="1">OFFSET('Tabla III.2.'!$H$38,H609-1,I609-1)</f>
        <v>0</v>
      </c>
      <c r="G609" s="412" t="str">
        <f ca="1">OFFSET('Tabla III.2.'!$H$1,0,I609-1)</f>
        <v>05</v>
      </c>
      <c r="H609" s="111">
        <f>+H608</f>
        <v>10</v>
      </c>
      <c r="I609" s="111">
        <f>+I608+1</f>
        <v>5</v>
      </c>
      <c r="J609" s="111" t="str">
        <f ca="1">+'Tabla III.2.'!$C$9</f>
        <v>Tabla III.2.</v>
      </c>
      <c r="K609" s="111" t="str">
        <f>+K608</f>
        <v>B</v>
      </c>
      <c r="L609" s="412"/>
    </row>
    <row r="610" spans="1:12" s="415" customFormat="1">
      <c r="A610" s="412" t="s">
        <v>2944</v>
      </c>
      <c r="B610" s="412" t="str">
        <f t="shared" ca="1" si="140"/>
        <v>202503</v>
      </c>
      <c r="C610" s="412" t="str">
        <f t="shared" ca="1" si="138"/>
        <v>v1</v>
      </c>
      <c r="D610" s="413" t="str">
        <f ca="1">+D609</f>
        <v>06.01.03.02.</v>
      </c>
      <c r="E610" s="412">
        <f t="shared" si="139"/>
        <v>0</v>
      </c>
      <c r="F610" s="414">
        <f ca="1">OFFSET('Tabla III.2.'!$H$38,H610-1,I610-1)</f>
        <v>0</v>
      </c>
      <c r="G610" s="412" t="str">
        <f ca="1">OFFSET('Tabla III.2.'!$H$1,0,I610-1)</f>
        <v>06</v>
      </c>
      <c r="H610" s="111">
        <f>+H609</f>
        <v>10</v>
      </c>
      <c r="I610" s="111">
        <f>+I609+1</f>
        <v>6</v>
      </c>
      <c r="J610" s="111" t="str">
        <f ca="1">+'Tabla III.2.'!$C$9</f>
        <v>Tabla III.2.</v>
      </c>
      <c r="K610" s="111" t="str">
        <f>+K609</f>
        <v>B</v>
      </c>
      <c r="L610" s="412"/>
    </row>
    <row r="611" spans="1:12" s="112" customFormat="1">
      <c r="A611" s="107" t="s">
        <v>2944</v>
      </c>
      <c r="B611" s="107" t="str">
        <f t="shared" ca="1" si="140"/>
        <v>202502</v>
      </c>
      <c r="C611" s="107" t="str">
        <f t="shared" ca="1" si="138"/>
        <v>v2</v>
      </c>
      <c r="D611" s="399" t="str">
        <f ca="1">OFFSET('Tabla III.2.'!$F$38,H611-1,0)</f>
        <v>06.02.</v>
      </c>
      <c r="E611" s="107">
        <f t="shared" si="139"/>
        <v>0</v>
      </c>
      <c r="F611" s="108">
        <f ca="1">OFFSET('Tabla III.2.'!$H$38,H611-1,I611-1)</f>
        <v>0</v>
      </c>
      <c r="G611" s="107" t="str">
        <f ca="1">OFFSET('Tabla III.2.'!$H$1,0,I611-1)</f>
        <v>01</v>
      </c>
      <c r="H611" s="110">
        <f>+H605+1</f>
        <v>11</v>
      </c>
      <c r="I611" s="110">
        <v>1</v>
      </c>
      <c r="J611" s="110" t="str">
        <f ca="1">+'Tabla III.2.'!$C$9</f>
        <v>Tabla III.2.</v>
      </c>
      <c r="K611" s="110" t="s">
        <v>2267</v>
      </c>
      <c r="L611" s="107">
        <f>+L605+1</f>
        <v>11</v>
      </c>
    </row>
    <row r="612" spans="1:12" s="112" customFormat="1">
      <c r="A612" s="107" t="s">
        <v>2944</v>
      </c>
      <c r="B612" s="107" t="str">
        <f t="shared" ca="1" si="140"/>
        <v>202503</v>
      </c>
      <c r="C612" s="107" t="str">
        <f t="shared" ca="1" si="138"/>
        <v>v1</v>
      </c>
      <c r="D612" s="399" t="str">
        <f ca="1">+D611</f>
        <v>06.02.</v>
      </c>
      <c r="E612" s="107">
        <f t="shared" si="139"/>
        <v>0</v>
      </c>
      <c r="F612" s="108">
        <f ca="1">OFFSET('Tabla III.2.'!$H$38,H612-1,I612-1)</f>
        <v>0</v>
      </c>
      <c r="G612" s="107" t="str">
        <f ca="1">OFFSET('Tabla III.2.'!$H$1,0,I612-1)</f>
        <v>02</v>
      </c>
      <c r="H612" s="110">
        <f>+H611</f>
        <v>11</v>
      </c>
      <c r="I612" s="110">
        <f>+I611+1</f>
        <v>2</v>
      </c>
      <c r="J612" s="110" t="str">
        <f ca="1">+'Tabla III.2.'!$C$9</f>
        <v>Tabla III.2.</v>
      </c>
      <c r="K612" s="110" t="str">
        <f>+K611</f>
        <v>B</v>
      </c>
      <c r="L612" s="107"/>
    </row>
    <row r="613" spans="1:12" s="112" customFormat="1">
      <c r="A613" s="107" t="s">
        <v>2944</v>
      </c>
      <c r="B613" s="107" t="str">
        <f t="shared" ca="1" si="140"/>
        <v>202503</v>
      </c>
      <c r="C613" s="107" t="str">
        <f t="shared" ca="1" si="138"/>
        <v>v1</v>
      </c>
      <c r="D613" s="399" t="str">
        <f ca="1">+D612</f>
        <v>06.02.</v>
      </c>
      <c r="E613" s="107">
        <f t="shared" si="139"/>
        <v>0</v>
      </c>
      <c r="F613" s="108">
        <f ca="1">OFFSET('Tabla III.2.'!$H$38,H613-1,I613-1)</f>
        <v>0</v>
      </c>
      <c r="G613" s="107" t="str">
        <f ca="1">OFFSET('Tabla III.2.'!$H$1,0,I613-1)</f>
        <v>03</v>
      </c>
      <c r="H613" s="110">
        <f>+H612</f>
        <v>11</v>
      </c>
      <c r="I613" s="110">
        <f>+I612+1</f>
        <v>3</v>
      </c>
      <c r="J613" s="110" t="str">
        <f ca="1">+'Tabla III.2.'!$C$9</f>
        <v>Tabla III.2.</v>
      </c>
      <c r="K613" s="110" t="str">
        <f>+K612</f>
        <v>B</v>
      </c>
      <c r="L613" s="107"/>
    </row>
    <row r="614" spans="1:12" s="112" customFormat="1">
      <c r="A614" s="107" t="s">
        <v>2944</v>
      </c>
      <c r="B614" s="107" t="str">
        <f t="shared" ca="1" si="140"/>
        <v>202503</v>
      </c>
      <c r="C614" s="107" t="str">
        <f t="shared" ref="C614:C658" ca="1" si="141">IF(G614="01","v2","v1")</f>
        <v>v1</v>
      </c>
      <c r="D614" s="399" t="str">
        <f ca="1">+D613</f>
        <v>06.02.</v>
      </c>
      <c r="E614" s="107">
        <f t="shared" ref="E614:E659" si="142">RUC</f>
        <v>0</v>
      </c>
      <c r="F614" s="108">
        <f ca="1">OFFSET('Tabla III.2.'!$H$38,H614-1,I614-1)</f>
        <v>0</v>
      </c>
      <c r="G614" s="107" t="str">
        <f ca="1">OFFSET('Tabla III.2.'!$H$1,0,I614-1)</f>
        <v>04</v>
      </c>
      <c r="H614" s="110">
        <f>+H613</f>
        <v>11</v>
      </c>
      <c r="I614" s="110">
        <f>+I613+1</f>
        <v>4</v>
      </c>
      <c r="J614" s="110" t="str">
        <f ca="1">+'Tabla III.2.'!$C$9</f>
        <v>Tabla III.2.</v>
      </c>
      <c r="K614" s="110" t="str">
        <f>+K613</f>
        <v>B</v>
      </c>
      <c r="L614" s="107"/>
    </row>
    <row r="615" spans="1:12" s="112" customFormat="1">
      <c r="A615" s="107" t="s">
        <v>2944</v>
      </c>
      <c r="B615" s="107" t="str">
        <f t="shared" ca="1" si="140"/>
        <v>202503</v>
      </c>
      <c r="C615" s="107" t="str">
        <f t="shared" ca="1" si="141"/>
        <v>v1</v>
      </c>
      <c r="D615" s="399" t="str">
        <f ca="1">+D614</f>
        <v>06.02.</v>
      </c>
      <c r="E615" s="107">
        <f t="shared" si="142"/>
        <v>0</v>
      </c>
      <c r="F615" s="108">
        <f ca="1">OFFSET('Tabla III.2.'!$H$38,H615-1,I615-1)</f>
        <v>0</v>
      </c>
      <c r="G615" s="107" t="str">
        <f ca="1">OFFSET('Tabla III.2.'!$H$1,0,I615-1)</f>
        <v>05</v>
      </c>
      <c r="H615" s="110">
        <f>+H614</f>
        <v>11</v>
      </c>
      <c r="I615" s="110">
        <f>+I614+1</f>
        <v>5</v>
      </c>
      <c r="J615" s="110" t="str">
        <f ca="1">+'Tabla III.2.'!$C$9</f>
        <v>Tabla III.2.</v>
      </c>
      <c r="K615" s="110" t="str">
        <f>+K614</f>
        <v>B</v>
      </c>
      <c r="L615" s="107"/>
    </row>
    <row r="616" spans="1:12" s="112" customFormat="1">
      <c r="A616" s="107" t="s">
        <v>2944</v>
      </c>
      <c r="B616" s="107" t="str">
        <f t="shared" ca="1" si="140"/>
        <v>202503</v>
      </c>
      <c r="C616" s="107" t="str">
        <f t="shared" ca="1" si="141"/>
        <v>v1</v>
      </c>
      <c r="D616" s="399" t="str">
        <f ca="1">+D615</f>
        <v>06.02.</v>
      </c>
      <c r="E616" s="107">
        <f t="shared" si="142"/>
        <v>0</v>
      </c>
      <c r="F616" s="108">
        <f ca="1">OFFSET('Tabla III.2.'!$H$38,H616-1,I616-1)</f>
        <v>0</v>
      </c>
      <c r="G616" s="107" t="str">
        <f ca="1">OFFSET('Tabla III.2.'!$H$1,0,I616-1)</f>
        <v>06</v>
      </c>
      <c r="H616" s="110">
        <f>+H615</f>
        <v>11</v>
      </c>
      <c r="I616" s="110">
        <f>+I615+1</f>
        <v>6</v>
      </c>
      <c r="J616" s="110" t="str">
        <f ca="1">+'Tabla III.2.'!$C$9</f>
        <v>Tabla III.2.</v>
      </c>
      <c r="K616" s="110" t="str">
        <f>+K615</f>
        <v>B</v>
      </c>
      <c r="L616" s="107"/>
    </row>
    <row r="617" spans="1:12" s="415" customFormat="1">
      <c r="A617" s="412" t="s">
        <v>2944</v>
      </c>
      <c r="B617" s="412" t="str">
        <f t="shared" ca="1" si="140"/>
        <v>202502</v>
      </c>
      <c r="C617" s="412" t="str">
        <f t="shared" ca="1" si="141"/>
        <v>v2</v>
      </c>
      <c r="D617" s="413" t="str">
        <f ca="1">OFFSET('Tabla III.2.'!$F$38,H617-1,0)</f>
        <v>06.02.00.01.</v>
      </c>
      <c r="E617" s="412">
        <f t="shared" si="142"/>
        <v>0</v>
      </c>
      <c r="F617" s="414">
        <f ca="1">OFFSET('Tabla III.2.'!$H$38,H617-1,I617-1)</f>
        <v>0</v>
      </c>
      <c r="G617" s="412" t="str">
        <f ca="1">OFFSET('Tabla III.2.'!$H$1,0,I617-1)</f>
        <v>01</v>
      </c>
      <c r="H617" s="111">
        <f>+H611+1</f>
        <v>12</v>
      </c>
      <c r="I617" s="111">
        <v>1</v>
      </c>
      <c r="J617" s="111" t="str">
        <f ca="1">+'Tabla III.2.'!$C$9</f>
        <v>Tabla III.2.</v>
      </c>
      <c r="K617" s="111" t="s">
        <v>2267</v>
      </c>
      <c r="L617" s="412">
        <f>+L611+1</f>
        <v>12</v>
      </c>
    </row>
    <row r="618" spans="1:12" s="415" customFormat="1">
      <c r="A618" s="412" t="s">
        <v>2944</v>
      </c>
      <c r="B618" s="412" t="str">
        <f t="shared" ca="1" si="140"/>
        <v>202503</v>
      </c>
      <c r="C618" s="412" t="str">
        <f t="shared" ca="1" si="141"/>
        <v>v1</v>
      </c>
      <c r="D618" s="413" t="str">
        <f ca="1">+D617</f>
        <v>06.02.00.01.</v>
      </c>
      <c r="E618" s="412">
        <f t="shared" si="142"/>
        <v>0</v>
      </c>
      <c r="F618" s="414">
        <f ca="1">OFFSET('Tabla III.2.'!$H$38,H618-1,I618-1)</f>
        <v>0</v>
      </c>
      <c r="G618" s="412" t="str">
        <f ca="1">OFFSET('Tabla III.2.'!$H$1,0,I618-1)</f>
        <v>02</v>
      </c>
      <c r="H618" s="111">
        <f>+H617</f>
        <v>12</v>
      </c>
      <c r="I618" s="111">
        <f>+I617+1</f>
        <v>2</v>
      </c>
      <c r="J618" s="111" t="str">
        <f ca="1">+'Tabla III.2.'!$C$9</f>
        <v>Tabla III.2.</v>
      </c>
      <c r="K618" s="111" t="str">
        <f>+K617</f>
        <v>B</v>
      </c>
      <c r="L618" s="412"/>
    </row>
    <row r="619" spans="1:12" s="415" customFormat="1">
      <c r="A619" s="412" t="s">
        <v>2944</v>
      </c>
      <c r="B619" s="412" t="str">
        <f t="shared" ca="1" si="140"/>
        <v>202503</v>
      </c>
      <c r="C619" s="412" t="str">
        <f t="shared" ca="1" si="141"/>
        <v>v1</v>
      </c>
      <c r="D619" s="413" t="str">
        <f ca="1">+D618</f>
        <v>06.02.00.01.</v>
      </c>
      <c r="E619" s="412">
        <f t="shared" si="142"/>
        <v>0</v>
      </c>
      <c r="F619" s="414">
        <f ca="1">OFFSET('Tabla III.2.'!$H$38,H619-1,I619-1)</f>
        <v>0</v>
      </c>
      <c r="G619" s="412" t="str">
        <f ca="1">OFFSET('Tabla III.2.'!$H$1,0,I619-1)</f>
        <v>03</v>
      </c>
      <c r="H619" s="111">
        <f>+H618</f>
        <v>12</v>
      </c>
      <c r="I619" s="111">
        <f>+I618+1</f>
        <v>3</v>
      </c>
      <c r="J619" s="111" t="str">
        <f ca="1">+'Tabla III.2.'!$C$9</f>
        <v>Tabla III.2.</v>
      </c>
      <c r="K619" s="111" t="str">
        <f>+K618</f>
        <v>B</v>
      </c>
      <c r="L619" s="412"/>
    </row>
    <row r="620" spans="1:12" s="415" customFormat="1">
      <c r="A620" s="412" t="s">
        <v>2944</v>
      </c>
      <c r="B620" s="412" t="str">
        <f t="shared" ca="1" si="140"/>
        <v>202503</v>
      </c>
      <c r="C620" s="412" t="str">
        <f t="shared" ca="1" si="141"/>
        <v>v1</v>
      </c>
      <c r="D620" s="413" t="str">
        <f ca="1">+D619</f>
        <v>06.02.00.01.</v>
      </c>
      <c r="E620" s="412">
        <f t="shared" si="142"/>
        <v>0</v>
      </c>
      <c r="F620" s="414">
        <f ca="1">OFFSET('Tabla III.2.'!$H$38,H620-1,I620-1)</f>
        <v>0</v>
      </c>
      <c r="G620" s="412" t="str">
        <f ca="1">OFFSET('Tabla III.2.'!$H$1,0,I620-1)</f>
        <v>04</v>
      </c>
      <c r="H620" s="111">
        <f>+H619</f>
        <v>12</v>
      </c>
      <c r="I620" s="111">
        <f>+I619+1</f>
        <v>4</v>
      </c>
      <c r="J620" s="111" t="str">
        <f ca="1">+'Tabla III.2.'!$C$9</f>
        <v>Tabla III.2.</v>
      </c>
      <c r="K620" s="111" t="str">
        <f>+K619</f>
        <v>B</v>
      </c>
      <c r="L620" s="412"/>
    </row>
    <row r="621" spans="1:12" s="415" customFormat="1">
      <c r="A621" s="412" t="s">
        <v>2944</v>
      </c>
      <c r="B621" s="412" t="str">
        <f t="shared" ca="1" si="140"/>
        <v>202503</v>
      </c>
      <c r="C621" s="412" t="str">
        <f t="shared" ca="1" si="141"/>
        <v>v1</v>
      </c>
      <c r="D621" s="413" t="str">
        <f ca="1">+D620</f>
        <v>06.02.00.01.</v>
      </c>
      <c r="E621" s="412">
        <f t="shared" si="142"/>
        <v>0</v>
      </c>
      <c r="F621" s="414">
        <f ca="1">OFFSET('Tabla III.2.'!$H$38,H621-1,I621-1)</f>
        <v>0</v>
      </c>
      <c r="G621" s="412" t="str">
        <f ca="1">OFFSET('Tabla III.2.'!$H$1,0,I621-1)</f>
        <v>05</v>
      </c>
      <c r="H621" s="111">
        <f>+H620</f>
        <v>12</v>
      </c>
      <c r="I621" s="111">
        <f>+I620+1</f>
        <v>5</v>
      </c>
      <c r="J621" s="111" t="str">
        <f ca="1">+'Tabla III.2.'!$C$9</f>
        <v>Tabla III.2.</v>
      </c>
      <c r="K621" s="111" t="str">
        <f>+K620</f>
        <v>B</v>
      </c>
      <c r="L621" s="412"/>
    </row>
    <row r="622" spans="1:12" s="415" customFormat="1">
      <c r="A622" s="412" t="s">
        <v>2944</v>
      </c>
      <c r="B622" s="412" t="str">
        <f t="shared" ca="1" si="140"/>
        <v>202503</v>
      </c>
      <c r="C622" s="412" t="str">
        <f t="shared" ca="1" si="141"/>
        <v>v1</v>
      </c>
      <c r="D622" s="413" t="str">
        <f ca="1">+D621</f>
        <v>06.02.00.01.</v>
      </c>
      <c r="E622" s="412">
        <f t="shared" si="142"/>
        <v>0</v>
      </c>
      <c r="F622" s="414">
        <f ca="1">OFFSET('Tabla III.2.'!$H$38,H622-1,I622-1)</f>
        <v>0</v>
      </c>
      <c r="G622" s="412" t="str">
        <f ca="1">OFFSET('Tabla III.2.'!$H$1,0,I622-1)</f>
        <v>06</v>
      </c>
      <c r="H622" s="111">
        <f>+H621</f>
        <v>12</v>
      </c>
      <c r="I622" s="111">
        <f>+I621+1</f>
        <v>6</v>
      </c>
      <c r="J622" s="111" t="str">
        <f ca="1">+'Tabla III.2.'!$C$9</f>
        <v>Tabla III.2.</v>
      </c>
      <c r="K622" s="111" t="str">
        <f>+K621</f>
        <v>B</v>
      </c>
      <c r="L622" s="412"/>
    </row>
    <row r="623" spans="1:12" s="112" customFormat="1">
      <c r="A623" s="107" t="s">
        <v>2944</v>
      </c>
      <c r="B623" s="107" t="str">
        <f t="shared" ca="1" si="140"/>
        <v>202502</v>
      </c>
      <c r="C623" s="107" t="str">
        <f t="shared" ca="1" si="141"/>
        <v>v2</v>
      </c>
      <c r="D623" s="399" t="str">
        <f ca="1">OFFSET('Tabla III.2.'!$F$38,H623-1,0)</f>
        <v>06.02.00.02.</v>
      </c>
      <c r="E623" s="107">
        <f t="shared" si="142"/>
        <v>0</v>
      </c>
      <c r="F623" s="108">
        <f ca="1">OFFSET('Tabla III.2.'!$H$38,H623-1,I623-1)</f>
        <v>0</v>
      </c>
      <c r="G623" s="107" t="str">
        <f ca="1">OFFSET('Tabla III.2.'!$H$1,0,I623-1)</f>
        <v>01</v>
      </c>
      <c r="H623" s="110">
        <f>+H617+1</f>
        <v>13</v>
      </c>
      <c r="I623" s="110">
        <v>1</v>
      </c>
      <c r="J623" s="110" t="str">
        <f ca="1">+'Tabla III.2.'!$C$9</f>
        <v>Tabla III.2.</v>
      </c>
      <c r="K623" s="110" t="s">
        <v>2267</v>
      </c>
      <c r="L623" s="107">
        <f>+L617+1</f>
        <v>13</v>
      </c>
    </row>
    <row r="624" spans="1:12" s="112" customFormat="1">
      <c r="A624" s="107" t="s">
        <v>2944</v>
      </c>
      <c r="B624" s="107" t="str">
        <f t="shared" ca="1" si="140"/>
        <v>202503</v>
      </c>
      <c r="C624" s="107" t="str">
        <f t="shared" ca="1" si="141"/>
        <v>v1</v>
      </c>
      <c r="D624" s="399" t="str">
        <f ca="1">+D623</f>
        <v>06.02.00.02.</v>
      </c>
      <c r="E624" s="107">
        <f t="shared" si="142"/>
        <v>0</v>
      </c>
      <c r="F624" s="108">
        <f ca="1">OFFSET('Tabla III.2.'!$H$38,H624-1,I624-1)</f>
        <v>0</v>
      </c>
      <c r="G624" s="107" t="str">
        <f ca="1">OFFSET('Tabla III.2.'!$H$1,0,I624-1)</f>
        <v>02</v>
      </c>
      <c r="H624" s="110">
        <f>+H623</f>
        <v>13</v>
      </c>
      <c r="I624" s="110">
        <f>+I623+1</f>
        <v>2</v>
      </c>
      <c r="J624" s="110" t="str">
        <f ca="1">+'Tabla III.2.'!$C$9</f>
        <v>Tabla III.2.</v>
      </c>
      <c r="K624" s="110" t="str">
        <f>+K623</f>
        <v>B</v>
      </c>
      <c r="L624" s="107"/>
    </row>
    <row r="625" spans="1:12" s="112" customFormat="1">
      <c r="A625" s="107" t="s">
        <v>2944</v>
      </c>
      <c r="B625" s="107" t="str">
        <f t="shared" ca="1" si="140"/>
        <v>202503</v>
      </c>
      <c r="C625" s="107" t="str">
        <f t="shared" ca="1" si="141"/>
        <v>v1</v>
      </c>
      <c r="D625" s="399" t="str">
        <f ca="1">+D624</f>
        <v>06.02.00.02.</v>
      </c>
      <c r="E625" s="107">
        <f t="shared" si="142"/>
        <v>0</v>
      </c>
      <c r="F625" s="108">
        <f ca="1">OFFSET('Tabla III.2.'!$H$38,H625-1,I625-1)</f>
        <v>0</v>
      </c>
      <c r="G625" s="107" t="str">
        <f ca="1">OFFSET('Tabla III.2.'!$H$1,0,I625-1)</f>
        <v>03</v>
      </c>
      <c r="H625" s="110">
        <f>+H624</f>
        <v>13</v>
      </c>
      <c r="I625" s="110">
        <f>+I624+1</f>
        <v>3</v>
      </c>
      <c r="J625" s="110" t="str">
        <f ca="1">+'Tabla III.2.'!$C$9</f>
        <v>Tabla III.2.</v>
      </c>
      <c r="K625" s="110" t="str">
        <f>+K624</f>
        <v>B</v>
      </c>
      <c r="L625" s="107"/>
    </row>
    <row r="626" spans="1:12" s="112" customFormat="1">
      <c r="A626" s="107" t="s">
        <v>2944</v>
      </c>
      <c r="B626" s="107" t="str">
        <f t="shared" ca="1" si="140"/>
        <v>202503</v>
      </c>
      <c r="C626" s="107" t="str">
        <f t="shared" ca="1" si="141"/>
        <v>v1</v>
      </c>
      <c r="D626" s="399" t="str">
        <f ca="1">+D625</f>
        <v>06.02.00.02.</v>
      </c>
      <c r="E626" s="107">
        <f t="shared" si="142"/>
        <v>0</v>
      </c>
      <c r="F626" s="108">
        <f ca="1">OFFSET('Tabla III.2.'!$H$38,H626-1,I626-1)</f>
        <v>0</v>
      </c>
      <c r="G626" s="107" t="str">
        <f ca="1">OFFSET('Tabla III.2.'!$H$1,0,I626-1)</f>
        <v>04</v>
      </c>
      <c r="H626" s="110">
        <f>+H625</f>
        <v>13</v>
      </c>
      <c r="I626" s="110">
        <f>+I625+1</f>
        <v>4</v>
      </c>
      <c r="J626" s="110" t="str">
        <f ca="1">+'Tabla III.2.'!$C$9</f>
        <v>Tabla III.2.</v>
      </c>
      <c r="K626" s="110" t="str">
        <f>+K625</f>
        <v>B</v>
      </c>
      <c r="L626" s="107"/>
    </row>
    <row r="627" spans="1:12" s="112" customFormat="1">
      <c r="A627" s="107" t="s">
        <v>2944</v>
      </c>
      <c r="B627" s="107" t="str">
        <f t="shared" ca="1" si="140"/>
        <v>202503</v>
      </c>
      <c r="C627" s="107" t="str">
        <f t="shared" ca="1" si="141"/>
        <v>v1</v>
      </c>
      <c r="D627" s="399" t="str">
        <f ca="1">+D626</f>
        <v>06.02.00.02.</v>
      </c>
      <c r="E627" s="107">
        <f t="shared" si="142"/>
        <v>0</v>
      </c>
      <c r="F627" s="108">
        <f ca="1">OFFSET('Tabla III.2.'!$H$38,H627-1,I627-1)</f>
        <v>0</v>
      </c>
      <c r="G627" s="107" t="str">
        <f ca="1">OFFSET('Tabla III.2.'!$H$1,0,I627-1)</f>
        <v>05</v>
      </c>
      <c r="H627" s="110">
        <f>+H626</f>
        <v>13</v>
      </c>
      <c r="I627" s="110">
        <f>+I626+1</f>
        <v>5</v>
      </c>
      <c r="J627" s="110" t="str">
        <f ca="1">+'Tabla III.2.'!$C$9</f>
        <v>Tabla III.2.</v>
      </c>
      <c r="K627" s="110" t="str">
        <f>+K626</f>
        <v>B</v>
      </c>
      <c r="L627" s="107"/>
    </row>
    <row r="628" spans="1:12" s="112" customFormat="1">
      <c r="A628" s="107" t="s">
        <v>2944</v>
      </c>
      <c r="B628" s="107" t="str">
        <f t="shared" ca="1" si="140"/>
        <v>202503</v>
      </c>
      <c r="C628" s="107" t="str">
        <f t="shared" ca="1" si="141"/>
        <v>v1</v>
      </c>
      <c r="D628" s="399" t="str">
        <f ca="1">+D627</f>
        <v>06.02.00.02.</v>
      </c>
      <c r="E628" s="107">
        <f t="shared" si="142"/>
        <v>0</v>
      </c>
      <c r="F628" s="108">
        <f ca="1">OFFSET('Tabla III.2.'!$H$38,H628-1,I628-1)</f>
        <v>0</v>
      </c>
      <c r="G628" s="107" t="str">
        <f ca="1">OFFSET('Tabla III.2.'!$H$1,0,I628-1)</f>
        <v>06</v>
      </c>
      <c r="H628" s="110">
        <f>+H627</f>
        <v>13</v>
      </c>
      <c r="I628" s="110">
        <f>+I627+1</f>
        <v>6</v>
      </c>
      <c r="J628" s="110" t="str">
        <f ca="1">+'Tabla III.2.'!$C$9</f>
        <v>Tabla III.2.</v>
      </c>
      <c r="K628" s="110" t="str">
        <f>+K627</f>
        <v>B</v>
      </c>
      <c r="L628" s="107"/>
    </row>
    <row r="629" spans="1:12" s="415" customFormat="1">
      <c r="A629" s="412" t="s">
        <v>2944</v>
      </c>
      <c r="B629" s="412" t="str">
        <f t="shared" ca="1" si="140"/>
        <v>202502</v>
      </c>
      <c r="C629" s="412" t="str">
        <f t="shared" ca="1" si="141"/>
        <v>v2</v>
      </c>
      <c r="D629" s="413" t="str">
        <f ca="1">OFFSET('Tabla III.2.'!$F$38,H629-1,0)</f>
        <v>06.03.</v>
      </c>
      <c r="E629" s="412">
        <f t="shared" si="142"/>
        <v>0</v>
      </c>
      <c r="F629" s="414">
        <f ca="1">OFFSET('Tabla III.2.'!$H$38,H629-1,I629-1)</f>
        <v>0</v>
      </c>
      <c r="G629" s="412" t="str">
        <f ca="1">OFFSET('Tabla III.2.'!$H$1,0,I629-1)</f>
        <v>01</v>
      </c>
      <c r="H629" s="111">
        <f>+H623+1</f>
        <v>14</v>
      </c>
      <c r="I629" s="111">
        <v>1</v>
      </c>
      <c r="J629" s="111" t="str">
        <f ca="1">+'Tabla III.2.'!$C$9</f>
        <v>Tabla III.2.</v>
      </c>
      <c r="K629" s="111" t="s">
        <v>2267</v>
      </c>
      <c r="L629" s="412">
        <f>+L623+1</f>
        <v>14</v>
      </c>
    </row>
    <row r="630" spans="1:12" s="415" customFormat="1">
      <c r="A630" s="412" t="s">
        <v>2944</v>
      </c>
      <c r="B630" s="412" t="str">
        <f t="shared" ca="1" si="140"/>
        <v>202503</v>
      </c>
      <c r="C630" s="412" t="str">
        <f t="shared" ca="1" si="141"/>
        <v>v1</v>
      </c>
      <c r="D630" s="413" t="str">
        <f ca="1">+D629</f>
        <v>06.03.</v>
      </c>
      <c r="E630" s="412">
        <f t="shared" si="142"/>
        <v>0</v>
      </c>
      <c r="F630" s="414">
        <f ca="1">OFFSET('Tabla III.2.'!$H$38,H630-1,I630-1)</f>
        <v>0</v>
      </c>
      <c r="G630" s="412" t="str">
        <f ca="1">OFFSET('Tabla III.2.'!$H$1,0,I630-1)</f>
        <v>02</v>
      </c>
      <c r="H630" s="111">
        <f>+H629</f>
        <v>14</v>
      </c>
      <c r="I630" s="111">
        <f>+I629+1</f>
        <v>2</v>
      </c>
      <c r="J630" s="111" t="str">
        <f ca="1">+'Tabla III.2.'!$C$9</f>
        <v>Tabla III.2.</v>
      </c>
      <c r="K630" s="111" t="str">
        <f>+K629</f>
        <v>B</v>
      </c>
      <c r="L630" s="412"/>
    </row>
    <row r="631" spans="1:12" s="415" customFormat="1">
      <c r="A631" s="412" t="s">
        <v>2944</v>
      </c>
      <c r="B631" s="412" t="str">
        <f t="shared" ca="1" si="140"/>
        <v>202503</v>
      </c>
      <c r="C631" s="412" t="str">
        <f t="shared" ca="1" si="141"/>
        <v>v1</v>
      </c>
      <c r="D631" s="413" t="str">
        <f ca="1">+D630</f>
        <v>06.03.</v>
      </c>
      <c r="E631" s="412">
        <f t="shared" si="142"/>
        <v>0</v>
      </c>
      <c r="F631" s="414">
        <f ca="1">OFFSET('Tabla III.2.'!$H$38,H631-1,I631-1)</f>
        <v>0</v>
      </c>
      <c r="G631" s="412" t="str">
        <f ca="1">OFFSET('Tabla III.2.'!$H$1,0,I631-1)</f>
        <v>03</v>
      </c>
      <c r="H631" s="111">
        <f>+H630</f>
        <v>14</v>
      </c>
      <c r="I631" s="111">
        <f>+I630+1</f>
        <v>3</v>
      </c>
      <c r="J631" s="111" t="str">
        <f ca="1">+'Tabla III.2.'!$C$9</f>
        <v>Tabla III.2.</v>
      </c>
      <c r="K631" s="111" t="str">
        <f>+K630</f>
        <v>B</v>
      </c>
      <c r="L631" s="412"/>
    </row>
    <row r="632" spans="1:12" s="415" customFormat="1">
      <c r="A632" s="412" t="s">
        <v>2944</v>
      </c>
      <c r="B632" s="412" t="str">
        <f t="shared" ca="1" si="140"/>
        <v>202503</v>
      </c>
      <c r="C632" s="412" t="str">
        <f t="shared" ca="1" si="141"/>
        <v>v1</v>
      </c>
      <c r="D632" s="413" t="str">
        <f ca="1">+D631</f>
        <v>06.03.</v>
      </c>
      <c r="E632" s="412">
        <f t="shared" si="142"/>
        <v>0</v>
      </c>
      <c r="F632" s="414">
        <f ca="1">OFFSET('Tabla III.2.'!$H$38,H632-1,I632-1)</f>
        <v>0</v>
      </c>
      <c r="G632" s="412" t="str">
        <f ca="1">OFFSET('Tabla III.2.'!$H$1,0,I632-1)</f>
        <v>04</v>
      </c>
      <c r="H632" s="111">
        <f>+H631</f>
        <v>14</v>
      </c>
      <c r="I632" s="111">
        <f>+I631+1</f>
        <v>4</v>
      </c>
      <c r="J632" s="111" t="str">
        <f ca="1">+'Tabla III.2.'!$C$9</f>
        <v>Tabla III.2.</v>
      </c>
      <c r="K632" s="111" t="str">
        <f>+K631</f>
        <v>B</v>
      </c>
      <c r="L632" s="412"/>
    </row>
    <row r="633" spans="1:12" s="415" customFormat="1">
      <c r="A633" s="412" t="s">
        <v>2944</v>
      </c>
      <c r="B633" s="412" t="str">
        <f t="shared" ca="1" si="140"/>
        <v>202503</v>
      </c>
      <c r="C633" s="412" t="str">
        <f t="shared" ca="1" si="141"/>
        <v>v1</v>
      </c>
      <c r="D633" s="413" t="str">
        <f ca="1">+D632</f>
        <v>06.03.</v>
      </c>
      <c r="E633" s="412">
        <f t="shared" si="142"/>
        <v>0</v>
      </c>
      <c r="F633" s="414">
        <f ca="1">OFFSET('Tabla III.2.'!$H$38,H633-1,I633-1)</f>
        <v>0</v>
      </c>
      <c r="G633" s="412" t="str">
        <f ca="1">OFFSET('Tabla III.2.'!$H$1,0,I633-1)</f>
        <v>05</v>
      </c>
      <c r="H633" s="111">
        <f>+H632</f>
        <v>14</v>
      </c>
      <c r="I633" s="111">
        <f>+I632+1</f>
        <v>5</v>
      </c>
      <c r="J633" s="111" t="str">
        <f ca="1">+'Tabla III.2.'!$C$9</f>
        <v>Tabla III.2.</v>
      </c>
      <c r="K633" s="111" t="str">
        <f>+K632</f>
        <v>B</v>
      </c>
      <c r="L633" s="412"/>
    </row>
    <row r="634" spans="1:12" s="415" customFormat="1">
      <c r="A634" s="412" t="s">
        <v>2944</v>
      </c>
      <c r="B634" s="412" t="str">
        <f t="shared" ca="1" si="140"/>
        <v>202503</v>
      </c>
      <c r="C634" s="412" t="str">
        <f t="shared" ca="1" si="141"/>
        <v>v1</v>
      </c>
      <c r="D634" s="413" t="str">
        <f ca="1">+D633</f>
        <v>06.03.</v>
      </c>
      <c r="E634" s="412">
        <f t="shared" si="142"/>
        <v>0</v>
      </c>
      <c r="F634" s="414">
        <f ca="1">OFFSET('Tabla III.2.'!$H$38,H634-1,I634-1)</f>
        <v>0</v>
      </c>
      <c r="G634" s="412" t="str">
        <f ca="1">OFFSET('Tabla III.2.'!$H$1,0,I634-1)</f>
        <v>06</v>
      </c>
      <c r="H634" s="111">
        <f>+H633</f>
        <v>14</v>
      </c>
      <c r="I634" s="111">
        <f>+I633+1</f>
        <v>6</v>
      </c>
      <c r="J634" s="111" t="str">
        <f ca="1">+'Tabla III.2.'!$C$9</f>
        <v>Tabla III.2.</v>
      </c>
      <c r="K634" s="111" t="str">
        <f>+K633</f>
        <v>B</v>
      </c>
      <c r="L634" s="412"/>
    </row>
    <row r="635" spans="1:12" s="112" customFormat="1">
      <c r="A635" s="107" t="s">
        <v>2944</v>
      </c>
      <c r="B635" s="107" t="str">
        <f t="shared" ca="1" si="140"/>
        <v>202502</v>
      </c>
      <c r="C635" s="107" t="str">
        <f t="shared" ca="1" si="141"/>
        <v>v2</v>
      </c>
      <c r="D635" s="399" t="str">
        <f ca="1">OFFSET('Tabla III.2.'!$F$38,H635-1,0)</f>
        <v>06.03.00.01.</v>
      </c>
      <c r="E635" s="107">
        <f t="shared" si="142"/>
        <v>0</v>
      </c>
      <c r="F635" s="108">
        <f ca="1">OFFSET('Tabla III.2.'!$H$38,H635-1,I635-1)</f>
        <v>0</v>
      </c>
      <c r="G635" s="107" t="str">
        <f ca="1">OFFSET('Tabla III.2.'!$H$1,0,I635-1)</f>
        <v>01</v>
      </c>
      <c r="H635" s="110">
        <f>+H629+1</f>
        <v>15</v>
      </c>
      <c r="I635" s="110">
        <v>1</v>
      </c>
      <c r="J635" s="110" t="str">
        <f ca="1">+'Tabla III.2.'!$C$9</f>
        <v>Tabla III.2.</v>
      </c>
      <c r="K635" s="110" t="s">
        <v>2267</v>
      </c>
      <c r="L635" s="107">
        <f>+L629+1</f>
        <v>15</v>
      </c>
    </row>
    <row r="636" spans="1:12" s="112" customFormat="1">
      <c r="A636" s="107" t="s">
        <v>2944</v>
      </c>
      <c r="B636" s="107" t="str">
        <f t="shared" ca="1" si="140"/>
        <v>202503</v>
      </c>
      <c r="C636" s="107" t="str">
        <f t="shared" ca="1" si="141"/>
        <v>v1</v>
      </c>
      <c r="D636" s="399" t="str">
        <f ca="1">+D635</f>
        <v>06.03.00.01.</v>
      </c>
      <c r="E636" s="107">
        <f t="shared" si="142"/>
        <v>0</v>
      </c>
      <c r="F636" s="108">
        <f ca="1">OFFSET('Tabla III.2.'!$H$38,H636-1,I636-1)</f>
        <v>0</v>
      </c>
      <c r="G636" s="107" t="str">
        <f ca="1">OFFSET('Tabla III.2.'!$H$1,0,I636-1)</f>
        <v>02</v>
      </c>
      <c r="H636" s="110">
        <f>+H635</f>
        <v>15</v>
      </c>
      <c r="I636" s="110">
        <f>+I635+1</f>
        <v>2</v>
      </c>
      <c r="J636" s="110" t="str">
        <f ca="1">+'Tabla III.2.'!$C$9</f>
        <v>Tabla III.2.</v>
      </c>
      <c r="K636" s="110" t="str">
        <f>+K635</f>
        <v>B</v>
      </c>
      <c r="L636" s="107"/>
    </row>
    <row r="637" spans="1:12" s="112" customFormat="1">
      <c r="A637" s="107" t="s">
        <v>2944</v>
      </c>
      <c r="B637" s="107" t="str">
        <f t="shared" ca="1" si="140"/>
        <v>202503</v>
      </c>
      <c r="C637" s="107" t="str">
        <f t="shared" ca="1" si="141"/>
        <v>v1</v>
      </c>
      <c r="D637" s="399" t="str">
        <f ca="1">+D636</f>
        <v>06.03.00.01.</v>
      </c>
      <c r="E637" s="107">
        <f t="shared" si="142"/>
        <v>0</v>
      </c>
      <c r="F637" s="108">
        <f ca="1">OFFSET('Tabla III.2.'!$H$38,H637-1,I637-1)</f>
        <v>0</v>
      </c>
      <c r="G637" s="107" t="str">
        <f ca="1">OFFSET('Tabla III.2.'!$H$1,0,I637-1)</f>
        <v>03</v>
      </c>
      <c r="H637" s="110">
        <f>+H636</f>
        <v>15</v>
      </c>
      <c r="I637" s="110">
        <f>+I636+1</f>
        <v>3</v>
      </c>
      <c r="J637" s="110" t="str">
        <f ca="1">+'Tabla III.2.'!$C$9</f>
        <v>Tabla III.2.</v>
      </c>
      <c r="K637" s="110" t="str">
        <f>+K636</f>
        <v>B</v>
      </c>
      <c r="L637" s="107"/>
    </row>
    <row r="638" spans="1:12" s="112" customFormat="1">
      <c r="A638" s="107" t="s">
        <v>2944</v>
      </c>
      <c r="B638" s="107" t="str">
        <f t="shared" ca="1" si="140"/>
        <v>202503</v>
      </c>
      <c r="C638" s="107" t="str">
        <f t="shared" ca="1" si="141"/>
        <v>v1</v>
      </c>
      <c r="D638" s="399" t="str">
        <f ca="1">+D637</f>
        <v>06.03.00.01.</v>
      </c>
      <c r="E638" s="107">
        <f t="shared" si="142"/>
        <v>0</v>
      </c>
      <c r="F638" s="108">
        <f ca="1">OFFSET('Tabla III.2.'!$H$38,H638-1,I638-1)</f>
        <v>0</v>
      </c>
      <c r="G638" s="107" t="str">
        <f ca="1">OFFSET('Tabla III.2.'!$H$1,0,I638-1)</f>
        <v>04</v>
      </c>
      <c r="H638" s="110">
        <f>+H637</f>
        <v>15</v>
      </c>
      <c r="I638" s="110">
        <f>+I637+1</f>
        <v>4</v>
      </c>
      <c r="J638" s="110" t="str">
        <f ca="1">+'Tabla III.2.'!$C$9</f>
        <v>Tabla III.2.</v>
      </c>
      <c r="K638" s="110" t="str">
        <f>+K637</f>
        <v>B</v>
      </c>
      <c r="L638" s="107"/>
    </row>
    <row r="639" spans="1:12" s="112" customFormat="1">
      <c r="A639" s="107" t="s">
        <v>2944</v>
      </c>
      <c r="B639" s="107" t="str">
        <f t="shared" ca="1" si="140"/>
        <v>202503</v>
      </c>
      <c r="C639" s="107" t="str">
        <f t="shared" ca="1" si="141"/>
        <v>v1</v>
      </c>
      <c r="D639" s="399" t="str">
        <f ca="1">+D638</f>
        <v>06.03.00.01.</v>
      </c>
      <c r="E639" s="107">
        <f t="shared" si="142"/>
        <v>0</v>
      </c>
      <c r="F639" s="108">
        <f ca="1">OFFSET('Tabla III.2.'!$H$38,H639-1,I639-1)</f>
        <v>0</v>
      </c>
      <c r="G639" s="107" t="str">
        <f ca="1">OFFSET('Tabla III.2.'!$H$1,0,I639-1)</f>
        <v>05</v>
      </c>
      <c r="H639" s="110">
        <f>+H638</f>
        <v>15</v>
      </c>
      <c r="I639" s="110">
        <f>+I638+1</f>
        <v>5</v>
      </c>
      <c r="J639" s="110" t="str">
        <f ca="1">+'Tabla III.2.'!$C$9</f>
        <v>Tabla III.2.</v>
      </c>
      <c r="K639" s="110" t="str">
        <f>+K638</f>
        <v>B</v>
      </c>
      <c r="L639" s="107"/>
    </row>
    <row r="640" spans="1:12" s="112" customFormat="1">
      <c r="A640" s="107" t="s">
        <v>2944</v>
      </c>
      <c r="B640" s="107" t="str">
        <f t="shared" ca="1" si="140"/>
        <v>202503</v>
      </c>
      <c r="C640" s="107" t="str">
        <f t="shared" ca="1" si="141"/>
        <v>v1</v>
      </c>
      <c r="D640" s="399" t="str">
        <f ca="1">+D639</f>
        <v>06.03.00.01.</v>
      </c>
      <c r="E640" s="107">
        <f t="shared" si="142"/>
        <v>0</v>
      </c>
      <c r="F640" s="108">
        <f ca="1">OFFSET('Tabla III.2.'!$H$38,H640-1,I640-1)</f>
        <v>0</v>
      </c>
      <c r="G640" s="107" t="str">
        <f ca="1">OFFSET('Tabla III.2.'!$H$1,0,I640-1)</f>
        <v>06</v>
      </c>
      <c r="H640" s="110">
        <f>+H639</f>
        <v>15</v>
      </c>
      <c r="I640" s="110">
        <f>+I639+1</f>
        <v>6</v>
      </c>
      <c r="J640" s="110" t="str">
        <f ca="1">+'Tabla III.2.'!$C$9</f>
        <v>Tabla III.2.</v>
      </c>
      <c r="K640" s="110" t="str">
        <f>+K639</f>
        <v>B</v>
      </c>
      <c r="L640" s="107"/>
    </row>
    <row r="641" spans="1:12" s="415" customFormat="1">
      <c r="A641" s="412" t="s">
        <v>2944</v>
      </c>
      <c r="B641" s="412" t="str">
        <f t="shared" ca="1" si="140"/>
        <v>202502</v>
      </c>
      <c r="C641" s="412" t="str">
        <f t="shared" ca="1" si="141"/>
        <v>v2</v>
      </c>
      <c r="D641" s="413" t="str">
        <f ca="1">OFFSET('Tabla III.2.'!$F$38,H641-1,0)</f>
        <v>06.03.00.02.</v>
      </c>
      <c r="E641" s="412">
        <f t="shared" si="142"/>
        <v>0</v>
      </c>
      <c r="F641" s="414">
        <f ca="1">OFFSET('Tabla III.2.'!$H$38,H641-1,I641-1)</f>
        <v>0</v>
      </c>
      <c r="G641" s="412" t="str">
        <f ca="1">OFFSET('Tabla III.2.'!$H$1,0,I641-1)</f>
        <v>01</v>
      </c>
      <c r="H641" s="111">
        <f>+H635+1</f>
        <v>16</v>
      </c>
      <c r="I641" s="111">
        <v>1</v>
      </c>
      <c r="J641" s="111" t="str">
        <f ca="1">+'Tabla III.2.'!$C$9</f>
        <v>Tabla III.2.</v>
      </c>
      <c r="K641" s="111" t="s">
        <v>2267</v>
      </c>
      <c r="L641" s="412">
        <f>+L635+1</f>
        <v>16</v>
      </c>
    </row>
    <row r="642" spans="1:12" s="415" customFormat="1">
      <c r="A642" s="412" t="s">
        <v>2944</v>
      </c>
      <c r="B642" s="412" t="str">
        <f t="shared" ref="B642:B658" ca="1" si="143">IF(G642="01",(IF(TRIM&gt;1,CONCATENATE(ANUAL,"0",TRIM-1),CONCATENATE(ANUAL-1,"04"))),PERIODO)</f>
        <v>202503</v>
      </c>
      <c r="C642" s="412" t="str">
        <f t="shared" ca="1" si="141"/>
        <v>v1</v>
      </c>
      <c r="D642" s="413" t="str">
        <f ca="1">+D641</f>
        <v>06.03.00.02.</v>
      </c>
      <c r="E642" s="412">
        <f t="shared" si="142"/>
        <v>0</v>
      </c>
      <c r="F642" s="414">
        <f ca="1">OFFSET('Tabla III.2.'!$H$38,H642-1,I642-1)</f>
        <v>0</v>
      </c>
      <c r="G642" s="412" t="str">
        <f ca="1">OFFSET('Tabla III.2.'!$H$1,0,I642-1)</f>
        <v>02</v>
      </c>
      <c r="H642" s="111">
        <f>+H641</f>
        <v>16</v>
      </c>
      <c r="I642" s="111">
        <f>+I641+1</f>
        <v>2</v>
      </c>
      <c r="J642" s="111" t="str">
        <f ca="1">+'Tabla III.2.'!$C$9</f>
        <v>Tabla III.2.</v>
      </c>
      <c r="K642" s="111" t="str">
        <f>+K641</f>
        <v>B</v>
      </c>
      <c r="L642" s="412"/>
    </row>
    <row r="643" spans="1:12" s="415" customFormat="1">
      <c r="A643" s="412" t="s">
        <v>2944</v>
      </c>
      <c r="B643" s="412" t="str">
        <f t="shared" ca="1" si="143"/>
        <v>202503</v>
      </c>
      <c r="C643" s="412" t="str">
        <f t="shared" ca="1" si="141"/>
        <v>v1</v>
      </c>
      <c r="D643" s="413" t="str">
        <f ca="1">+D642</f>
        <v>06.03.00.02.</v>
      </c>
      <c r="E643" s="412">
        <f t="shared" si="142"/>
        <v>0</v>
      </c>
      <c r="F643" s="414">
        <f ca="1">OFFSET('Tabla III.2.'!$H$38,H643-1,I643-1)</f>
        <v>0</v>
      </c>
      <c r="G643" s="412" t="str">
        <f ca="1">OFFSET('Tabla III.2.'!$H$1,0,I643-1)</f>
        <v>03</v>
      </c>
      <c r="H643" s="111">
        <f>+H642</f>
        <v>16</v>
      </c>
      <c r="I643" s="111">
        <f>+I642+1</f>
        <v>3</v>
      </c>
      <c r="J643" s="111" t="str">
        <f ca="1">+'Tabla III.2.'!$C$9</f>
        <v>Tabla III.2.</v>
      </c>
      <c r="K643" s="111" t="str">
        <f>+K642</f>
        <v>B</v>
      </c>
      <c r="L643" s="412"/>
    </row>
    <row r="644" spans="1:12" s="415" customFormat="1">
      <c r="A644" s="412" t="s">
        <v>2944</v>
      </c>
      <c r="B644" s="412" t="str">
        <f t="shared" ca="1" si="143"/>
        <v>202503</v>
      </c>
      <c r="C644" s="412" t="str">
        <f t="shared" ca="1" si="141"/>
        <v>v1</v>
      </c>
      <c r="D644" s="413" t="str">
        <f ca="1">+D643</f>
        <v>06.03.00.02.</v>
      </c>
      <c r="E644" s="412">
        <f t="shared" si="142"/>
        <v>0</v>
      </c>
      <c r="F644" s="414">
        <f ca="1">OFFSET('Tabla III.2.'!$H$38,H644-1,I644-1)</f>
        <v>0</v>
      </c>
      <c r="G644" s="412" t="str">
        <f ca="1">OFFSET('Tabla III.2.'!$H$1,0,I644-1)</f>
        <v>04</v>
      </c>
      <c r="H644" s="111">
        <f>+H643</f>
        <v>16</v>
      </c>
      <c r="I644" s="111">
        <f>+I643+1</f>
        <v>4</v>
      </c>
      <c r="J644" s="111" t="str">
        <f ca="1">+'Tabla III.2.'!$C$9</f>
        <v>Tabla III.2.</v>
      </c>
      <c r="K644" s="111" t="str">
        <f>+K643</f>
        <v>B</v>
      </c>
      <c r="L644" s="412"/>
    </row>
    <row r="645" spans="1:12" s="415" customFormat="1">
      <c r="A645" s="412" t="s">
        <v>2944</v>
      </c>
      <c r="B645" s="412" t="str">
        <f t="shared" ca="1" si="143"/>
        <v>202503</v>
      </c>
      <c r="C645" s="412" t="str">
        <f t="shared" ca="1" si="141"/>
        <v>v1</v>
      </c>
      <c r="D645" s="413" t="str">
        <f ca="1">+D644</f>
        <v>06.03.00.02.</v>
      </c>
      <c r="E645" s="412">
        <f t="shared" si="142"/>
        <v>0</v>
      </c>
      <c r="F645" s="414">
        <f ca="1">OFFSET('Tabla III.2.'!$H$38,H645-1,I645-1)</f>
        <v>0</v>
      </c>
      <c r="G645" s="412" t="str">
        <f ca="1">OFFSET('Tabla III.2.'!$H$1,0,I645-1)</f>
        <v>05</v>
      </c>
      <c r="H645" s="111">
        <f>+H644</f>
        <v>16</v>
      </c>
      <c r="I645" s="111">
        <f>+I644+1</f>
        <v>5</v>
      </c>
      <c r="J645" s="111" t="str">
        <f ca="1">+'Tabla III.2.'!$C$9</f>
        <v>Tabla III.2.</v>
      </c>
      <c r="K645" s="111" t="str">
        <f>+K644</f>
        <v>B</v>
      </c>
      <c r="L645" s="412"/>
    </row>
    <row r="646" spans="1:12" s="415" customFormat="1">
      <c r="A646" s="412" t="s">
        <v>2944</v>
      </c>
      <c r="B646" s="412" t="str">
        <f t="shared" ca="1" si="143"/>
        <v>202503</v>
      </c>
      <c r="C646" s="412" t="str">
        <f t="shared" ca="1" si="141"/>
        <v>v1</v>
      </c>
      <c r="D646" s="413" t="str">
        <f ca="1">+D645</f>
        <v>06.03.00.02.</v>
      </c>
      <c r="E646" s="412">
        <f t="shared" si="142"/>
        <v>0</v>
      </c>
      <c r="F646" s="414">
        <f ca="1">OFFSET('Tabla III.2.'!$H$38,H646-1,I646-1)</f>
        <v>0</v>
      </c>
      <c r="G646" s="412" t="str">
        <f ca="1">OFFSET('Tabla III.2.'!$H$1,0,I646-1)</f>
        <v>06</v>
      </c>
      <c r="H646" s="111">
        <f>+H645</f>
        <v>16</v>
      </c>
      <c r="I646" s="111">
        <f>+I645+1</f>
        <v>6</v>
      </c>
      <c r="J646" s="111" t="str">
        <f ca="1">+'Tabla III.2.'!$C$9</f>
        <v>Tabla III.2.</v>
      </c>
      <c r="K646" s="111" t="str">
        <f>+K645</f>
        <v>B</v>
      </c>
      <c r="L646" s="412"/>
    </row>
    <row r="647" spans="1:12" s="112" customFormat="1">
      <c r="A647" s="107" t="s">
        <v>2944</v>
      </c>
      <c r="B647" s="107" t="str">
        <f t="shared" ca="1" si="143"/>
        <v>202502</v>
      </c>
      <c r="C647" s="107" t="str">
        <f t="shared" ca="1" si="141"/>
        <v>v2</v>
      </c>
      <c r="D647" s="399" t="str">
        <f ca="1">OFFSET('Tabla III.2.'!$F$38,H647-1,0)</f>
        <v>06.04.</v>
      </c>
      <c r="E647" s="107">
        <f t="shared" si="142"/>
        <v>0</v>
      </c>
      <c r="F647" s="108">
        <f ca="1">OFFSET('Tabla III.2.'!$H$38,H647-1,I647-1)</f>
        <v>0</v>
      </c>
      <c r="G647" s="107" t="str">
        <f ca="1">OFFSET('Tabla III.2.'!$H$1,0,I647-1)</f>
        <v>01</v>
      </c>
      <c r="H647" s="110">
        <f>+H641+1</f>
        <v>17</v>
      </c>
      <c r="I647" s="110">
        <v>1</v>
      </c>
      <c r="J647" s="110" t="str">
        <f ca="1">+'Tabla III.2.'!$C$9</f>
        <v>Tabla III.2.</v>
      </c>
      <c r="K647" s="110" t="s">
        <v>2267</v>
      </c>
      <c r="L647" s="107">
        <f>+L641+1</f>
        <v>17</v>
      </c>
    </row>
    <row r="648" spans="1:12" s="112" customFormat="1">
      <c r="A648" s="107" t="s">
        <v>2944</v>
      </c>
      <c r="B648" s="107" t="str">
        <f t="shared" ca="1" si="143"/>
        <v>202503</v>
      </c>
      <c r="C648" s="107" t="str">
        <f t="shared" ca="1" si="141"/>
        <v>v1</v>
      </c>
      <c r="D648" s="399" t="str">
        <f ca="1">+D647</f>
        <v>06.04.</v>
      </c>
      <c r="E648" s="107">
        <f t="shared" si="142"/>
        <v>0</v>
      </c>
      <c r="F648" s="108">
        <f ca="1">OFFSET('Tabla III.2.'!$H$38,H648-1,I648-1)</f>
        <v>0</v>
      </c>
      <c r="G648" s="107" t="str">
        <f ca="1">OFFSET('Tabla III.2.'!$H$1,0,I648-1)</f>
        <v>02</v>
      </c>
      <c r="H648" s="110">
        <f>+H647</f>
        <v>17</v>
      </c>
      <c r="I648" s="110">
        <f>+I647+1</f>
        <v>2</v>
      </c>
      <c r="J648" s="110" t="str">
        <f ca="1">+'Tabla III.2.'!$C$9</f>
        <v>Tabla III.2.</v>
      </c>
      <c r="K648" s="110" t="str">
        <f>+K647</f>
        <v>B</v>
      </c>
      <c r="L648" s="107"/>
    </row>
    <row r="649" spans="1:12" s="112" customFormat="1">
      <c r="A649" s="107" t="s">
        <v>2944</v>
      </c>
      <c r="B649" s="107" t="str">
        <f t="shared" ca="1" si="143"/>
        <v>202503</v>
      </c>
      <c r="C649" s="107" t="str">
        <f t="shared" ca="1" si="141"/>
        <v>v1</v>
      </c>
      <c r="D649" s="399" t="str">
        <f ca="1">+D648</f>
        <v>06.04.</v>
      </c>
      <c r="E649" s="107">
        <f t="shared" si="142"/>
        <v>0</v>
      </c>
      <c r="F649" s="108">
        <f ca="1">OFFSET('Tabla III.2.'!$H$38,H649-1,I649-1)</f>
        <v>0</v>
      </c>
      <c r="G649" s="107" t="str">
        <f ca="1">OFFSET('Tabla III.2.'!$H$1,0,I649-1)</f>
        <v>03</v>
      </c>
      <c r="H649" s="110">
        <f>+H648</f>
        <v>17</v>
      </c>
      <c r="I649" s="110">
        <f>+I648+1</f>
        <v>3</v>
      </c>
      <c r="J649" s="110" t="str">
        <f ca="1">+'Tabla III.2.'!$C$9</f>
        <v>Tabla III.2.</v>
      </c>
      <c r="K649" s="110" t="str">
        <f>+K648</f>
        <v>B</v>
      </c>
      <c r="L649" s="107"/>
    </row>
    <row r="650" spans="1:12" s="112" customFormat="1">
      <c r="A650" s="107" t="s">
        <v>2944</v>
      </c>
      <c r="B650" s="107" t="str">
        <f t="shared" ca="1" si="143"/>
        <v>202503</v>
      </c>
      <c r="C650" s="107" t="str">
        <f t="shared" ca="1" si="141"/>
        <v>v1</v>
      </c>
      <c r="D650" s="399" t="str">
        <f ca="1">+D649</f>
        <v>06.04.</v>
      </c>
      <c r="E650" s="107">
        <f t="shared" si="142"/>
        <v>0</v>
      </c>
      <c r="F650" s="108">
        <f ca="1">OFFSET('Tabla III.2.'!$H$38,H650-1,I650-1)</f>
        <v>0</v>
      </c>
      <c r="G650" s="107" t="str">
        <f ca="1">OFFSET('Tabla III.2.'!$H$1,0,I650-1)</f>
        <v>04</v>
      </c>
      <c r="H650" s="110">
        <f>+H649</f>
        <v>17</v>
      </c>
      <c r="I650" s="110">
        <f>+I649+1</f>
        <v>4</v>
      </c>
      <c r="J650" s="110" t="str">
        <f ca="1">+'Tabla III.2.'!$C$9</f>
        <v>Tabla III.2.</v>
      </c>
      <c r="K650" s="110" t="str">
        <f>+K649</f>
        <v>B</v>
      </c>
      <c r="L650" s="107"/>
    </row>
    <row r="651" spans="1:12" s="112" customFormat="1">
      <c r="A651" s="107" t="s">
        <v>2944</v>
      </c>
      <c r="B651" s="107" t="str">
        <f t="shared" ca="1" si="143"/>
        <v>202503</v>
      </c>
      <c r="C651" s="107" t="str">
        <f t="shared" ca="1" si="141"/>
        <v>v1</v>
      </c>
      <c r="D651" s="399" t="str">
        <f ca="1">+D650</f>
        <v>06.04.</v>
      </c>
      <c r="E651" s="107">
        <f t="shared" si="142"/>
        <v>0</v>
      </c>
      <c r="F651" s="108">
        <f ca="1">OFFSET('Tabla III.2.'!$H$38,H651-1,I651-1)</f>
        <v>0</v>
      </c>
      <c r="G651" s="107" t="str">
        <f ca="1">OFFSET('Tabla III.2.'!$H$1,0,I651-1)</f>
        <v>05</v>
      </c>
      <c r="H651" s="110">
        <f>+H650</f>
        <v>17</v>
      </c>
      <c r="I651" s="110">
        <f>+I650+1</f>
        <v>5</v>
      </c>
      <c r="J651" s="110" t="str">
        <f ca="1">+'Tabla III.2.'!$C$9</f>
        <v>Tabla III.2.</v>
      </c>
      <c r="K651" s="110" t="str">
        <f>+K650</f>
        <v>B</v>
      </c>
      <c r="L651" s="107"/>
    </row>
    <row r="652" spans="1:12" s="112" customFormat="1">
      <c r="A652" s="107" t="s">
        <v>2944</v>
      </c>
      <c r="B652" s="107" t="str">
        <f t="shared" ca="1" si="143"/>
        <v>202503</v>
      </c>
      <c r="C652" s="107" t="str">
        <f t="shared" ca="1" si="141"/>
        <v>v1</v>
      </c>
      <c r="D652" s="399" t="str">
        <f ca="1">+D651</f>
        <v>06.04.</v>
      </c>
      <c r="E652" s="107">
        <f t="shared" si="142"/>
        <v>0</v>
      </c>
      <c r="F652" s="108">
        <f ca="1">OFFSET('Tabla III.2.'!$H$38,H652-1,I652-1)</f>
        <v>0</v>
      </c>
      <c r="G652" s="107" t="str">
        <f ca="1">OFFSET('Tabla III.2.'!$H$1,0,I652-1)</f>
        <v>06</v>
      </c>
      <c r="H652" s="110">
        <f>+H651</f>
        <v>17</v>
      </c>
      <c r="I652" s="110">
        <f>+I651+1</f>
        <v>6</v>
      </c>
      <c r="J652" s="110" t="str">
        <f ca="1">+'Tabla III.2.'!$C$9</f>
        <v>Tabla III.2.</v>
      </c>
      <c r="K652" s="110" t="str">
        <f>+K651</f>
        <v>B</v>
      </c>
      <c r="L652" s="107"/>
    </row>
    <row r="653" spans="1:12" s="415" customFormat="1">
      <c r="A653" s="412" t="s">
        <v>2944</v>
      </c>
      <c r="B653" s="412" t="str">
        <f t="shared" ca="1" si="143"/>
        <v>202502</v>
      </c>
      <c r="C653" s="412" t="str">
        <f t="shared" ca="1" si="141"/>
        <v>v2</v>
      </c>
      <c r="D653" s="413" t="str">
        <f ca="1">OFFSET('Tabla III.2.'!$F$38,H653-1,0)</f>
        <v>06.99.</v>
      </c>
      <c r="E653" s="412">
        <f t="shared" si="142"/>
        <v>0</v>
      </c>
      <c r="F653" s="414">
        <f ca="1">OFFSET('Tabla III.2.'!$H$38,H653-1,I653-1)</f>
        <v>0</v>
      </c>
      <c r="G653" s="412" t="str">
        <f ca="1">OFFSET('Tabla III.2.'!$H$1,0,I653-1)</f>
        <v>01</v>
      </c>
      <c r="H653" s="111">
        <f>+H647+1</f>
        <v>18</v>
      </c>
      <c r="I653" s="111">
        <v>1</v>
      </c>
      <c r="J653" s="111" t="str">
        <f ca="1">+'Tabla III.2.'!$C$9</f>
        <v>Tabla III.2.</v>
      </c>
      <c r="K653" s="111" t="s">
        <v>2267</v>
      </c>
      <c r="L653" s="412">
        <f>+L647+1</f>
        <v>18</v>
      </c>
    </row>
    <row r="654" spans="1:12" s="415" customFormat="1">
      <c r="A654" s="412" t="s">
        <v>2944</v>
      </c>
      <c r="B654" s="412" t="str">
        <f t="shared" ca="1" si="143"/>
        <v>202503</v>
      </c>
      <c r="C654" s="412" t="str">
        <f t="shared" ca="1" si="141"/>
        <v>v1</v>
      </c>
      <c r="D654" s="413" t="str">
        <f ca="1">+D653</f>
        <v>06.99.</v>
      </c>
      <c r="E654" s="412">
        <f t="shared" si="142"/>
        <v>0</v>
      </c>
      <c r="F654" s="414">
        <f ca="1">OFFSET('Tabla III.2.'!$H$38,H654-1,I654-1)</f>
        <v>0</v>
      </c>
      <c r="G654" s="412" t="str">
        <f ca="1">OFFSET('Tabla III.2.'!$H$1,0,I654-1)</f>
        <v>02</v>
      </c>
      <c r="H654" s="111">
        <f>+H653</f>
        <v>18</v>
      </c>
      <c r="I654" s="111">
        <f>+I653+1</f>
        <v>2</v>
      </c>
      <c r="J654" s="111" t="str">
        <f ca="1">+'Tabla III.2.'!$C$9</f>
        <v>Tabla III.2.</v>
      </c>
      <c r="K654" s="111" t="str">
        <f>+K653</f>
        <v>B</v>
      </c>
      <c r="L654" s="412"/>
    </row>
    <row r="655" spans="1:12" s="415" customFormat="1">
      <c r="A655" s="412" t="s">
        <v>2944</v>
      </c>
      <c r="B655" s="412" t="str">
        <f t="shared" ca="1" si="143"/>
        <v>202503</v>
      </c>
      <c r="C655" s="412" t="str">
        <f t="shared" ca="1" si="141"/>
        <v>v1</v>
      </c>
      <c r="D655" s="413" t="str">
        <f ca="1">+D654</f>
        <v>06.99.</v>
      </c>
      <c r="E655" s="412">
        <f t="shared" si="142"/>
        <v>0</v>
      </c>
      <c r="F655" s="414">
        <f ca="1">OFFSET('Tabla III.2.'!$H$38,H655-1,I655-1)</f>
        <v>0</v>
      </c>
      <c r="G655" s="412" t="str">
        <f ca="1">OFFSET('Tabla III.2.'!$H$1,0,I655-1)</f>
        <v>03</v>
      </c>
      <c r="H655" s="111">
        <f>+H654</f>
        <v>18</v>
      </c>
      <c r="I655" s="111">
        <f>+I654+1</f>
        <v>3</v>
      </c>
      <c r="J655" s="111" t="str">
        <f ca="1">+'Tabla III.2.'!$C$9</f>
        <v>Tabla III.2.</v>
      </c>
      <c r="K655" s="111" t="str">
        <f>+K654</f>
        <v>B</v>
      </c>
      <c r="L655" s="412"/>
    </row>
    <row r="656" spans="1:12" s="415" customFormat="1">
      <c r="A656" s="412" t="s">
        <v>2944</v>
      </c>
      <c r="B656" s="412" t="str">
        <f t="shared" ca="1" si="143"/>
        <v>202503</v>
      </c>
      <c r="C656" s="412" t="str">
        <f t="shared" ca="1" si="141"/>
        <v>v1</v>
      </c>
      <c r="D656" s="413" t="str">
        <f ca="1">+D655</f>
        <v>06.99.</v>
      </c>
      <c r="E656" s="412">
        <f t="shared" si="142"/>
        <v>0</v>
      </c>
      <c r="F656" s="414">
        <f ca="1">OFFSET('Tabla III.2.'!$H$38,H656-1,I656-1)</f>
        <v>0</v>
      </c>
      <c r="G656" s="412" t="str">
        <f ca="1">OFFSET('Tabla III.2.'!$H$1,0,I656-1)</f>
        <v>04</v>
      </c>
      <c r="H656" s="111">
        <f>+H655</f>
        <v>18</v>
      </c>
      <c r="I656" s="111">
        <f>+I655+1</f>
        <v>4</v>
      </c>
      <c r="J656" s="111" t="str">
        <f ca="1">+'Tabla III.2.'!$C$9</f>
        <v>Tabla III.2.</v>
      </c>
      <c r="K656" s="111" t="str">
        <f>+K655</f>
        <v>B</v>
      </c>
      <c r="L656" s="412"/>
    </row>
    <row r="657" spans="1:12" s="415" customFormat="1">
      <c r="A657" s="412" t="s">
        <v>2944</v>
      </c>
      <c r="B657" s="412" t="str">
        <f t="shared" ca="1" si="143"/>
        <v>202503</v>
      </c>
      <c r="C657" s="412" t="str">
        <f t="shared" ca="1" si="141"/>
        <v>v1</v>
      </c>
      <c r="D657" s="413" t="str">
        <f ca="1">+D656</f>
        <v>06.99.</v>
      </c>
      <c r="E657" s="412">
        <f t="shared" si="142"/>
        <v>0</v>
      </c>
      <c r="F657" s="414">
        <f ca="1">OFFSET('Tabla III.2.'!$H$38,H657-1,I657-1)</f>
        <v>0</v>
      </c>
      <c r="G657" s="412" t="str">
        <f ca="1">OFFSET('Tabla III.2.'!$H$1,0,I657-1)</f>
        <v>05</v>
      </c>
      <c r="H657" s="111">
        <f>+H656</f>
        <v>18</v>
      </c>
      <c r="I657" s="111">
        <f>+I656+1</f>
        <v>5</v>
      </c>
      <c r="J657" s="111" t="str">
        <f ca="1">+'Tabla III.2.'!$C$9</f>
        <v>Tabla III.2.</v>
      </c>
      <c r="K657" s="111" t="str">
        <f>+K656</f>
        <v>B</v>
      </c>
      <c r="L657" s="412"/>
    </row>
    <row r="658" spans="1:12" s="415" customFormat="1">
      <c r="A658" s="412" t="s">
        <v>2944</v>
      </c>
      <c r="B658" s="412" t="str">
        <f t="shared" ca="1" si="143"/>
        <v>202503</v>
      </c>
      <c r="C658" s="412" t="str">
        <f t="shared" ca="1" si="141"/>
        <v>v1</v>
      </c>
      <c r="D658" s="413" t="str">
        <f ca="1">+D657</f>
        <v>06.99.</v>
      </c>
      <c r="E658" s="412">
        <f t="shared" si="142"/>
        <v>0</v>
      </c>
      <c r="F658" s="414">
        <f ca="1">OFFSET('Tabla III.2.'!$H$38,H658-1,I658-1)</f>
        <v>0</v>
      </c>
      <c r="G658" s="412" t="str">
        <f ca="1">OFFSET('Tabla III.2.'!$H$1,0,I658-1)</f>
        <v>06</v>
      </c>
      <c r="H658" s="111">
        <f>+H657</f>
        <v>18</v>
      </c>
      <c r="I658" s="111">
        <f>+I657+1</f>
        <v>6</v>
      </c>
      <c r="J658" s="111" t="str">
        <f ca="1">+'Tabla III.2.'!$C$9</f>
        <v>Tabla III.2.</v>
      </c>
      <c r="K658" s="111" t="str">
        <f>+K657</f>
        <v>B</v>
      </c>
      <c r="L658" s="412"/>
    </row>
    <row r="659" spans="1:12" s="415" customFormat="1">
      <c r="A659" s="475" t="s">
        <v>2944</v>
      </c>
      <c r="B659" s="475" t="str">
        <f t="shared" ref="B659:B722" si="144">PERIODO</f>
        <v>202503</v>
      </c>
      <c r="C659" s="475" t="s">
        <v>2945</v>
      </c>
      <c r="D659" s="476" t="str">
        <f ca="1">OFFSET('Tabla III.3.'!$F$12,H659-1,0)</f>
        <v>07.01.</v>
      </c>
      <c r="E659" s="475">
        <f t="shared" si="142"/>
        <v>0</v>
      </c>
      <c r="F659" s="477">
        <f ca="1">OFFSET('Tabla III.3.'!$H$12,H659-1,I659-1)</f>
        <v>0</v>
      </c>
      <c r="G659" s="475" t="str">
        <f ca="1">OFFSET('Tabla III.3.'!$H$1,0,I659-1)</f>
        <v>01</v>
      </c>
      <c r="H659" s="478">
        <v>1</v>
      </c>
      <c r="I659" s="478">
        <v>1</v>
      </c>
      <c r="J659" s="478" t="str">
        <f ca="1">+'Tabla III.3.'!$C$9</f>
        <v>Tabla III.3.</v>
      </c>
      <c r="K659" s="478" t="s">
        <v>2266</v>
      </c>
      <c r="L659" s="475">
        <v>1</v>
      </c>
    </row>
    <row r="660" spans="1:12" s="415" customFormat="1">
      <c r="A660" s="475" t="s">
        <v>2944</v>
      </c>
      <c r="B660" s="475" t="str">
        <f t="shared" si="144"/>
        <v>202503</v>
      </c>
      <c r="C660" s="475" t="str">
        <f t="shared" ref="C660:C672" ca="1" si="145">IF(G660="01","v2","v1")</f>
        <v>v1</v>
      </c>
      <c r="D660" s="476" t="str">
        <f t="shared" ref="D660:D670" ca="1" si="146">+D659</f>
        <v>07.01.</v>
      </c>
      <c r="E660" s="475">
        <f t="shared" ref="E660:E723" si="147">RUC</f>
        <v>0</v>
      </c>
      <c r="F660" s="477">
        <f ca="1">OFFSET('Tabla III.3.'!$H$12,H660-1,I660-1)</f>
        <v>0</v>
      </c>
      <c r="G660" s="475" t="str">
        <f ca="1">OFFSET('Tabla III.3.'!$H$1,0,I660-1)</f>
        <v>02</v>
      </c>
      <c r="H660" s="478">
        <f t="shared" ref="H660:H670" si="148">+H659</f>
        <v>1</v>
      </c>
      <c r="I660" s="478">
        <f t="shared" ref="I660:I670" si="149">+I659+1</f>
        <v>2</v>
      </c>
      <c r="J660" s="478" t="str">
        <f ca="1">+'Tabla III.3.'!$C$9</f>
        <v>Tabla III.3.</v>
      </c>
      <c r="K660" s="478" t="str">
        <f t="shared" ref="K660:K670" si="150">+K659</f>
        <v>A</v>
      </c>
      <c r="L660" s="475"/>
    </row>
    <row r="661" spans="1:12" s="415" customFormat="1">
      <c r="A661" s="475" t="s">
        <v>2944</v>
      </c>
      <c r="B661" s="475" t="str">
        <f t="shared" si="144"/>
        <v>202503</v>
      </c>
      <c r="C661" s="475" t="str">
        <f t="shared" ca="1" si="145"/>
        <v>v1</v>
      </c>
      <c r="D661" s="476" t="str">
        <f t="shared" ca="1" si="146"/>
        <v>07.01.</v>
      </c>
      <c r="E661" s="475">
        <f t="shared" si="147"/>
        <v>0</v>
      </c>
      <c r="F661" s="477">
        <f ca="1">OFFSET('Tabla III.3.'!$H$12,H661-1,I661-1)</f>
        <v>0</v>
      </c>
      <c r="G661" s="475" t="str">
        <f ca="1">OFFSET('Tabla III.3.'!$H$1,0,I661-1)</f>
        <v>03</v>
      </c>
      <c r="H661" s="478">
        <f t="shared" si="148"/>
        <v>1</v>
      </c>
      <c r="I661" s="478">
        <f t="shared" si="149"/>
        <v>3</v>
      </c>
      <c r="J661" s="478" t="str">
        <f ca="1">+'Tabla III.3.'!$C$9</f>
        <v>Tabla III.3.</v>
      </c>
      <c r="K661" s="478" t="str">
        <f t="shared" si="150"/>
        <v>A</v>
      </c>
      <c r="L661" s="475"/>
    </row>
    <row r="662" spans="1:12" s="415" customFormat="1">
      <c r="A662" s="475" t="s">
        <v>2944</v>
      </c>
      <c r="B662" s="475" t="str">
        <f t="shared" si="144"/>
        <v>202503</v>
      </c>
      <c r="C662" s="475" t="str">
        <f t="shared" ca="1" si="145"/>
        <v>v1</v>
      </c>
      <c r="D662" s="476" t="str">
        <f t="shared" ca="1" si="146"/>
        <v>07.01.</v>
      </c>
      <c r="E662" s="475">
        <f t="shared" si="147"/>
        <v>0</v>
      </c>
      <c r="F662" s="477">
        <f ca="1">OFFSET('Tabla III.3.'!$H$12,H662-1,I662-1)</f>
        <v>0</v>
      </c>
      <c r="G662" s="475" t="str">
        <f ca="1">OFFSET('Tabla III.3.'!$H$1,0,I662-1)</f>
        <v>04</v>
      </c>
      <c r="H662" s="478">
        <f t="shared" si="148"/>
        <v>1</v>
      </c>
      <c r="I662" s="478">
        <f t="shared" si="149"/>
        <v>4</v>
      </c>
      <c r="J662" s="478" t="str">
        <f ca="1">+'Tabla III.3.'!$C$9</f>
        <v>Tabla III.3.</v>
      </c>
      <c r="K662" s="478" t="str">
        <f t="shared" si="150"/>
        <v>A</v>
      </c>
      <c r="L662" s="475"/>
    </row>
    <row r="663" spans="1:12" s="415" customFormat="1">
      <c r="A663" s="475" t="s">
        <v>2944</v>
      </c>
      <c r="B663" s="475" t="str">
        <f t="shared" si="144"/>
        <v>202503</v>
      </c>
      <c r="C663" s="475" t="str">
        <f t="shared" ca="1" si="145"/>
        <v>v1</v>
      </c>
      <c r="D663" s="476" t="str">
        <f t="shared" ca="1" si="146"/>
        <v>07.01.</v>
      </c>
      <c r="E663" s="475">
        <f t="shared" si="147"/>
        <v>0</v>
      </c>
      <c r="F663" s="477">
        <f ca="1">OFFSET('Tabla III.3.'!$H$12,H663-1,I663-1)</f>
        <v>0</v>
      </c>
      <c r="G663" s="475" t="str">
        <f ca="1">OFFSET('Tabla III.3.'!$H$1,0,I663-1)</f>
        <v>05</v>
      </c>
      <c r="H663" s="478">
        <f t="shared" si="148"/>
        <v>1</v>
      </c>
      <c r="I663" s="478">
        <f t="shared" si="149"/>
        <v>5</v>
      </c>
      <c r="J663" s="478" t="str">
        <f ca="1">+'Tabla III.3.'!$C$9</f>
        <v>Tabla III.3.</v>
      </c>
      <c r="K663" s="478" t="str">
        <f t="shared" si="150"/>
        <v>A</v>
      </c>
      <c r="L663" s="475"/>
    </row>
    <row r="664" spans="1:12" s="415" customFormat="1">
      <c r="A664" s="475" t="s">
        <v>2944</v>
      </c>
      <c r="B664" s="475" t="str">
        <f t="shared" si="144"/>
        <v>202503</v>
      </c>
      <c r="C664" s="475" t="str">
        <f t="shared" ca="1" si="145"/>
        <v>v1</v>
      </c>
      <c r="D664" s="476" t="str">
        <f t="shared" ca="1" si="146"/>
        <v>07.01.</v>
      </c>
      <c r="E664" s="475">
        <f t="shared" si="147"/>
        <v>0</v>
      </c>
      <c r="F664" s="477">
        <f ca="1">OFFSET('Tabla III.3.'!$H$12,H664-1,I664-1)</f>
        <v>0</v>
      </c>
      <c r="G664" s="475" t="str">
        <f ca="1">OFFSET('Tabla III.3.'!$H$1,0,I664-1)</f>
        <v>06</v>
      </c>
      <c r="H664" s="478">
        <f t="shared" si="148"/>
        <v>1</v>
      </c>
      <c r="I664" s="478">
        <f t="shared" si="149"/>
        <v>6</v>
      </c>
      <c r="J664" s="478" t="str">
        <f ca="1">+'Tabla III.3.'!$C$9</f>
        <v>Tabla III.3.</v>
      </c>
      <c r="K664" s="478" t="str">
        <f t="shared" si="150"/>
        <v>A</v>
      </c>
      <c r="L664" s="475"/>
    </row>
    <row r="665" spans="1:12" s="415" customFormat="1">
      <c r="A665" s="475" t="s">
        <v>2944</v>
      </c>
      <c r="B665" s="475" t="str">
        <f t="shared" si="144"/>
        <v>202503</v>
      </c>
      <c r="C665" s="475" t="str">
        <f t="shared" ca="1" si="145"/>
        <v>v1</v>
      </c>
      <c r="D665" s="476" t="str">
        <f t="shared" ca="1" si="146"/>
        <v>07.01.</v>
      </c>
      <c r="E665" s="475">
        <f t="shared" si="147"/>
        <v>0</v>
      </c>
      <c r="F665" s="477">
        <f ca="1">OFFSET('Tabla III.3.'!$H$12,H665-1,I665-1)</f>
        <v>0</v>
      </c>
      <c r="G665" s="475" t="str">
        <f ca="1">OFFSET('Tabla III.3.'!$H$1,0,I665-1)</f>
        <v>07</v>
      </c>
      <c r="H665" s="478">
        <f t="shared" si="148"/>
        <v>1</v>
      </c>
      <c r="I665" s="478">
        <f t="shared" si="149"/>
        <v>7</v>
      </c>
      <c r="J665" s="478" t="str">
        <f ca="1">+'Tabla III.3.'!$C$9</f>
        <v>Tabla III.3.</v>
      </c>
      <c r="K665" s="478" t="str">
        <f t="shared" si="150"/>
        <v>A</v>
      </c>
      <c r="L665" s="475"/>
    </row>
    <row r="666" spans="1:12" s="415" customFormat="1">
      <c r="A666" s="475" t="s">
        <v>2944</v>
      </c>
      <c r="B666" s="475" t="str">
        <f t="shared" si="144"/>
        <v>202503</v>
      </c>
      <c r="C666" s="475" t="str">
        <f t="shared" ca="1" si="145"/>
        <v>v1</v>
      </c>
      <c r="D666" s="476" t="str">
        <f t="shared" ca="1" si="146"/>
        <v>07.01.</v>
      </c>
      <c r="E666" s="475">
        <f t="shared" si="147"/>
        <v>0</v>
      </c>
      <c r="F666" s="477">
        <f ca="1">OFFSET('Tabla III.3.'!$H$12,H666-1,I666-1)</f>
        <v>0</v>
      </c>
      <c r="G666" s="475" t="str">
        <f ca="1">OFFSET('Tabla III.3.'!$H$1,0,I666-1)</f>
        <v>08</v>
      </c>
      <c r="H666" s="478">
        <f t="shared" si="148"/>
        <v>1</v>
      </c>
      <c r="I666" s="478">
        <f t="shared" si="149"/>
        <v>8</v>
      </c>
      <c r="J666" s="478" t="str">
        <f ca="1">+'Tabla III.3.'!$C$9</f>
        <v>Tabla III.3.</v>
      </c>
      <c r="K666" s="478" t="str">
        <f t="shared" si="150"/>
        <v>A</v>
      </c>
      <c r="L666" s="475"/>
    </row>
    <row r="667" spans="1:12" s="415" customFormat="1">
      <c r="A667" s="475" t="s">
        <v>2944</v>
      </c>
      <c r="B667" s="475" t="str">
        <f t="shared" si="144"/>
        <v>202503</v>
      </c>
      <c r="C667" s="475" t="str">
        <f t="shared" ca="1" si="145"/>
        <v>v1</v>
      </c>
      <c r="D667" s="476" t="str">
        <f t="shared" ca="1" si="146"/>
        <v>07.01.</v>
      </c>
      <c r="E667" s="475">
        <f t="shared" si="147"/>
        <v>0</v>
      </c>
      <c r="F667" s="477">
        <f ca="1">OFFSET('Tabla III.3.'!$H$12,H667-1,I667-1)</f>
        <v>0</v>
      </c>
      <c r="G667" s="475" t="str">
        <f ca="1">OFFSET('Tabla III.3.'!$H$1,0,I667-1)</f>
        <v>09</v>
      </c>
      <c r="H667" s="478">
        <f t="shared" si="148"/>
        <v>1</v>
      </c>
      <c r="I667" s="478">
        <f t="shared" si="149"/>
        <v>9</v>
      </c>
      <c r="J667" s="478" t="str">
        <f ca="1">+'Tabla III.3.'!$C$9</f>
        <v>Tabla III.3.</v>
      </c>
      <c r="K667" s="478" t="str">
        <f t="shared" si="150"/>
        <v>A</v>
      </c>
      <c r="L667" s="475"/>
    </row>
    <row r="668" spans="1:12" s="415" customFormat="1">
      <c r="A668" s="475" t="s">
        <v>2944</v>
      </c>
      <c r="B668" s="475" t="str">
        <f t="shared" si="144"/>
        <v>202503</v>
      </c>
      <c r="C668" s="475" t="str">
        <f t="shared" ca="1" si="145"/>
        <v>v1</v>
      </c>
      <c r="D668" s="476" t="str">
        <f t="shared" ca="1" si="146"/>
        <v>07.01.</v>
      </c>
      <c r="E668" s="475">
        <f t="shared" si="147"/>
        <v>0</v>
      </c>
      <c r="F668" s="477">
        <f ca="1">OFFSET('Tabla III.3.'!$H$12,H668-1,I668-1)</f>
        <v>0</v>
      </c>
      <c r="G668" s="475" t="str">
        <f ca="1">OFFSET('Tabla III.3.'!$H$1,0,I668-1)</f>
        <v>10</v>
      </c>
      <c r="H668" s="478">
        <f t="shared" si="148"/>
        <v>1</v>
      </c>
      <c r="I668" s="478">
        <f t="shared" si="149"/>
        <v>10</v>
      </c>
      <c r="J668" s="478" t="str">
        <f ca="1">+'Tabla III.3.'!$C$9</f>
        <v>Tabla III.3.</v>
      </c>
      <c r="K668" s="478" t="str">
        <f t="shared" si="150"/>
        <v>A</v>
      </c>
      <c r="L668" s="475"/>
    </row>
    <row r="669" spans="1:12" s="415" customFormat="1">
      <c r="A669" s="475" t="s">
        <v>2944</v>
      </c>
      <c r="B669" s="475" t="str">
        <f t="shared" si="144"/>
        <v>202503</v>
      </c>
      <c r="C669" s="475" t="str">
        <f t="shared" ca="1" si="145"/>
        <v>v1</v>
      </c>
      <c r="D669" s="476" t="str">
        <f t="shared" ca="1" si="146"/>
        <v>07.01.</v>
      </c>
      <c r="E669" s="475">
        <f t="shared" si="147"/>
        <v>0</v>
      </c>
      <c r="F669" s="477">
        <f ca="1">OFFSET('Tabla III.3.'!$H$12,H669-1,I669-1)</f>
        <v>0</v>
      </c>
      <c r="G669" s="475" t="str">
        <f ca="1">OFFSET('Tabla III.3.'!$H$1,0,I669-1)</f>
        <v>11</v>
      </c>
      <c r="H669" s="478">
        <f t="shared" si="148"/>
        <v>1</v>
      </c>
      <c r="I669" s="478">
        <f t="shared" si="149"/>
        <v>11</v>
      </c>
      <c r="J669" s="478" t="str">
        <f ca="1">+'Tabla III.3.'!$C$9</f>
        <v>Tabla III.3.</v>
      </c>
      <c r="K669" s="478" t="str">
        <f t="shared" si="150"/>
        <v>A</v>
      </c>
      <c r="L669" s="475"/>
    </row>
    <row r="670" spans="1:12" s="415" customFormat="1">
      <c r="A670" s="475" t="s">
        <v>2944</v>
      </c>
      <c r="B670" s="475" t="str">
        <f t="shared" si="144"/>
        <v>202503</v>
      </c>
      <c r="C670" s="475" t="str">
        <f t="shared" ca="1" si="145"/>
        <v>v1</v>
      </c>
      <c r="D670" s="476" t="str">
        <f t="shared" ca="1" si="146"/>
        <v>07.01.</v>
      </c>
      <c r="E670" s="475">
        <f t="shared" si="147"/>
        <v>0</v>
      </c>
      <c r="F670" s="477">
        <f ca="1">OFFSET('Tabla III.3.'!$H$12,H670-1,I670-1)</f>
        <v>0</v>
      </c>
      <c r="G670" s="475" t="str">
        <f ca="1">OFFSET('Tabla III.3.'!$H$1,0,I670-1)</f>
        <v>12</v>
      </c>
      <c r="H670" s="478">
        <f t="shared" si="148"/>
        <v>1</v>
      </c>
      <c r="I670" s="478">
        <f t="shared" si="149"/>
        <v>12</v>
      </c>
      <c r="J670" s="478" t="str">
        <f ca="1">+'Tabla III.3.'!$C$9</f>
        <v>Tabla III.3.</v>
      </c>
      <c r="K670" s="478" t="str">
        <f t="shared" si="150"/>
        <v>A</v>
      </c>
      <c r="L670" s="475"/>
    </row>
    <row r="671" spans="1:12" s="112" customFormat="1">
      <c r="A671" s="107" t="s">
        <v>2944</v>
      </c>
      <c r="B671" s="107" t="str">
        <f t="shared" si="144"/>
        <v>202503</v>
      </c>
      <c r="C671" s="107" t="s">
        <v>2945</v>
      </c>
      <c r="D671" s="399" t="str">
        <f ca="1">OFFSET('Tabla III.3.'!$F$12,H671-1,0)</f>
        <v>07.01.00.01</v>
      </c>
      <c r="E671" s="107">
        <f t="shared" si="147"/>
        <v>0</v>
      </c>
      <c r="F671" s="108">
        <f ca="1">OFFSET('Tabla III.3.'!$H$12,H671-1,I671-1)</f>
        <v>0</v>
      </c>
      <c r="G671" s="107" t="str">
        <f ca="1">OFFSET('Tabla III.3.'!$H$1,0,I671-1)</f>
        <v>01</v>
      </c>
      <c r="H671" s="110">
        <f>+H659+1</f>
        <v>2</v>
      </c>
      <c r="I671" s="110">
        <v>1</v>
      </c>
      <c r="J671" s="110" t="str">
        <f ca="1">+'Tabla III.3.'!$C$9</f>
        <v>Tabla III.3.</v>
      </c>
      <c r="K671" s="110" t="s">
        <v>2266</v>
      </c>
      <c r="L671" s="107">
        <f>+L659+1</f>
        <v>2</v>
      </c>
    </row>
    <row r="672" spans="1:12" s="112" customFormat="1">
      <c r="A672" s="107" t="s">
        <v>2944</v>
      </c>
      <c r="B672" s="107" t="str">
        <f t="shared" si="144"/>
        <v>202503</v>
      </c>
      <c r="C672" s="107" t="str">
        <f t="shared" ca="1" si="145"/>
        <v>v1</v>
      </c>
      <c r="D672" s="399" t="str">
        <f ca="1">+D671</f>
        <v>07.01.00.01</v>
      </c>
      <c r="E672" s="107">
        <f t="shared" si="147"/>
        <v>0</v>
      </c>
      <c r="F672" s="108">
        <f ca="1">OFFSET('Tabla III.3.'!$H$12,H672-1,I672-1)</f>
        <v>0</v>
      </c>
      <c r="G672" s="107" t="str">
        <f ca="1">OFFSET('Tabla III.3.'!$H$1,0,I672-1)</f>
        <v>02</v>
      </c>
      <c r="H672" s="110">
        <f>+H671</f>
        <v>2</v>
      </c>
      <c r="I672" s="110">
        <f>+I671+1</f>
        <v>2</v>
      </c>
      <c r="J672" s="110" t="str">
        <f ca="1">+'Tabla III.3.'!$C$9</f>
        <v>Tabla III.3.</v>
      </c>
      <c r="K672" s="110" t="str">
        <f t="shared" ref="K672:K682" si="151">+K671</f>
        <v>A</v>
      </c>
      <c r="L672" s="107"/>
    </row>
    <row r="673" spans="1:12" s="112" customFormat="1">
      <c r="A673" s="107" t="s">
        <v>2944</v>
      </c>
      <c r="B673" s="107" t="str">
        <f t="shared" si="144"/>
        <v>202503</v>
      </c>
      <c r="C673" s="107" t="str">
        <f t="shared" ref="C673:C682" ca="1" si="152">IF(G673="01","v2","v1")</f>
        <v>v1</v>
      </c>
      <c r="D673" s="399" t="str">
        <f t="shared" ref="D673:D682" ca="1" si="153">+D672</f>
        <v>07.01.00.01</v>
      </c>
      <c r="E673" s="107">
        <f t="shared" si="147"/>
        <v>0</v>
      </c>
      <c r="F673" s="108">
        <f ca="1">OFFSET('Tabla III.3.'!$H$12,H673-1,I673-1)</f>
        <v>0</v>
      </c>
      <c r="G673" s="107" t="str">
        <f ca="1">OFFSET('Tabla III.3.'!$H$1,0,I673-1)</f>
        <v>03</v>
      </c>
      <c r="H673" s="110">
        <f t="shared" ref="H673:H682" si="154">+H672</f>
        <v>2</v>
      </c>
      <c r="I673" s="110">
        <f t="shared" ref="I673:I682" si="155">+I672+1</f>
        <v>3</v>
      </c>
      <c r="J673" s="110" t="str">
        <f ca="1">+'Tabla III.3.'!$C$9</f>
        <v>Tabla III.3.</v>
      </c>
      <c r="K673" s="110" t="str">
        <f t="shared" si="151"/>
        <v>A</v>
      </c>
      <c r="L673" s="107"/>
    </row>
    <row r="674" spans="1:12" s="112" customFormat="1">
      <c r="A674" s="107" t="s">
        <v>2944</v>
      </c>
      <c r="B674" s="107" t="str">
        <f t="shared" si="144"/>
        <v>202503</v>
      </c>
      <c r="C674" s="107" t="str">
        <f t="shared" ca="1" si="152"/>
        <v>v1</v>
      </c>
      <c r="D674" s="399" t="str">
        <f t="shared" ca="1" si="153"/>
        <v>07.01.00.01</v>
      </c>
      <c r="E674" s="107">
        <f t="shared" si="147"/>
        <v>0</v>
      </c>
      <c r="F674" s="108">
        <f ca="1">OFFSET('Tabla III.3.'!$H$12,H674-1,I674-1)</f>
        <v>0</v>
      </c>
      <c r="G674" s="107" t="str">
        <f ca="1">OFFSET('Tabla III.3.'!$H$1,0,I674-1)</f>
        <v>04</v>
      </c>
      <c r="H674" s="110">
        <f t="shared" si="154"/>
        <v>2</v>
      </c>
      <c r="I674" s="110">
        <f t="shared" si="155"/>
        <v>4</v>
      </c>
      <c r="J674" s="110" t="str">
        <f ca="1">+'Tabla III.3.'!$C$9</f>
        <v>Tabla III.3.</v>
      </c>
      <c r="K674" s="110" t="str">
        <f t="shared" si="151"/>
        <v>A</v>
      </c>
      <c r="L674" s="107"/>
    </row>
    <row r="675" spans="1:12" s="112" customFormat="1">
      <c r="A675" s="107" t="s">
        <v>2944</v>
      </c>
      <c r="B675" s="107" t="str">
        <f t="shared" si="144"/>
        <v>202503</v>
      </c>
      <c r="C675" s="107" t="str">
        <f t="shared" ca="1" si="152"/>
        <v>v1</v>
      </c>
      <c r="D675" s="399" t="str">
        <f t="shared" ca="1" si="153"/>
        <v>07.01.00.01</v>
      </c>
      <c r="E675" s="107">
        <f t="shared" si="147"/>
        <v>0</v>
      </c>
      <c r="F675" s="108">
        <f ca="1">OFFSET('Tabla III.3.'!$H$12,H675-1,I675-1)</f>
        <v>0</v>
      </c>
      <c r="G675" s="107" t="str">
        <f ca="1">OFFSET('Tabla III.3.'!$H$1,0,I675-1)</f>
        <v>05</v>
      </c>
      <c r="H675" s="110">
        <f t="shared" si="154"/>
        <v>2</v>
      </c>
      <c r="I675" s="110">
        <f t="shared" si="155"/>
        <v>5</v>
      </c>
      <c r="J675" s="110" t="str">
        <f ca="1">+'Tabla III.3.'!$C$9</f>
        <v>Tabla III.3.</v>
      </c>
      <c r="K675" s="110" t="str">
        <f t="shared" si="151"/>
        <v>A</v>
      </c>
      <c r="L675" s="107"/>
    </row>
    <row r="676" spans="1:12" s="112" customFormat="1">
      <c r="A676" s="107" t="s">
        <v>2944</v>
      </c>
      <c r="B676" s="107" t="str">
        <f t="shared" si="144"/>
        <v>202503</v>
      </c>
      <c r="C676" s="107" t="str">
        <f t="shared" ca="1" si="152"/>
        <v>v1</v>
      </c>
      <c r="D676" s="399" t="str">
        <f t="shared" ca="1" si="153"/>
        <v>07.01.00.01</v>
      </c>
      <c r="E676" s="107">
        <f t="shared" si="147"/>
        <v>0</v>
      </c>
      <c r="F676" s="108">
        <f ca="1">OFFSET('Tabla III.3.'!$H$12,H676-1,I676-1)</f>
        <v>0</v>
      </c>
      <c r="G676" s="107" t="str">
        <f ca="1">OFFSET('Tabla III.3.'!$H$1,0,I676-1)</f>
        <v>06</v>
      </c>
      <c r="H676" s="110">
        <f t="shared" si="154"/>
        <v>2</v>
      </c>
      <c r="I676" s="110">
        <f t="shared" si="155"/>
        <v>6</v>
      </c>
      <c r="J676" s="110" t="str">
        <f ca="1">+'Tabla III.3.'!$C$9</f>
        <v>Tabla III.3.</v>
      </c>
      <c r="K676" s="110" t="str">
        <f t="shared" si="151"/>
        <v>A</v>
      </c>
      <c r="L676" s="107"/>
    </row>
    <row r="677" spans="1:12" s="112" customFormat="1">
      <c r="A677" s="107" t="s">
        <v>2944</v>
      </c>
      <c r="B677" s="107" t="str">
        <f t="shared" si="144"/>
        <v>202503</v>
      </c>
      <c r="C677" s="107" t="str">
        <f t="shared" ca="1" si="152"/>
        <v>v1</v>
      </c>
      <c r="D677" s="399" t="str">
        <f t="shared" ca="1" si="153"/>
        <v>07.01.00.01</v>
      </c>
      <c r="E677" s="107">
        <f t="shared" si="147"/>
        <v>0</v>
      </c>
      <c r="F677" s="108">
        <f ca="1">OFFSET('Tabla III.3.'!$H$12,H677-1,I677-1)</f>
        <v>0</v>
      </c>
      <c r="G677" s="107" t="str">
        <f ca="1">OFFSET('Tabla III.3.'!$H$1,0,I677-1)</f>
        <v>07</v>
      </c>
      <c r="H677" s="110">
        <f t="shared" si="154"/>
        <v>2</v>
      </c>
      <c r="I677" s="110">
        <f t="shared" si="155"/>
        <v>7</v>
      </c>
      <c r="J677" s="110" t="str">
        <f ca="1">+'Tabla III.3.'!$C$9</f>
        <v>Tabla III.3.</v>
      </c>
      <c r="K677" s="110" t="str">
        <f t="shared" si="151"/>
        <v>A</v>
      </c>
      <c r="L677" s="107"/>
    </row>
    <row r="678" spans="1:12" s="112" customFormat="1">
      <c r="A678" s="107" t="s">
        <v>2944</v>
      </c>
      <c r="B678" s="107" t="str">
        <f t="shared" si="144"/>
        <v>202503</v>
      </c>
      <c r="C678" s="107" t="str">
        <f t="shared" ca="1" si="152"/>
        <v>v1</v>
      </c>
      <c r="D678" s="399" t="str">
        <f t="shared" ca="1" si="153"/>
        <v>07.01.00.01</v>
      </c>
      <c r="E678" s="107">
        <f t="shared" si="147"/>
        <v>0</v>
      </c>
      <c r="F678" s="108">
        <f ca="1">OFFSET('Tabla III.3.'!$H$12,H678-1,I678-1)</f>
        <v>0</v>
      </c>
      <c r="G678" s="107" t="str">
        <f ca="1">OFFSET('Tabla III.3.'!$H$1,0,I678-1)</f>
        <v>08</v>
      </c>
      <c r="H678" s="110">
        <f t="shared" si="154"/>
        <v>2</v>
      </c>
      <c r="I678" s="110">
        <f t="shared" si="155"/>
        <v>8</v>
      </c>
      <c r="J678" s="110" t="str">
        <f ca="1">+'Tabla III.3.'!$C$9</f>
        <v>Tabla III.3.</v>
      </c>
      <c r="K678" s="110" t="str">
        <f t="shared" si="151"/>
        <v>A</v>
      </c>
      <c r="L678" s="107"/>
    </row>
    <row r="679" spans="1:12" s="112" customFormat="1">
      <c r="A679" s="107" t="s">
        <v>2944</v>
      </c>
      <c r="B679" s="107" t="str">
        <f t="shared" si="144"/>
        <v>202503</v>
      </c>
      <c r="C679" s="107" t="str">
        <f t="shared" ca="1" si="152"/>
        <v>v1</v>
      </c>
      <c r="D679" s="399" t="str">
        <f t="shared" ca="1" si="153"/>
        <v>07.01.00.01</v>
      </c>
      <c r="E679" s="107">
        <f t="shared" si="147"/>
        <v>0</v>
      </c>
      <c r="F679" s="108">
        <f ca="1">OFFSET('Tabla III.3.'!$H$12,H679-1,I679-1)</f>
        <v>0</v>
      </c>
      <c r="G679" s="107" t="str">
        <f ca="1">OFFSET('Tabla III.3.'!$H$1,0,I679-1)</f>
        <v>09</v>
      </c>
      <c r="H679" s="110">
        <f t="shared" si="154"/>
        <v>2</v>
      </c>
      <c r="I679" s="110">
        <f t="shared" si="155"/>
        <v>9</v>
      </c>
      <c r="J679" s="110" t="str">
        <f ca="1">+'Tabla III.3.'!$C$9</f>
        <v>Tabla III.3.</v>
      </c>
      <c r="K679" s="110" t="str">
        <f t="shared" si="151"/>
        <v>A</v>
      </c>
      <c r="L679" s="107"/>
    </row>
    <row r="680" spans="1:12" s="112" customFormat="1">
      <c r="A680" s="107" t="s">
        <v>2944</v>
      </c>
      <c r="B680" s="107" t="str">
        <f t="shared" si="144"/>
        <v>202503</v>
      </c>
      <c r="C680" s="107" t="str">
        <f t="shared" ca="1" si="152"/>
        <v>v1</v>
      </c>
      <c r="D680" s="399" t="str">
        <f t="shared" ca="1" si="153"/>
        <v>07.01.00.01</v>
      </c>
      <c r="E680" s="107">
        <f t="shared" si="147"/>
        <v>0</v>
      </c>
      <c r="F680" s="108">
        <f ca="1">OFFSET('Tabla III.3.'!$H$12,H680-1,I680-1)</f>
        <v>0</v>
      </c>
      <c r="G680" s="107" t="str">
        <f ca="1">OFFSET('Tabla III.3.'!$H$1,0,I680-1)</f>
        <v>10</v>
      </c>
      <c r="H680" s="110">
        <f t="shared" si="154"/>
        <v>2</v>
      </c>
      <c r="I680" s="110">
        <f t="shared" si="155"/>
        <v>10</v>
      </c>
      <c r="J680" s="110" t="str">
        <f ca="1">+'Tabla III.3.'!$C$9</f>
        <v>Tabla III.3.</v>
      </c>
      <c r="K680" s="110" t="str">
        <f t="shared" si="151"/>
        <v>A</v>
      </c>
      <c r="L680" s="107"/>
    </row>
    <row r="681" spans="1:12" s="112" customFormat="1">
      <c r="A681" s="107" t="s">
        <v>2944</v>
      </c>
      <c r="B681" s="107" t="str">
        <f t="shared" si="144"/>
        <v>202503</v>
      </c>
      <c r="C681" s="107" t="str">
        <f t="shared" ca="1" si="152"/>
        <v>v1</v>
      </c>
      <c r="D681" s="399" t="str">
        <f t="shared" ca="1" si="153"/>
        <v>07.01.00.01</v>
      </c>
      <c r="E681" s="107">
        <f t="shared" si="147"/>
        <v>0</v>
      </c>
      <c r="F681" s="108">
        <f ca="1">OFFSET('Tabla III.3.'!$H$12,H681-1,I681-1)</f>
        <v>0</v>
      </c>
      <c r="G681" s="107" t="str">
        <f ca="1">OFFSET('Tabla III.3.'!$H$1,0,I681-1)</f>
        <v>11</v>
      </c>
      <c r="H681" s="110">
        <f t="shared" si="154"/>
        <v>2</v>
      </c>
      <c r="I681" s="110">
        <f t="shared" si="155"/>
        <v>11</v>
      </c>
      <c r="J681" s="110" t="str">
        <f ca="1">+'Tabla III.3.'!$C$9</f>
        <v>Tabla III.3.</v>
      </c>
      <c r="K681" s="110" t="str">
        <f t="shared" si="151"/>
        <v>A</v>
      </c>
      <c r="L681" s="107"/>
    </row>
    <row r="682" spans="1:12" s="112" customFormat="1">
      <c r="A682" s="107" t="s">
        <v>2944</v>
      </c>
      <c r="B682" s="107" t="str">
        <f t="shared" si="144"/>
        <v>202503</v>
      </c>
      <c r="C682" s="107" t="str">
        <f t="shared" ca="1" si="152"/>
        <v>v1</v>
      </c>
      <c r="D682" s="399" t="str">
        <f t="shared" ca="1" si="153"/>
        <v>07.01.00.01</v>
      </c>
      <c r="E682" s="107">
        <f t="shared" si="147"/>
        <v>0</v>
      </c>
      <c r="F682" s="108">
        <f ca="1">OFFSET('Tabla III.3.'!$H$12,H682-1,I682-1)</f>
        <v>0</v>
      </c>
      <c r="G682" s="107" t="str">
        <f ca="1">OFFSET('Tabla III.3.'!$H$1,0,I682-1)</f>
        <v>12</v>
      </c>
      <c r="H682" s="110">
        <f t="shared" si="154"/>
        <v>2</v>
      </c>
      <c r="I682" s="110">
        <f t="shared" si="155"/>
        <v>12</v>
      </c>
      <c r="J682" s="110" t="str">
        <f ca="1">+'Tabla III.3.'!$C$9</f>
        <v>Tabla III.3.</v>
      </c>
      <c r="K682" s="110" t="str">
        <f t="shared" si="151"/>
        <v>A</v>
      </c>
      <c r="L682" s="107"/>
    </row>
    <row r="683" spans="1:12" s="103" customFormat="1">
      <c r="A683" s="412" t="s">
        <v>2944</v>
      </c>
      <c r="B683" s="412" t="str">
        <f t="shared" si="144"/>
        <v>202503</v>
      </c>
      <c r="C683" s="412" t="s">
        <v>2945</v>
      </c>
      <c r="D683" s="413" t="str">
        <f ca="1">OFFSET('Tabla III.3.'!$F$12,H683-1,0)</f>
        <v>07.01.00.02.</v>
      </c>
      <c r="E683" s="412">
        <f t="shared" si="147"/>
        <v>0</v>
      </c>
      <c r="F683" s="414">
        <f ca="1">OFFSET('Tabla III.3.'!$H$12,H683-1,I683-1)</f>
        <v>0</v>
      </c>
      <c r="G683" s="412" t="str">
        <f ca="1">OFFSET('Tabla III.3.'!$H$1,0,I683-1)</f>
        <v>01</v>
      </c>
      <c r="H683" s="111">
        <f>+H671+1</f>
        <v>3</v>
      </c>
      <c r="I683" s="111">
        <v>1</v>
      </c>
      <c r="J683" s="111" t="str">
        <f ca="1">+'Tabla III.3.'!$C$9</f>
        <v>Tabla III.3.</v>
      </c>
      <c r="K683" s="111" t="s">
        <v>2266</v>
      </c>
      <c r="L683" s="412">
        <f>+L671+1</f>
        <v>3</v>
      </c>
    </row>
    <row r="684" spans="1:12" s="103" customFormat="1">
      <c r="A684" s="412" t="s">
        <v>2944</v>
      </c>
      <c r="B684" s="412" t="str">
        <f t="shared" si="144"/>
        <v>202503</v>
      </c>
      <c r="C684" s="412" t="str">
        <f ca="1">IF(G684="01","v2","v1")</f>
        <v>v1</v>
      </c>
      <c r="D684" s="413" t="str">
        <f ca="1">+D683</f>
        <v>07.01.00.02.</v>
      </c>
      <c r="E684" s="412">
        <f t="shared" si="147"/>
        <v>0</v>
      </c>
      <c r="F684" s="414">
        <f ca="1">OFFSET('Tabla III.3.'!$H$12,H684-1,I684-1)</f>
        <v>0</v>
      </c>
      <c r="G684" s="412" t="str">
        <f ca="1">OFFSET('Tabla III.3.'!$H$1,0,I684-1)</f>
        <v>02</v>
      </c>
      <c r="H684" s="111">
        <f>+H683</f>
        <v>3</v>
      </c>
      <c r="I684" s="111">
        <f>+I683+1</f>
        <v>2</v>
      </c>
      <c r="J684" s="111" t="str">
        <f ca="1">+'Tabla III.3.'!$C$9</f>
        <v>Tabla III.3.</v>
      </c>
      <c r="K684" s="111" t="str">
        <f t="shared" ref="K684:K694" si="156">+K683</f>
        <v>A</v>
      </c>
      <c r="L684" s="412"/>
    </row>
    <row r="685" spans="1:12" s="103" customFormat="1">
      <c r="A685" s="412" t="s">
        <v>2944</v>
      </c>
      <c r="B685" s="412" t="str">
        <f t="shared" si="144"/>
        <v>202503</v>
      </c>
      <c r="C685" s="412" t="str">
        <f t="shared" ref="C685:C694" ca="1" si="157">IF(G685="01","v2","v1")</f>
        <v>v1</v>
      </c>
      <c r="D685" s="413" t="str">
        <f t="shared" ref="D685:D694" ca="1" si="158">+D684</f>
        <v>07.01.00.02.</v>
      </c>
      <c r="E685" s="412">
        <f t="shared" si="147"/>
        <v>0</v>
      </c>
      <c r="F685" s="414">
        <f ca="1">OFFSET('Tabla III.3.'!$H$12,H685-1,I685-1)</f>
        <v>0</v>
      </c>
      <c r="G685" s="412" t="str">
        <f ca="1">OFFSET('Tabla III.3.'!$H$1,0,I685-1)</f>
        <v>03</v>
      </c>
      <c r="H685" s="111">
        <f t="shared" ref="H685:H694" si="159">+H684</f>
        <v>3</v>
      </c>
      <c r="I685" s="111">
        <f t="shared" ref="I685:I694" si="160">+I684+1</f>
        <v>3</v>
      </c>
      <c r="J685" s="111" t="str">
        <f ca="1">+'Tabla III.3.'!$C$9</f>
        <v>Tabla III.3.</v>
      </c>
      <c r="K685" s="111" t="str">
        <f t="shared" si="156"/>
        <v>A</v>
      </c>
      <c r="L685" s="412"/>
    </row>
    <row r="686" spans="1:12" s="103" customFormat="1">
      <c r="A686" s="412" t="s">
        <v>2944</v>
      </c>
      <c r="B686" s="412" t="str">
        <f t="shared" si="144"/>
        <v>202503</v>
      </c>
      <c r="C686" s="412" t="str">
        <f t="shared" ca="1" si="157"/>
        <v>v1</v>
      </c>
      <c r="D686" s="413" t="str">
        <f t="shared" ca="1" si="158"/>
        <v>07.01.00.02.</v>
      </c>
      <c r="E686" s="412">
        <f t="shared" si="147"/>
        <v>0</v>
      </c>
      <c r="F686" s="414">
        <f ca="1">OFFSET('Tabla III.3.'!$H$12,H686-1,I686-1)</f>
        <v>0</v>
      </c>
      <c r="G686" s="412" t="str">
        <f ca="1">OFFSET('Tabla III.3.'!$H$1,0,I686-1)</f>
        <v>04</v>
      </c>
      <c r="H686" s="111">
        <f t="shared" si="159"/>
        <v>3</v>
      </c>
      <c r="I686" s="111">
        <f t="shared" si="160"/>
        <v>4</v>
      </c>
      <c r="J686" s="111" t="str">
        <f ca="1">+'Tabla III.3.'!$C$9</f>
        <v>Tabla III.3.</v>
      </c>
      <c r="K686" s="111" t="str">
        <f t="shared" si="156"/>
        <v>A</v>
      </c>
      <c r="L686" s="412"/>
    </row>
    <row r="687" spans="1:12" s="103" customFormat="1">
      <c r="A687" s="412" t="s">
        <v>2944</v>
      </c>
      <c r="B687" s="412" t="str">
        <f t="shared" si="144"/>
        <v>202503</v>
      </c>
      <c r="C687" s="412" t="str">
        <f t="shared" ca="1" si="157"/>
        <v>v1</v>
      </c>
      <c r="D687" s="413" t="str">
        <f t="shared" ca="1" si="158"/>
        <v>07.01.00.02.</v>
      </c>
      <c r="E687" s="412">
        <f t="shared" si="147"/>
        <v>0</v>
      </c>
      <c r="F687" s="414">
        <f ca="1">OFFSET('Tabla III.3.'!$H$12,H687-1,I687-1)</f>
        <v>0</v>
      </c>
      <c r="G687" s="412" t="str">
        <f ca="1">OFFSET('Tabla III.3.'!$H$1,0,I687-1)</f>
        <v>05</v>
      </c>
      <c r="H687" s="111">
        <f t="shared" si="159"/>
        <v>3</v>
      </c>
      <c r="I687" s="111">
        <f t="shared" si="160"/>
        <v>5</v>
      </c>
      <c r="J687" s="111" t="str">
        <f ca="1">+'Tabla III.3.'!$C$9</f>
        <v>Tabla III.3.</v>
      </c>
      <c r="K687" s="111" t="str">
        <f t="shared" si="156"/>
        <v>A</v>
      </c>
      <c r="L687" s="412"/>
    </row>
    <row r="688" spans="1:12" s="103" customFormat="1">
      <c r="A688" s="412" t="s">
        <v>2944</v>
      </c>
      <c r="B688" s="412" t="str">
        <f t="shared" si="144"/>
        <v>202503</v>
      </c>
      <c r="C688" s="412" t="str">
        <f t="shared" ca="1" si="157"/>
        <v>v1</v>
      </c>
      <c r="D688" s="413" t="str">
        <f t="shared" ca="1" si="158"/>
        <v>07.01.00.02.</v>
      </c>
      <c r="E688" s="412">
        <f t="shared" si="147"/>
        <v>0</v>
      </c>
      <c r="F688" s="414">
        <f ca="1">OFFSET('Tabla III.3.'!$H$12,H688-1,I688-1)</f>
        <v>0</v>
      </c>
      <c r="G688" s="412" t="str">
        <f ca="1">OFFSET('Tabla III.3.'!$H$1,0,I688-1)</f>
        <v>06</v>
      </c>
      <c r="H688" s="111">
        <f t="shared" si="159"/>
        <v>3</v>
      </c>
      <c r="I688" s="111">
        <f t="shared" si="160"/>
        <v>6</v>
      </c>
      <c r="J688" s="111" t="str">
        <f ca="1">+'Tabla III.3.'!$C$9</f>
        <v>Tabla III.3.</v>
      </c>
      <c r="K688" s="111" t="str">
        <f t="shared" si="156"/>
        <v>A</v>
      </c>
      <c r="L688" s="412"/>
    </row>
    <row r="689" spans="1:12" s="103" customFormat="1">
      <c r="A689" s="412" t="s">
        <v>2944</v>
      </c>
      <c r="B689" s="412" t="str">
        <f t="shared" si="144"/>
        <v>202503</v>
      </c>
      <c r="C689" s="412" t="str">
        <f t="shared" ca="1" si="157"/>
        <v>v1</v>
      </c>
      <c r="D689" s="413" t="str">
        <f t="shared" ca="1" si="158"/>
        <v>07.01.00.02.</v>
      </c>
      <c r="E689" s="412">
        <f t="shared" si="147"/>
        <v>0</v>
      </c>
      <c r="F689" s="414">
        <f ca="1">OFFSET('Tabla III.3.'!$H$12,H689-1,I689-1)</f>
        <v>0</v>
      </c>
      <c r="G689" s="412" t="str">
        <f ca="1">OFFSET('Tabla III.3.'!$H$1,0,I689-1)</f>
        <v>07</v>
      </c>
      <c r="H689" s="111">
        <f t="shared" si="159"/>
        <v>3</v>
      </c>
      <c r="I689" s="111">
        <f t="shared" si="160"/>
        <v>7</v>
      </c>
      <c r="J689" s="111" t="str">
        <f ca="1">+'Tabla III.3.'!$C$9</f>
        <v>Tabla III.3.</v>
      </c>
      <c r="K689" s="111" t="str">
        <f t="shared" si="156"/>
        <v>A</v>
      </c>
      <c r="L689" s="412"/>
    </row>
    <row r="690" spans="1:12" s="103" customFormat="1">
      <c r="A690" s="412" t="s">
        <v>2944</v>
      </c>
      <c r="B690" s="412" t="str">
        <f t="shared" si="144"/>
        <v>202503</v>
      </c>
      <c r="C690" s="412" t="str">
        <f t="shared" ca="1" si="157"/>
        <v>v1</v>
      </c>
      <c r="D690" s="413" t="str">
        <f t="shared" ca="1" si="158"/>
        <v>07.01.00.02.</v>
      </c>
      <c r="E690" s="412">
        <f t="shared" si="147"/>
        <v>0</v>
      </c>
      <c r="F690" s="414">
        <f ca="1">OFFSET('Tabla III.3.'!$H$12,H690-1,I690-1)</f>
        <v>0</v>
      </c>
      <c r="G690" s="412" t="str">
        <f ca="1">OFFSET('Tabla III.3.'!$H$1,0,I690-1)</f>
        <v>08</v>
      </c>
      <c r="H690" s="111">
        <f t="shared" si="159"/>
        <v>3</v>
      </c>
      <c r="I690" s="111">
        <f t="shared" si="160"/>
        <v>8</v>
      </c>
      <c r="J690" s="111" t="str">
        <f ca="1">+'Tabla III.3.'!$C$9</f>
        <v>Tabla III.3.</v>
      </c>
      <c r="K690" s="111" t="str">
        <f t="shared" si="156"/>
        <v>A</v>
      </c>
      <c r="L690" s="412"/>
    </row>
    <row r="691" spans="1:12" s="103" customFormat="1">
      <c r="A691" s="412" t="s">
        <v>2944</v>
      </c>
      <c r="B691" s="412" t="str">
        <f t="shared" si="144"/>
        <v>202503</v>
      </c>
      <c r="C691" s="412" t="str">
        <f t="shared" ca="1" si="157"/>
        <v>v1</v>
      </c>
      <c r="D691" s="413" t="str">
        <f t="shared" ca="1" si="158"/>
        <v>07.01.00.02.</v>
      </c>
      <c r="E691" s="412">
        <f t="shared" si="147"/>
        <v>0</v>
      </c>
      <c r="F691" s="414">
        <f ca="1">OFFSET('Tabla III.3.'!$H$12,H691-1,I691-1)</f>
        <v>0</v>
      </c>
      <c r="G691" s="412" t="str">
        <f ca="1">OFFSET('Tabla III.3.'!$H$1,0,I691-1)</f>
        <v>09</v>
      </c>
      <c r="H691" s="111">
        <f t="shared" si="159"/>
        <v>3</v>
      </c>
      <c r="I691" s="111">
        <f t="shared" si="160"/>
        <v>9</v>
      </c>
      <c r="J691" s="111" t="str">
        <f ca="1">+'Tabla III.3.'!$C$9</f>
        <v>Tabla III.3.</v>
      </c>
      <c r="K691" s="111" t="str">
        <f t="shared" si="156"/>
        <v>A</v>
      </c>
      <c r="L691" s="412"/>
    </row>
    <row r="692" spans="1:12" s="103" customFormat="1">
      <c r="A692" s="412" t="s">
        <v>2944</v>
      </c>
      <c r="B692" s="412" t="str">
        <f t="shared" si="144"/>
        <v>202503</v>
      </c>
      <c r="C692" s="412" t="str">
        <f t="shared" ca="1" si="157"/>
        <v>v1</v>
      </c>
      <c r="D692" s="413" t="str">
        <f t="shared" ca="1" si="158"/>
        <v>07.01.00.02.</v>
      </c>
      <c r="E692" s="412">
        <f t="shared" si="147"/>
        <v>0</v>
      </c>
      <c r="F692" s="414">
        <f ca="1">OFFSET('Tabla III.3.'!$H$12,H692-1,I692-1)</f>
        <v>0</v>
      </c>
      <c r="G692" s="412" t="str">
        <f ca="1">OFFSET('Tabla III.3.'!$H$1,0,I692-1)</f>
        <v>10</v>
      </c>
      <c r="H692" s="111">
        <f t="shared" si="159"/>
        <v>3</v>
      </c>
      <c r="I692" s="111">
        <f t="shared" si="160"/>
        <v>10</v>
      </c>
      <c r="J692" s="111" t="str">
        <f ca="1">+'Tabla III.3.'!$C$9</f>
        <v>Tabla III.3.</v>
      </c>
      <c r="K692" s="111" t="str">
        <f t="shared" si="156"/>
        <v>A</v>
      </c>
      <c r="L692" s="412"/>
    </row>
    <row r="693" spans="1:12" s="103" customFormat="1">
      <c r="A693" s="412" t="s">
        <v>2944</v>
      </c>
      <c r="B693" s="412" t="str">
        <f t="shared" si="144"/>
        <v>202503</v>
      </c>
      <c r="C693" s="412" t="str">
        <f t="shared" ca="1" si="157"/>
        <v>v1</v>
      </c>
      <c r="D693" s="413" t="str">
        <f t="shared" ca="1" si="158"/>
        <v>07.01.00.02.</v>
      </c>
      <c r="E693" s="412">
        <f t="shared" si="147"/>
        <v>0</v>
      </c>
      <c r="F693" s="414">
        <f ca="1">OFFSET('Tabla III.3.'!$H$12,H693-1,I693-1)</f>
        <v>0</v>
      </c>
      <c r="G693" s="412" t="str">
        <f ca="1">OFFSET('Tabla III.3.'!$H$1,0,I693-1)</f>
        <v>11</v>
      </c>
      <c r="H693" s="111">
        <f t="shared" si="159"/>
        <v>3</v>
      </c>
      <c r="I693" s="111">
        <f t="shared" si="160"/>
        <v>11</v>
      </c>
      <c r="J693" s="111" t="str">
        <f ca="1">+'Tabla III.3.'!$C$9</f>
        <v>Tabla III.3.</v>
      </c>
      <c r="K693" s="111" t="str">
        <f t="shared" si="156"/>
        <v>A</v>
      </c>
      <c r="L693" s="412"/>
    </row>
    <row r="694" spans="1:12" s="103" customFormat="1">
      <c r="A694" s="412" t="s">
        <v>2944</v>
      </c>
      <c r="B694" s="412" t="str">
        <f t="shared" si="144"/>
        <v>202503</v>
      </c>
      <c r="C694" s="412" t="str">
        <f t="shared" ca="1" si="157"/>
        <v>v1</v>
      </c>
      <c r="D694" s="413" t="str">
        <f t="shared" ca="1" si="158"/>
        <v>07.01.00.02.</v>
      </c>
      <c r="E694" s="412">
        <f t="shared" si="147"/>
        <v>0</v>
      </c>
      <c r="F694" s="414">
        <f ca="1">OFFSET('Tabla III.3.'!$H$12,H694-1,I694-1)</f>
        <v>0</v>
      </c>
      <c r="G694" s="412" t="str">
        <f ca="1">OFFSET('Tabla III.3.'!$H$1,0,I694-1)</f>
        <v>12</v>
      </c>
      <c r="H694" s="111">
        <f t="shared" si="159"/>
        <v>3</v>
      </c>
      <c r="I694" s="111">
        <f t="shared" si="160"/>
        <v>12</v>
      </c>
      <c r="J694" s="111" t="str">
        <f ca="1">+'Tabla III.3.'!$C$9</f>
        <v>Tabla III.3.</v>
      </c>
      <c r="K694" s="111" t="str">
        <f t="shared" si="156"/>
        <v>A</v>
      </c>
      <c r="L694" s="412"/>
    </row>
    <row r="695" spans="1:12" s="112" customFormat="1">
      <c r="A695" s="107" t="s">
        <v>2944</v>
      </c>
      <c r="B695" s="107" t="str">
        <f t="shared" si="144"/>
        <v>202503</v>
      </c>
      <c r="C695" s="107" t="s">
        <v>2945</v>
      </c>
      <c r="D695" s="399" t="str">
        <f ca="1">OFFSET('Tabla III.3.'!$F$12,H695-1,0)</f>
        <v>07.02.</v>
      </c>
      <c r="E695" s="107">
        <f t="shared" si="147"/>
        <v>0</v>
      </c>
      <c r="F695" s="108">
        <f ca="1">OFFSET('Tabla III.3.'!$H$12,H695-1,I695-1)</f>
        <v>0</v>
      </c>
      <c r="G695" s="107" t="str">
        <f ca="1">OFFSET('Tabla III.3.'!$H$1,0,I695-1)</f>
        <v>01</v>
      </c>
      <c r="H695" s="110">
        <f>+H683+1</f>
        <v>4</v>
      </c>
      <c r="I695" s="110">
        <v>1</v>
      </c>
      <c r="J695" s="110" t="str">
        <f ca="1">+'Tabla III.3.'!$C$9</f>
        <v>Tabla III.3.</v>
      </c>
      <c r="K695" s="110" t="s">
        <v>2266</v>
      </c>
      <c r="L695" s="107">
        <f>+L683+1</f>
        <v>4</v>
      </c>
    </row>
    <row r="696" spans="1:12" s="112" customFormat="1">
      <c r="A696" s="107" t="s">
        <v>2944</v>
      </c>
      <c r="B696" s="107" t="str">
        <f t="shared" si="144"/>
        <v>202503</v>
      </c>
      <c r="C696" s="107" t="str">
        <f ca="1">IF(G696="01","v2","v1")</f>
        <v>v1</v>
      </c>
      <c r="D696" s="399" t="str">
        <f ca="1">+D695</f>
        <v>07.02.</v>
      </c>
      <c r="E696" s="107">
        <f t="shared" si="147"/>
        <v>0</v>
      </c>
      <c r="F696" s="108">
        <f ca="1">OFFSET('Tabla III.3.'!$H$12,H696-1,I696-1)</f>
        <v>0</v>
      </c>
      <c r="G696" s="107" t="str">
        <f ca="1">OFFSET('Tabla III.3.'!$H$1,0,I696-1)</f>
        <v>02</v>
      </c>
      <c r="H696" s="110">
        <f>+H695</f>
        <v>4</v>
      </c>
      <c r="I696" s="110">
        <f>+I695+1</f>
        <v>2</v>
      </c>
      <c r="J696" s="110" t="str">
        <f ca="1">+'Tabla III.3.'!$C$9</f>
        <v>Tabla III.3.</v>
      </c>
      <c r="K696" s="110" t="str">
        <f t="shared" ref="K696:K706" si="161">+K695</f>
        <v>A</v>
      </c>
      <c r="L696" s="107"/>
    </row>
    <row r="697" spans="1:12" s="112" customFormat="1">
      <c r="A697" s="107" t="s">
        <v>2944</v>
      </c>
      <c r="B697" s="107" t="str">
        <f t="shared" si="144"/>
        <v>202503</v>
      </c>
      <c r="C697" s="107" t="str">
        <f t="shared" ref="C697:C706" ca="1" si="162">IF(G697="01","v2","v1")</f>
        <v>v1</v>
      </c>
      <c r="D697" s="399" t="str">
        <f t="shared" ref="D697:D706" ca="1" si="163">+D696</f>
        <v>07.02.</v>
      </c>
      <c r="E697" s="107">
        <f t="shared" si="147"/>
        <v>0</v>
      </c>
      <c r="F697" s="108">
        <f ca="1">OFFSET('Tabla III.3.'!$H$12,H697-1,I697-1)</f>
        <v>0</v>
      </c>
      <c r="G697" s="107" t="str">
        <f ca="1">OFFSET('Tabla III.3.'!$H$1,0,I697-1)</f>
        <v>03</v>
      </c>
      <c r="H697" s="110">
        <f t="shared" ref="H697:H706" si="164">+H696</f>
        <v>4</v>
      </c>
      <c r="I697" s="110">
        <f t="shared" ref="I697:I706" si="165">+I696+1</f>
        <v>3</v>
      </c>
      <c r="J697" s="110" t="str">
        <f ca="1">+'Tabla III.3.'!$C$9</f>
        <v>Tabla III.3.</v>
      </c>
      <c r="K697" s="110" t="str">
        <f t="shared" si="161"/>
        <v>A</v>
      </c>
      <c r="L697" s="107"/>
    </row>
    <row r="698" spans="1:12" s="112" customFormat="1">
      <c r="A698" s="107" t="s">
        <v>2944</v>
      </c>
      <c r="B698" s="107" t="str">
        <f t="shared" si="144"/>
        <v>202503</v>
      </c>
      <c r="C698" s="107" t="str">
        <f t="shared" ca="1" si="162"/>
        <v>v1</v>
      </c>
      <c r="D698" s="399" t="str">
        <f t="shared" ca="1" si="163"/>
        <v>07.02.</v>
      </c>
      <c r="E698" s="107">
        <f t="shared" si="147"/>
        <v>0</v>
      </c>
      <c r="F698" s="108">
        <f ca="1">OFFSET('Tabla III.3.'!$H$12,H698-1,I698-1)</f>
        <v>0</v>
      </c>
      <c r="G698" s="107" t="str">
        <f ca="1">OFFSET('Tabla III.3.'!$H$1,0,I698-1)</f>
        <v>04</v>
      </c>
      <c r="H698" s="110">
        <f t="shared" si="164"/>
        <v>4</v>
      </c>
      <c r="I698" s="110">
        <f t="shared" si="165"/>
        <v>4</v>
      </c>
      <c r="J698" s="110" t="str">
        <f ca="1">+'Tabla III.3.'!$C$9</f>
        <v>Tabla III.3.</v>
      </c>
      <c r="K698" s="110" t="str">
        <f t="shared" si="161"/>
        <v>A</v>
      </c>
      <c r="L698" s="107"/>
    </row>
    <row r="699" spans="1:12" s="112" customFormat="1">
      <c r="A699" s="107" t="s">
        <v>2944</v>
      </c>
      <c r="B699" s="107" t="str">
        <f t="shared" si="144"/>
        <v>202503</v>
      </c>
      <c r="C699" s="107" t="str">
        <f t="shared" ca="1" si="162"/>
        <v>v1</v>
      </c>
      <c r="D699" s="399" t="str">
        <f t="shared" ca="1" si="163"/>
        <v>07.02.</v>
      </c>
      <c r="E699" s="107">
        <f t="shared" si="147"/>
        <v>0</v>
      </c>
      <c r="F699" s="108">
        <f ca="1">OFFSET('Tabla III.3.'!$H$12,H699-1,I699-1)</f>
        <v>0</v>
      </c>
      <c r="G699" s="107" t="str">
        <f ca="1">OFFSET('Tabla III.3.'!$H$1,0,I699-1)</f>
        <v>05</v>
      </c>
      <c r="H699" s="110">
        <f t="shared" si="164"/>
        <v>4</v>
      </c>
      <c r="I699" s="110">
        <f t="shared" si="165"/>
        <v>5</v>
      </c>
      <c r="J699" s="110" t="str">
        <f ca="1">+'Tabla III.3.'!$C$9</f>
        <v>Tabla III.3.</v>
      </c>
      <c r="K699" s="110" t="str">
        <f t="shared" si="161"/>
        <v>A</v>
      </c>
      <c r="L699" s="107"/>
    </row>
    <row r="700" spans="1:12" s="112" customFormat="1">
      <c r="A700" s="107" t="s">
        <v>2944</v>
      </c>
      <c r="B700" s="107" t="str">
        <f t="shared" si="144"/>
        <v>202503</v>
      </c>
      <c r="C700" s="107" t="str">
        <f t="shared" ca="1" si="162"/>
        <v>v1</v>
      </c>
      <c r="D700" s="399" t="str">
        <f t="shared" ca="1" si="163"/>
        <v>07.02.</v>
      </c>
      <c r="E700" s="107">
        <f t="shared" si="147"/>
        <v>0</v>
      </c>
      <c r="F700" s="108">
        <f ca="1">OFFSET('Tabla III.3.'!$H$12,H700-1,I700-1)</f>
        <v>0</v>
      </c>
      <c r="G700" s="107" t="str">
        <f ca="1">OFFSET('Tabla III.3.'!$H$1,0,I700-1)</f>
        <v>06</v>
      </c>
      <c r="H700" s="110">
        <f t="shared" si="164"/>
        <v>4</v>
      </c>
      <c r="I700" s="110">
        <f t="shared" si="165"/>
        <v>6</v>
      </c>
      <c r="J700" s="110" t="str">
        <f ca="1">+'Tabla III.3.'!$C$9</f>
        <v>Tabla III.3.</v>
      </c>
      <c r="K700" s="110" t="str">
        <f t="shared" si="161"/>
        <v>A</v>
      </c>
      <c r="L700" s="107"/>
    </row>
    <row r="701" spans="1:12" s="112" customFormat="1">
      <c r="A701" s="107" t="s">
        <v>2944</v>
      </c>
      <c r="B701" s="107" t="str">
        <f t="shared" si="144"/>
        <v>202503</v>
      </c>
      <c r="C701" s="107" t="str">
        <f t="shared" ca="1" si="162"/>
        <v>v1</v>
      </c>
      <c r="D701" s="399" t="str">
        <f t="shared" ca="1" si="163"/>
        <v>07.02.</v>
      </c>
      <c r="E701" s="107">
        <f t="shared" si="147"/>
        <v>0</v>
      </c>
      <c r="F701" s="108">
        <f ca="1">OFFSET('Tabla III.3.'!$H$12,H701-1,I701-1)</f>
        <v>0</v>
      </c>
      <c r="G701" s="107" t="str">
        <f ca="1">OFFSET('Tabla III.3.'!$H$1,0,I701-1)</f>
        <v>07</v>
      </c>
      <c r="H701" s="110">
        <f t="shared" si="164"/>
        <v>4</v>
      </c>
      <c r="I701" s="110">
        <f t="shared" si="165"/>
        <v>7</v>
      </c>
      <c r="J701" s="110" t="str">
        <f ca="1">+'Tabla III.3.'!$C$9</f>
        <v>Tabla III.3.</v>
      </c>
      <c r="K701" s="110" t="str">
        <f t="shared" si="161"/>
        <v>A</v>
      </c>
      <c r="L701" s="107"/>
    </row>
    <row r="702" spans="1:12" s="112" customFormat="1">
      <c r="A702" s="107" t="s">
        <v>2944</v>
      </c>
      <c r="B702" s="107" t="str">
        <f t="shared" si="144"/>
        <v>202503</v>
      </c>
      <c r="C702" s="107" t="str">
        <f t="shared" ca="1" si="162"/>
        <v>v1</v>
      </c>
      <c r="D702" s="399" t="str">
        <f t="shared" ca="1" si="163"/>
        <v>07.02.</v>
      </c>
      <c r="E702" s="107">
        <f t="shared" si="147"/>
        <v>0</v>
      </c>
      <c r="F702" s="108">
        <f ca="1">OFFSET('Tabla III.3.'!$H$12,H702-1,I702-1)</f>
        <v>0</v>
      </c>
      <c r="G702" s="107" t="str">
        <f ca="1">OFFSET('Tabla III.3.'!$H$1,0,I702-1)</f>
        <v>08</v>
      </c>
      <c r="H702" s="110">
        <f t="shared" si="164"/>
        <v>4</v>
      </c>
      <c r="I702" s="110">
        <f t="shared" si="165"/>
        <v>8</v>
      </c>
      <c r="J702" s="110" t="str">
        <f ca="1">+'Tabla III.3.'!$C$9</f>
        <v>Tabla III.3.</v>
      </c>
      <c r="K702" s="110" t="str">
        <f t="shared" si="161"/>
        <v>A</v>
      </c>
      <c r="L702" s="107"/>
    </row>
    <row r="703" spans="1:12" s="112" customFormat="1">
      <c r="A703" s="107" t="s">
        <v>2944</v>
      </c>
      <c r="B703" s="107" t="str">
        <f t="shared" si="144"/>
        <v>202503</v>
      </c>
      <c r="C703" s="107" t="str">
        <f t="shared" ca="1" si="162"/>
        <v>v1</v>
      </c>
      <c r="D703" s="399" t="str">
        <f t="shared" ca="1" si="163"/>
        <v>07.02.</v>
      </c>
      <c r="E703" s="107">
        <f t="shared" si="147"/>
        <v>0</v>
      </c>
      <c r="F703" s="108">
        <f ca="1">OFFSET('Tabla III.3.'!$H$12,H703-1,I703-1)</f>
        <v>0</v>
      </c>
      <c r="G703" s="107" t="str">
        <f ca="1">OFFSET('Tabla III.3.'!$H$1,0,I703-1)</f>
        <v>09</v>
      </c>
      <c r="H703" s="110">
        <f t="shared" si="164"/>
        <v>4</v>
      </c>
      <c r="I703" s="110">
        <f t="shared" si="165"/>
        <v>9</v>
      </c>
      <c r="J703" s="110" t="str">
        <f ca="1">+'Tabla III.3.'!$C$9</f>
        <v>Tabla III.3.</v>
      </c>
      <c r="K703" s="110" t="str">
        <f t="shared" si="161"/>
        <v>A</v>
      </c>
      <c r="L703" s="107"/>
    </row>
    <row r="704" spans="1:12" s="112" customFormat="1">
      <c r="A704" s="107" t="s">
        <v>2944</v>
      </c>
      <c r="B704" s="107" t="str">
        <f t="shared" si="144"/>
        <v>202503</v>
      </c>
      <c r="C704" s="107" t="str">
        <f t="shared" ca="1" si="162"/>
        <v>v1</v>
      </c>
      <c r="D704" s="399" t="str">
        <f t="shared" ca="1" si="163"/>
        <v>07.02.</v>
      </c>
      <c r="E704" s="107">
        <f t="shared" si="147"/>
        <v>0</v>
      </c>
      <c r="F704" s="108">
        <f ca="1">OFFSET('Tabla III.3.'!$H$12,H704-1,I704-1)</f>
        <v>0</v>
      </c>
      <c r="G704" s="107" t="str">
        <f ca="1">OFFSET('Tabla III.3.'!$H$1,0,I704-1)</f>
        <v>10</v>
      </c>
      <c r="H704" s="110">
        <f t="shared" si="164"/>
        <v>4</v>
      </c>
      <c r="I704" s="110">
        <f t="shared" si="165"/>
        <v>10</v>
      </c>
      <c r="J704" s="110" t="str">
        <f ca="1">+'Tabla III.3.'!$C$9</f>
        <v>Tabla III.3.</v>
      </c>
      <c r="K704" s="110" t="str">
        <f t="shared" si="161"/>
        <v>A</v>
      </c>
      <c r="L704" s="107"/>
    </row>
    <row r="705" spans="1:12" s="112" customFormat="1">
      <c r="A705" s="107" t="s">
        <v>2944</v>
      </c>
      <c r="B705" s="107" t="str">
        <f t="shared" si="144"/>
        <v>202503</v>
      </c>
      <c r="C705" s="107" t="str">
        <f t="shared" ca="1" si="162"/>
        <v>v1</v>
      </c>
      <c r="D705" s="399" t="str">
        <f t="shared" ca="1" si="163"/>
        <v>07.02.</v>
      </c>
      <c r="E705" s="107">
        <f t="shared" si="147"/>
        <v>0</v>
      </c>
      <c r="F705" s="108">
        <f ca="1">OFFSET('Tabla III.3.'!$H$12,H705-1,I705-1)</f>
        <v>0</v>
      </c>
      <c r="G705" s="107" t="str">
        <f ca="1">OFFSET('Tabla III.3.'!$H$1,0,I705-1)</f>
        <v>11</v>
      </c>
      <c r="H705" s="110">
        <f t="shared" si="164"/>
        <v>4</v>
      </c>
      <c r="I705" s="110">
        <f t="shared" si="165"/>
        <v>11</v>
      </c>
      <c r="J705" s="110" t="str">
        <f ca="1">+'Tabla III.3.'!$C$9</f>
        <v>Tabla III.3.</v>
      </c>
      <c r="K705" s="110" t="str">
        <f t="shared" si="161"/>
        <v>A</v>
      </c>
      <c r="L705" s="107"/>
    </row>
    <row r="706" spans="1:12" s="112" customFormat="1">
      <c r="A706" s="107" t="s">
        <v>2944</v>
      </c>
      <c r="B706" s="107" t="str">
        <f t="shared" si="144"/>
        <v>202503</v>
      </c>
      <c r="C706" s="107" t="str">
        <f t="shared" ca="1" si="162"/>
        <v>v1</v>
      </c>
      <c r="D706" s="399" t="str">
        <f t="shared" ca="1" si="163"/>
        <v>07.02.</v>
      </c>
      <c r="E706" s="107">
        <f t="shared" si="147"/>
        <v>0</v>
      </c>
      <c r="F706" s="108">
        <f ca="1">OFFSET('Tabla III.3.'!$H$12,H706-1,I706-1)</f>
        <v>0</v>
      </c>
      <c r="G706" s="107" t="str">
        <f ca="1">OFFSET('Tabla III.3.'!$H$1,0,I706-1)</f>
        <v>12</v>
      </c>
      <c r="H706" s="110">
        <f t="shared" si="164"/>
        <v>4</v>
      </c>
      <c r="I706" s="110">
        <f t="shared" si="165"/>
        <v>12</v>
      </c>
      <c r="J706" s="110" t="str">
        <f ca="1">+'Tabla III.3.'!$C$9</f>
        <v>Tabla III.3.</v>
      </c>
      <c r="K706" s="110" t="str">
        <f t="shared" si="161"/>
        <v>A</v>
      </c>
      <c r="L706" s="107"/>
    </row>
    <row r="707" spans="1:12" s="103" customFormat="1">
      <c r="A707" s="412" t="s">
        <v>2944</v>
      </c>
      <c r="B707" s="412" t="str">
        <f t="shared" si="144"/>
        <v>202503</v>
      </c>
      <c r="C707" s="412" t="s">
        <v>2945</v>
      </c>
      <c r="D707" s="413" t="str">
        <f ca="1">OFFSET('Tabla III.3.'!$F$12,H707-1,0)</f>
        <v>07.02.00.01</v>
      </c>
      <c r="E707" s="412">
        <f t="shared" si="147"/>
        <v>0</v>
      </c>
      <c r="F707" s="414">
        <f ca="1">OFFSET('Tabla III.3.'!$H$12,H707-1,I707-1)</f>
        <v>0</v>
      </c>
      <c r="G707" s="412" t="str">
        <f ca="1">OFFSET('Tabla III.3.'!$H$1,0,I707-1)</f>
        <v>01</v>
      </c>
      <c r="H707" s="111">
        <f>+H695+1</f>
        <v>5</v>
      </c>
      <c r="I707" s="111">
        <v>1</v>
      </c>
      <c r="J707" s="111" t="str">
        <f ca="1">+'Tabla III.3.'!$C$9</f>
        <v>Tabla III.3.</v>
      </c>
      <c r="K707" s="111" t="s">
        <v>2266</v>
      </c>
      <c r="L707" s="412">
        <f>+L695+1</f>
        <v>5</v>
      </c>
    </row>
    <row r="708" spans="1:12" s="103" customFormat="1">
      <c r="A708" s="412" t="s">
        <v>2944</v>
      </c>
      <c r="B708" s="412" t="str">
        <f t="shared" si="144"/>
        <v>202503</v>
      </c>
      <c r="C708" s="412" t="str">
        <f ca="1">IF(G708="01","v2","v1")</f>
        <v>v1</v>
      </c>
      <c r="D708" s="413" t="str">
        <f ca="1">+D707</f>
        <v>07.02.00.01</v>
      </c>
      <c r="E708" s="412">
        <f t="shared" si="147"/>
        <v>0</v>
      </c>
      <c r="F708" s="414">
        <f ca="1">OFFSET('Tabla III.3.'!$H$12,H708-1,I708-1)</f>
        <v>0</v>
      </c>
      <c r="G708" s="412" t="str">
        <f ca="1">OFFSET('Tabla III.3.'!$H$1,0,I708-1)</f>
        <v>02</v>
      </c>
      <c r="H708" s="111">
        <f>+H707</f>
        <v>5</v>
      </c>
      <c r="I708" s="111">
        <f>+I707+1</f>
        <v>2</v>
      </c>
      <c r="J708" s="111" t="str">
        <f ca="1">+'Tabla III.3.'!$C$9</f>
        <v>Tabla III.3.</v>
      </c>
      <c r="K708" s="111" t="str">
        <f t="shared" ref="K708:K718" si="166">+K707</f>
        <v>A</v>
      </c>
      <c r="L708" s="412"/>
    </row>
    <row r="709" spans="1:12" s="103" customFormat="1">
      <c r="A709" s="412" t="s">
        <v>2944</v>
      </c>
      <c r="B709" s="412" t="str">
        <f t="shared" si="144"/>
        <v>202503</v>
      </c>
      <c r="C709" s="412" t="str">
        <f t="shared" ref="C709:C718" ca="1" si="167">IF(G709="01","v2","v1")</f>
        <v>v1</v>
      </c>
      <c r="D709" s="413" t="str">
        <f t="shared" ref="D709:D718" ca="1" si="168">+D708</f>
        <v>07.02.00.01</v>
      </c>
      <c r="E709" s="412">
        <f t="shared" si="147"/>
        <v>0</v>
      </c>
      <c r="F709" s="414">
        <f ca="1">OFFSET('Tabla III.3.'!$H$12,H709-1,I709-1)</f>
        <v>0</v>
      </c>
      <c r="G709" s="412" t="str">
        <f ca="1">OFFSET('Tabla III.3.'!$H$1,0,I709-1)</f>
        <v>03</v>
      </c>
      <c r="H709" s="111">
        <f t="shared" ref="H709:H718" si="169">+H708</f>
        <v>5</v>
      </c>
      <c r="I709" s="111">
        <f t="shared" ref="I709:I718" si="170">+I708+1</f>
        <v>3</v>
      </c>
      <c r="J709" s="111" t="str">
        <f ca="1">+'Tabla III.3.'!$C$9</f>
        <v>Tabla III.3.</v>
      </c>
      <c r="K709" s="111" t="str">
        <f t="shared" si="166"/>
        <v>A</v>
      </c>
      <c r="L709" s="412"/>
    </row>
    <row r="710" spans="1:12" s="103" customFormat="1">
      <c r="A710" s="412" t="s">
        <v>2944</v>
      </c>
      <c r="B710" s="412" t="str">
        <f t="shared" si="144"/>
        <v>202503</v>
      </c>
      <c r="C710" s="412" t="str">
        <f t="shared" ca="1" si="167"/>
        <v>v1</v>
      </c>
      <c r="D710" s="413" t="str">
        <f t="shared" ca="1" si="168"/>
        <v>07.02.00.01</v>
      </c>
      <c r="E710" s="412">
        <f t="shared" si="147"/>
        <v>0</v>
      </c>
      <c r="F710" s="414">
        <f ca="1">OFFSET('Tabla III.3.'!$H$12,H710-1,I710-1)</f>
        <v>0</v>
      </c>
      <c r="G710" s="412" t="str">
        <f ca="1">OFFSET('Tabla III.3.'!$H$1,0,I710-1)</f>
        <v>04</v>
      </c>
      <c r="H710" s="111">
        <f t="shared" si="169"/>
        <v>5</v>
      </c>
      <c r="I710" s="111">
        <f t="shared" si="170"/>
        <v>4</v>
      </c>
      <c r="J710" s="111" t="str">
        <f ca="1">+'Tabla III.3.'!$C$9</f>
        <v>Tabla III.3.</v>
      </c>
      <c r="K710" s="111" t="str">
        <f t="shared" si="166"/>
        <v>A</v>
      </c>
      <c r="L710" s="412"/>
    </row>
    <row r="711" spans="1:12" s="103" customFormat="1">
      <c r="A711" s="412" t="s">
        <v>2944</v>
      </c>
      <c r="B711" s="412" t="str">
        <f t="shared" si="144"/>
        <v>202503</v>
      </c>
      <c r="C711" s="412" t="str">
        <f t="shared" ca="1" si="167"/>
        <v>v1</v>
      </c>
      <c r="D711" s="413" t="str">
        <f t="shared" ca="1" si="168"/>
        <v>07.02.00.01</v>
      </c>
      <c r="E711" s="412">
        <f t="shared" si="147"/>
        <v>0</v>
      </c>
      <c r="F711" s="414">
        <f ca="1">OFFSET('Tabla III.3.'!$H$12,H711-1,I711-1)</f>
        <v>0</v>
      </c>
      <c r="G711" s="412" t="str">
        <f ca="1">OFFSET('Tabla III.3.'!$H$1,0,I711-1)</f>
        <v>05</v>
      </c>
      <c r="H711" s="111">
        <f t="shared" si="169"/>
        <v>5</v>
      </c>
      <c r="I711" s="111">
        <f t="shared" si="170"/>
        <v>5</v>
      </c>
      <c r="J711" s="111" t="str">
        <f ca="1">+'Tabla III.3.'!$C$9</f>
        <v>Tabla III.3.</v>
      </c>
      <c r="K711" s="111" t="str">
        <f t="shared" si="166"/>
        <v>A</v>
      </c>
      <c r="L711" s="412"/>
    </row>
    <row r="712" spans="1:12" s="103" customFormat="1">
      <c r="A712" s="412" t="s">
        <v>2944</v>
      </c>
      <c r="B712" s="412" t="str">
        <f t="shared" si="144"/>
        <v>202503</v>
      </c>
      <c r="C712" s="412" t="str">
        <f t="shared" ca="1" si="167"/>
        <v>v1</v>
      </c>
      <c r="D712" s="413" t="str">
        <f t="shared" ca="1" si="168"/>
        <v>07.02.00.01</v>
      </c>
      <c r="E712" s="412">
        <f t="shared" si="147"/>
        <v>0</v>
      </c>
      <c r="F712" s="414">
        <f ca="1">OFFSET('Tabla III.3.'!$H$12,H712-1,I712-1)</f>
        <v>0</v>
      </c>
      <c r="G712" s="412" t="str">
        <f ca="1">OFFSET('Tabla III.3.'!$H$1,0,I712-1)</f>
        <v>06</v>
      </c>
      <c r="H712" s="111">
        <f t="shared" si="169"/>
        <v>5</v>
      </c>
      <c r="I712" s="111">
        <f t="shared" si="170"/>
        <v>6</v>
      </c>
      <c r="J712" s="111" t="str">
        <f ca="1">+'Tabla III.3.'!$C$9</f>
        <v>Tabla III.3.</v>
      </c>
      <c r="K712" s="111" t="str">
        <f t="shared" si="166"/>
        <v>A</v>
      </c>
      <c r="L712" s="412"/>
    </row>
    <row r="713" spans="1:12" s="103" customFormat="1">
      <c r="A713" s="412" t="s">
        <v>2944</v>
      </c>
      <c r="B713" s="412" t="str">
        <f t="shared" si="144"/>
        <v>202503</v>
      </c>
      <c r="C713" s="412" t="str">
        <f t="shared" ca="1" si="167"/>
        <v>v1</v>
      </c>
      <c r="D713" s="413" t="str">
        <f t="shared" ca="1" si="168"/>
        <v>07.02.00.01</v>
      </c>
      <c r="E713" s="412">
        <f t="shared" si="147"/>
        <v>0</v>
      </c>
      <c r="F713" s="414">
        <f ca="1">OFFSET('Tabla III.3.'!$H$12,H713-1,I713-1)</f>
        <v>0</v>
      </c>
      <c r="G713" s="412" t="str">
        <f ca="1">OFFSET('Tabla III.3.'!$H$1,0,I713-1)</f>
        <v>07</v>
      </c>
      <c r="H713" s="111">
        <f t="shared" si="169"/>
        <v>5</v>
      </c>
      <c r="I713" s="111">
        <f t="shared" si="170"/>
        <v>7</v>
      </c>
      <c r="J713" s="111" t="str">
        <f ca="1">+'Tabla III.3.'!$C$9</f>
        <v>Tabla III.3.</v>
      </c>
      <c r="K713" s="111" t="str">
        <f t="shared" si="166"/>
        <v>A</v>
      </c>
      <c r="L713" s="412"/>
    </row>
    <row r="714" spans="1:12" s="103" customFormat="1">
      <c r="A714" s="412" t="s">
        <v>2944</v>
      </c>
      <c r="B714" s="412" t="str">
        <f t="shared" si="144"/>
        <v>202503</v>
      </c>
      <c r="C714" s="412" t="str">
        <f t="shared" ca="1" si="167"/>
        <v>v1</v>
      </c>
      <c r="D714" s="413" t="str">
        <f t="shared" ca="1" si="168"/>
        <v>07.02.00.01</v>
      </c>
      <c r="E714" s="412">
        <f t="shared" si="147"/>
        <v>0</v>
      </c>
      <c r="F714" s="414">
        <f ca="1">OFFSET('Tabla III.3.'!$H$12,H714-1,I714-1)</f>
        <v>0</v>
      </c>
      <c r="G714" s="412" t="str">
        <f ca="1">OFFSET('Tabla III.3.'!$H$1,0,I714-1)</f>
        <v>08</v>
      </c>
      <c r="H714" s="111">
        <f t="shared" si="169"/>
        <v>5</v>
      </c>
      <c r="I714" s="111">
        <f t="shared" si="170"/>
        <v>8</v>
      </c>
      <c r="J714" s="111" t="str">
        <f ca="1">+'Tabla III.3.'!$C$9</f>
        <v>Tabla III.3.</v>
      </c>
      <c r="K714" s="111" t="str">
        <f t="shared" si="166"/>
        <v>A</v>
      </c>
      <c r="L714" s="412"/>
    </row>
    <row r="715" spans="1:12" s="103" customFormat="1">
      <c r="A715" s="412" t="s">
        <v>2944</v>
      </c>
      <c r="B715" s="412" t="str">
        <f t="shared" si="144"/>
        <v>202503</v>
      </c>
      <c r="C715" s="412" t="str">
        <f t="shared" ca="1" si="167"/>
        <v>v1</v>
      </c>
      <c r="D715" s="413" t="str">
        <f t="shared" ca="1" si="168"/>
        <v>07.02.00.01</v>
      </c>
      <c r="E715" s="412">
        <f t="shared" si="147"/>
        <v>0</v>
      </c>
      <c r="F715" s="414">
        <f ca="1">OFFSET('Tabla III.3.'!$H$12,H715-1,I715-1)</f>
        <v>0</v>
      </c>
      <c r="G715" s="412" t="str">
        <f ca="1">OFFSET('Tabla III.3.'!$H$1,0,I715-1)</f>
        <v>09</v>
      </c>
      <c r="H715" s="111">
        <f t="shared" si="169"/>
        <v>5</v>
      </c>
      <c r="I715" s="111">
        <f t="shared" si="170"/>
        <v>9</v>
      </c>
      <c r="J715" s="111" t="str">
        <f ca="1">+'Tabla III.3.'!$C$9</f>
        <v>Tabla III.3.</v>
      </c>
      <c r="K715" s="111" t="str">
        <f t="shared" si="166"/>
        <v>A</v>
      </c>
      <c r="L715" s="412"/>
    </row>
    <row r="716" spans="1:12" s="103" customFormat="1">
      <c r="A716" s="412" t="s">
        <v>2944</v>
      </c>
      <c r="B716" s="412" t="str">
        <f t="shared" si="144"/>
        <v>202503</v>
      </c>
      <c r="C716" s="412" t="str">
        <f t="shared" ca="1" si="167"/>
        <v>v1</v>
      </c>
      <c r="D716" s="413" t="str">
        <f t="shared" ca="1" si="168"/>
        <v>07.02.00.01</v>
      </c>
      <c r="E716" s="412">
        <f t="shared" si="147"/>
        <v>0</v>
      </c>
      <c r="F716" s="414">
        <f ca="1">OFFSET('Tabla III.3.'!$H$12,H716-1,I716-1)</f>
        <v>0</v>
      </c>
      <c r="G716" s="412" t="str">
        <f ca="1">OFFSET('Tabla III.3.'!$H$1,0,I716-1)</f>
        <v>10</v>
      </c>
      <c r="H716" s="111">
        <f t="shared" si="169"/>
        <v>5</v>
      </c>
      <c r="I716" s="111">
        <f t="shared" si="170"/>
        <v>10</v>
      </c>
      <c r="J716" s="111" t="str">
        <f ca="1">+'Tabla III.3.'!$C$9</f>
        <v>Tabla III.3.</v>
      </c>
      <c r="K716" s="111" t="str">
        <f t="shared" si="166"/>
        <v>A</v>
      </c>
      <c r="L716" s="412"/>
    </row>
    <row r="717" spans="1:12" s="103" customFormat="1">
      <c r="A717" s="412" t="s">
        <v>2944</v>
      </c>
      <c r="B717" s="412" t="str">
        <f t="shared" si="144"/>
        <v>202503</v>
      </c>
      <c r="C717" s="412" t="str">
        <f t="shared" ca="1" si="167"/>
        <v>v1</v>
      </c>
      <c r="D717" s="413" t="str">
        <f t="shared" ca="1" si="168"/>
        <v>07.02.00.01</v>
      </c>
      <c r="E717" s="412">
        <f t="shared" si="147"/>
        <v>0</v>
      </c>
      <c r="F717" s="414">
        <f ca="1">OFFSET('Tabla III.3.'!$H$12,H717-1,I717-1)</f>
        <v>0</v>
      </c>
      <c r="G717" s="412" t="str">
        <f ca="1">OFFSET('Tabla III.3.'!$H$1,0,I717-1)</f>
        <v>11</v>
      </c>
      <c r="H717" s="111">
        <f t="shared" si="169"/>
        <v>5</v>
      </c>
      <c r="I717" s="111">
        <f t="shared" si="170"/>
        <v>11</v>
      </c>
      <c r="J717" s="111" t="str">
        <f ca="1">+'Tabla III.3.'!$C$9</f>
        <v>Tabla III.3.</v>
      </c>
      <c r="K717" s="111" t="str">
        <f t="shared" si="166"/>
        <v>A</v>
      </c>
      <c r="L717" s="412"/>
    </row>
    <row r="718" spans="1:12" s="103" customFormat="1">
      <c r="A718" s="412" t="s">
        <v>2944</v>
      </c>
      <c r="B718" s="412" t="str">
        <f t="shared" si="144"/>
        <v>202503</v>
      </c>
      <c r="C718" s="412" t="str">
        <f t="shared" ca="1" si="167"/>
        <v>v1</v>
      </c>
      <c r="D718" s="413" t="str">
        <f t="shared" ca="1" si="168"/>
        <v>07.02.00.01</v>
      </c>
      <c r="E718" s="412">
        <f t="shared" si="147"/>
        <v>0</v>
      </c>
      <c r="F718" s="414">
        <f ca="1">OFFSET('Tabla III.3.'!$H$12,H718-1,I718-1)</f>
        <v>0</v>
      </c>
      <c r="G718" s="412" t="str">
        <f ca="1">OFFSET('Tabla III.3.'!$H$1,0,I718-1)</f>
        <v>12</v>
      </c>
      <c r="H718" s="111">
        <f t="shared" si="169"/>
        <v>5</v>
      </c>
      <c r="I718" s="111">
        <f t="shared" si="170"/>
        <v>12</v>
      </c>
      <c r="J718" s="111" t="str">
        <f ca="1">+'Tabla III.3.'!$C$9</f>
        <v>Tabla III.3.</v>
      </c>
      <c r="K718" s="111" t="str">
        <f t="shared" si="166"/>
        <v>A</v>
      </c>
      <c r="L718" s="412"/>
    </row>
    <row r="719" spans="1:12" s="103" customFormat="1">
      <c r="A719" s="107" t="s">
        <v>2944</v>
      </c>
      <c r="B719" s="107" t="str">
        <f t="shared" si="144"/>
        <v>202503</v>
      </c>
      <c r="C719" s="107" t="s">
        <v>2945</v>
      </c>
      <c r="D719" s="399" t="str">
        <f ca="1">OFFSET('Tabla III.3.'!$F$12,H719-1,0)</f>
        <v>07.02.00.02.</v>
      </c>
      <c r="E719" s="107">
        <f t="shared" si="147"/>
        <v>0</v>
      </c>
      <c r="F719" s="108">
        <f ca="1">OFFSET('Tabla III.3.'!$H$12,H719-1,I719-1)</f>
        <v>0</v>
      </c>
      <c r="G719" s="107" t="str">
        <f ca="1">OFFSET('Tabla III.3.'!$H$1,0,I719-1)</f>
        <v>01</v>
      </c>
      <c r="H719" s="110">
        <f>+H707+1</f>
        <v>6</v>
      </c>
      <c r="I719" s="110">
        <v>1</v>
      </c>
      <c r="J719" s="110" t="str">
        <f ca="1">+'Tabla III.3.'!$C$9</f>
        <v>Tabla III.3.</v>
      </c>
      <c r="K719" s="110" t="s">
        <v>2266</v>
      </c>
      <c r="L719" s="107">
        <f>+L707+1</f>
        <v>6</v>
      </c>
    </row>
    <row r="720" spans="1:12" s="103" customFormat="1">
      <c r="A720" s="107" t="s">
        <v>2944</v>
      </c>
      <c r="B720" s="107" t="str">
        <f t="shared" si="144"/>
        <v>202503</v>
      </c>
      <c r="C720" s="107" t="str">
        <f ca="1">IF(G720="01","v2","v1")</f>
        <v>v1</v>
      </c>
      <c r="D720" s="399" t="str">
        <f ca="1">+D719</f>
        <v>07.02.00.02.</v>
      </c>
      <c r="E720" s="107">
        <f t="shared" si="147"/>
        <v>0</v>
      </c>
      <c r="F720" s="108">
        <f ca="1">OFFSET('Tabla III.3.'!$H$12,H720-1,I720-1)</f>
        <v>0</v>
      </c>
      <c r="G720" s="107" t="str">
        <f ca="1">OFFSET('Tabla III.3.'!$H$1,0,I720-1)</f>
        <v>02</v>
      </c>
      <c r="H720" s="110">
        <f>+H719</f>
        <v>6</v>
      </c>
      <c r="I720" s="110">
        <f>+I719+1</f>
        <v>2</v>
      </c>
      <c r="J720" s="110" t="str">
        <f ca="1">+'Tabla III.3.'!$C$9</f>
        <v>Tabla III.3.</v>
      </c>
      <c r="K720" s="110" t="str">
        <f t="shared" ref="K720:K730" si="171">+K719</f>
        <v>A</v>
      </c>
      <c r="L720" s="107"/>
    </row>
    <row r="721" spans="1:12" s="103" customFormat="1">
      <c r="A721" s="107" t="s">
        <v>2944</v>
      </c>
      <c r="B721" s="107" t="str">
        <f t="shared" si="144"/>
        <v>202503</v>
      </c>
      <c r="C721" s="107" t="str">
        <f t="shared" ref="C721:C730" ca="1" si="172">IF(G721="01","v2","v1")</f>
        <v>v1</v>
      </c>
      <c r="D721" s="399" t="str">
        <f t="shared" ref="D721:D730" ca="1" si="173">+D720</f>
        <v>07.02.00.02.</v>
      </c>
      <c r="E721" s="107">
        <f t="shared" si="147"/>
        <v>0</v>
      </c>
      <c r="F721" s="108">
        <f ca="1">OFFSET('Tabla III.3.'!$H$12,H721-1,I721-1)</f>
        <v>0</v>
      </c>
      <c r="G721" s="107" t="str">
        <f ca="1">OFFSET('Tabla III.3.'!$H$1,0,I721-1)</f>
        <v>03</v>
      </c>
      <c r="H721" s="110">
        <f t="shared" ref="H721:H730" si="174">+H720</f>
        <v>6</v>
      </c>
      <c r="I721" s="110">
        <f t="shared" ref="I721:I730" si="175">+I720+1</f>
        <v>3</v>
      </c>
      <c r="J721" s="110" t="str">
        <f ca="1">+'Tabla III.3.'!$C$9</f>
        <v>Tabla III.3.</v>
      </c>
      <c r="K721" s="110" t="str">
        <f t="shared" si="171"/>
        <v>A</v>
      </c>
      <c r="L721" s="107"/>
    </row>
    <row r="722" spans="1:12" s="103" customFormat="1">
      <c r="A722" s="107" t="s">
        <v>2944</v>
      </c>
      <c r="B722" s="107" t="str">
        <f t="shared" si="144"/>
        <v>202503</v>
      </c>
      <c r="C722" s="107" t="str">
        <f t="shared" ca="1" si="172"/>
        <v>v1</v>
      </c>
      <c r="D722" s="399" t="str">
        <f t="shared" ca="1" si="173"/>
        <v>07.02.00.02.</v>
      </c>
      <c r="E722" s="107">
        <f t="shared" si="147"/>
        <v>0</v>
      </c>
      <c r="F722" s="108">
        <f ca="1">OFFSET('Tabla III.3.'!$H$12,H722-1,I722-1)</f>
        <v>0</v>
      </c>
      <c r="G722" s="107" t="str">
        <f ca="1">OFFSET('Tabla III.3.'!$H$1,0,I722-1)</f>
        <v>04</v>
      </c>
      <c r="H722" s="110">
        <f t="shared" si="174"/>
        <v>6</v>
      </c>
      <c r="I722" s="110">
        <f t="shared" si="175"/>
        <v>4</v>
      </c>
      <c r="J722" s="110" t="str">
        <f ca="1">+'Tabla III.3.'!$C$9</f>
        <v>Tabla III.3.</v>
      </c>
      <c r="K722" s="110" t="str">
        <f t="shared" si="171"/>
        <v>A</v>
      </c>
      <c r="L722" s="107"/>
    </row>
    <row r="723" spans="1:12" s="103" customFormat="1">
      <c r="A723" s="107" t="s">
        <v>2944</v>
      </c>
      <c r="B723" s="107" t="str">
        <f t="shared" ref="B723:B786" si="176">PERIODO</f>
        <v>202503</v>
      </c>
      <c r="C723" s="107" t="str">
        <f t="shared" ca="1" si="172"/>
        <v>v1</v>
      </c>
      <c r="D723" s="399" t="str">
        <f t="shared" ca="1" si="173"/>
        <v>07.02.00.02.</v>
      </c>
      <c r="E723" s="107">
        <f t="shared" si="147"/>
        <v>0</v>
      </c>
      <c r="F723" s="108">
        <f ca="1">OFFSET('Tabla III.3.'!$H$12,H723-1,I723-1)</f>
        <v>0</v>
      </c>
      <c r="G723" s="107" t="str">
        <f ca="1">OFFSET('Tabla III.3.'!$H$1,0,I723-1)</f>
        <v>05</v>
      </c>
      <c r="H723" s="110">
        <f t="shared" si="174"/>
        <v>6</v>
      </c>
      <c r="I723" s="110">
        <f t="shared" si="175"/>
        <v>5</v>
      </c>
      <c r="J723" s="110" t="str">
        <f ca="1">+'Tabla III.3.'!$C$9</f>
        <v>Tabla III.3.</v>
      </c>
      <c r="K723" s="110" t="str">
        <f t="shared" si="171"/>
        <v>A</v>
      </c>
      <c r="L723" s="107"/>
    </row>
    <row r="724" spans="1:12" s="103" customFormat="1">
      <c r="A724" s="107" t="s">
        <v>2944</v>
      </c>
      <c r="B724" s="107" t="str">
        <f t="shared" si="176"/>
        <v>202503</v>
      </c>
      <c r="C724" s="107" t="str">
        <f t="shared" ca="1" si="172"/>
        <v>v1</v>
      </c>
      <c r="D724" s="399" t="str">
        <f t="shared" ca="1" si="173"/>
        <v>07.02.00.02.</v>
      </c>
      <c r="E724" s="107">
        <f t="shared" ref="E724:E787" si="177">RUC</f>
        <v>0</v>
      </c>
      <c r="F724" s="108">
        <f ca="1">OFFSET('Tabla III.3.'!$H$12,H724-1,I724-1)</f>
        <v>0</v>
      </c>
      <c r="G724" s="107" t="str">
        <f ca="1">OFFSET('Tabla III.3.'!$H$1,0,I724-1)</f>
        <v>06</v>
      </c>
      <c r="H724" s="110">
        <f t="shared" si="174"/>
        <v>6</v>
      </c>
      <c r="I724" s="110">
        <f t="shared" si="175"/>
        <v>6</v>
      </c>
      <c r="J724" s="110" t="str">
        <f ca="1">+'Tabla III.3.'!$C$9</f>
        <v>Tabla III.3.</v>
      </c>
      <c r="K724" s="110" t="str">
        <f t="shared" si="171"/>
        <v>A</v>
      </c>
      <c r="L724" s="107"/>
    </row>
    <row r="725" spans="1:12" s="103" customFormat="1">
      <c r="A725" s="107" t="s">
        <v>2944</v>
      </c>
      <c r="B725" s="107" t="str">
        <f t="shared" si="176"/>
        <v>202503</v>
      </c>
      <c r="C725" s="107" t="str">
        <f t="shared" ca="1" si="172"/>
        <v>v1</v>
      </c>
      <c r="D725" s="399" t="str">
        <f t="shared" ca="1" si="173"/>
        <v>07.02.00.02.</v>
      </c>
      <c r="E725" s="107">
        <f t="shared" si="177"/>
        <v>0</v>
      </c>
      <c r="F725" s="108">
        <f ca="1">OFFSET('Tabla III.3.'!$H$12,H725-1,I725-1)</f>
        <v>0</v>
      </c>
      <c r="G725" s="107" t="str">
        <f ca="1">OFFSET('Tabla III.3.'!$H$1,0,I725-1)</f>
        <v>07</v>
      </c>
      <c r="H725" s="110">
        <f t="shared" si="174"/>
        <v>6</v>
      </c>
      <c r="I725" s="110">
        <f t="shared" si="175"/>
        <v>7</v>
      </c>
      <c r="J725" s="110" t="str">
        <f ca="1">+'Tabla III.3.'!$C$9</f>
        <v>Tabla III.3.</v>
      </c>
      <c r="K725" s="110" t="str">
        <f t="shared" si="171"/>
        <v>A</v>
      </c>
      <c r="L725" s="107"/>
    </row>
    <row r="726" spans="1:12" s="103" customFormat="1">
      <c r="A726" s="107" t="s">
        <v>2944</v>
      </c>
      <c r="B726" s="107" t="str">
        <f t="shared" si="176"/>
        <v>202503</v>
      </c>
      <c r="C726" s="107" t="str">
        <f t="shared" ca="1" si="172"/>
        <v>v1</v>
      </c>
      <c r="D726" s="399" t="str">
        <f t="shared" ca="1" si="173"/>
        <v>07.02.00.02.</v>
      </c>
      <c r="E726" s="107">
        <f t="shared" si="177"/>
        <v>0</v>
      </c>
      <c r="F726" s="108">
        <f ca="1">OFFSET('Tabla III.3.'!$H$12,H726-1,I726-1)</f>
        <v>0</v>
      </c>
      <c r="G726" s="107" t="str">
        <f ca="1">OFFSET('Tabla III.3.'!$H$1,0,I726-1)</f>
        <v>08</v>
      </c>
      <c r="H726" s="110">
        <f t="shared" si="174"/>
        <v>6</v>
      </c>
      <c r="I726" s="110">
        <f t="shared" si="175"/>
        <v>8</v>
      </c>
      <c r="J726" s="110" t="str">
        <f ca="1">+'Tabla III.3.'!$C$9</f>
        <v>Tabla III.3.</v>
      </c>
      <c r="K726" s="110" t="str">
        <f t="shared" si="171"/>
        <v>A</v>
      </c>
      <c r="L726" s="107"/>
    </row>
    <row r="727" spans="1:12" s="103" customFormat="1">
      <c r="A727" s="107" t="s">
        <v>2944</v>
      </c>
      <c r="B727" s="107" t="str">
        <f t="shared" si="176"/>
        <v>202503</v>
      </c>
      <c r="C727" s="107" t="str">
        <f t="shared" ca="1" si="172"/>
        <v>v1</v>
      </c>
      <c r="D727" s="399" t="str">
        <f t="shared" ca="1" si="173"/>
        <v>07.02.00.02.</v>
      </c>
      <c r="E727" s="107">
        <f t="shared" si="177"/>
        <v>0</v>
      </c>
      <c r="F727" s="108">
        <f ca="1">OFFSET('Tabla III.3.'!$H$12,H727-1,I727-1)</f>
        <v>0</v>
      </c>
      <c r="G727" s="107" t="str">
        <f ca="1">OFFSET('Tabla III.3.'!$H$1,0,I727-1)</f>
        <v>09</v>
      </c>
      <c r="H727" s="110">
        <f t="shared" si="174"/>
        <v>6</v>
      </c>
      <c r="I727" s="110">
        <f t="shared" si="175"/>
        <v>9</v>
      </c>
      <c r="J727" s="110" t="str">
        <f ca="1">+'Tabla III.3.'!$C$9</f>
        <v>Tabla III.3.</v>
      </c>
      <c r="K727" s="110" t="str">
        <f t="shared" si="171"/>
        <v>A</v>
      </c>
      <c r="L727" s="107"/>
    </row>
    <row r="728" spans="1:12" s="103" customFormat="1">
      <c r="A728" s="107" t="s">
        <v>2944</v>
      </c>
      <c r="B728" s="107" t="str">
        <f t="shared" si="176"/>
        <v>202503</v>
      </c>
      <c r="C728" s="107" t="str">
        <f t="shared" ca="1" si="172"/>
        <v>v1</v>
      </c>
      <c r="D728" s="399" t="str">
        <f t="shared" ca="1" si="173"/>
        <v>07.02.00.02.</v>
      </c>
      <c r="E728" s="107">
        <f t="shared" si="177"/>
        <v>0</v>
      </c>
      <c r="F728" s="108">
        <f ca="1">OFFSET('Tabla III.3.'!$H$12,H728-1,I728-1)</f>
        <v>0</v>
      </c>
      <c r="G728" s="107" t="str">
        <f ca="1">OFFSET('Tabla III.3.'!$H$1,0,I728-1)</f>
        <v>10</v>
      </c>
      <c r="H728" s="110">
        <f t="shared" si="174"/>
        <v>6</v>
      </c>
      <c r="I728" s="110">
        <f t="shared" si="175"/>
        <v>10</v>
      </c>
      <c r="J728" s="110" t="str">
        <f ca="1">+'Tabla III.3.'!$C$9</f>
        <v>Tabla III.3.</v>
      </c>
      <c r="K728" s="110" t="str">
        <f t="shared" si="171"/>
        <v>A</v>
      </c>
      <c r="L728" s="107"/>
    </row>
    <row r="729" spans="1:12" s="103" customFormat="1">
      <c r="A729" s="107" t="s">
        <v>2944</v>
      </c>
      <c r="B729" s="107" t="str">
        <f t="shared" si="176"/>
        <v>202503</v>
      </c>
      <c r="C729" s="107" t="str">
        <f t="shared" ca="1" si="172"/>
        <v>v1</v>
      </c>
      <c r="D729" s="399" t="str">
        <f t="shared" ca="1" si="173"/>
        <v>07.02.00.02.</v>
      </c>
      <c r="E729" s="107">
        <f t="shared" si="177"/>
        <v>0</v>
      </c>
      <c r="F729" s="108">
        <f ca="1">OFFSET('Tabla III.3.'!$H$12,H729-1,I729-1)</f>
        <v>0</v>
      </c>
      <c r="G729" s="107" t="str">
        <f ca="1">OFFSET('Tabla III.3.'!$H$1,0,I729-1)</f>
        <v>11</v>
      </c>
      <c r="H729" s="110">
        <f t="shared" si="174"/>
        <v>6</v>
      </c>
      <c r="I729" s="110">
        <f t="shared" si="175"/>
        <v>11</v>
      </c>
      <c r="J729" s="110" t="str">
        <f ca="1">+'Tabla III.3.'!$C$9</f>
        <v>Tabla III.3.</v>
      </c>
      <c r="K729" s="110" t="str">
        <f t="shared" si="171"/>
        <v>A</v>
      </c>
      <c r="L729" s="107"/>
    </row>
    <row r="730" spans="1:12" s="103" customFormat="1">
      <c r="A730" s="107" t="s">
        <v>2944</v>
      </c>
      <c r="B730" s="107" t="str">
        <f t="shared" si="176"/>
        <v>202503</v>
      </c>
      <c r="C730" s="107" t="str">
        <f t="shared" ca="1" si="172"/>
        <v>v1</v>
      </c>
      <c r="D730" s="399" t="str">
        <f t="shared" ca="1" si="173"/>
        <v>07.02.00.02.</v>
      </c>
      <c r="E730" s="107">
        <f t="shared" si="177"/>
        <v>0</v>
      </c>
      <c r="F730" s="108">
        <f ca="1">OFFSET('Tabla III.3.'!$H$12,H730-1,I730-1)</f>
        <v>0</v>
      </c>
      <c r="G730" s="107" t="str">
        <f ca="1">OFFSET('Tabla III.3.'!$H$1,0,I730-1)</f>
        <v>12</v>
      </c>
      <c r="H730" s="110">
        <f t="shared" si="174"/>
        <v>6</v>
      </c>
      <c r="I730" s="110">
        <f t="shared" si="175"/>
        <v>12</v>
      </c>
      <c r="J730" s="110" t="str">
        <f ca="1">+'Tabla III.3.'!$C$9</f>
        <v>Tabla III.3.</v>
      </c>
      <c r="K730" s="110" t="str">
        <f t="shared" si="171"/>
        <v>A</v>
      </c>
      <c r="L730" s="107"/>
    </row>
    <row r="731" spans="1:12" s="103" customFormat="1">
      <c r="A731" s="412" t="s">
        <v>2944</v>
      </c>
      <c r="B731" s="412" t="str">
        <f t="shared" si="176"/>
        <v>202503</v>
      </c>
      <c r="C731" s="412" t="s">
        <v>2945</v>
      </c>
      <c r="D731" s="413" t="str">
        <f ca="1">OFFSET('Tabla III.3.'!$F$12,H731-1,0)</f>
        <v>07.03.</v>
      </c>
      <c r="E731" s="412">
        <f t="shared" si="177"/>
        <v>0</v>
      </c>
      <c r="F731" s="414">
        <f ca="1">OFFSET('Tabla III.3.'!$H$12,H731-1,I731-1)</f>
        <v>0</v>
      </c>
      <c r="G731" s="412" t="str">
        <f ca="1">OFFSET('Tabla III.3.'!$H$1,0,I731-1)</f>
        <v>01</v>
      </c>
      <c r="H731" s="111">
        <f>+H719+1</f>
        <v>7</v>
      </c>
      <c r="I731" s="111">
        <v>1</v>
      </c>
      <c r="J731" s="111" t="str">
        <f ca="1">+'Tabla III.3.'!$C$9</f>
        <v>Tabla III.3.</v>
      </c>
      <c r="K731" s="111" t="s">
        <v>2266</v>
      </c>
      <c r="L731" s="412">
        <f>+L719+1</f>
        <v>7</v>
      </c>
    </row>
    <row r="732" spans="1:12" s="103" customFormat="1">
      <c r="A732" s="412" t="s">
        <v>2944</v>
      </c>
      <c r="B732" s="412" t="str">
        <f t="shared" si="176"/>
        <v>202503</v>
      </c>
      <c r="C732" s="412" t="str">
        <f ca="1">IF(G732="01","v2","v1")</f>
        <v>v1</v>
      </c>
      <c r="D732" s="413" t="str">
        <f ca="1">+D731</f>
        <v>07.03.</v>
      </c>
      <c r="E732" s="412">
        <f t="shared" si="177"/>
        <v>0</v>
      </c>
      <c r="F732" s="414">
        <f ca="1">OFFSET('Tabla III.3.'!$H$12,H732-1,I732-1)</f>
        <v>0</v>
      </c>
      <c r="G732" s="412" t="str">
        <f ca="1">OFFSET('Tabla III.3.'!$H$1,0,I732-1)</f>
        <v>02</v>
      </c>
      <c r="H732" s="111">
        <f>+H731</f>
        <v>7</v>
      </c>
      <c r="I732" s="111">
        <f>+I731+1</f>
        <v>2</v>
      </c>
      <c r="J732" s="111" t="str">
        <f ca="1">+'Tabla III.3.'!$C$9</f>
        <v>Tabla III.3.</v>
      </c>
      <c r="K732" s="111" t="str">
        <f t="shared" ref="K732:K742" si="178">+K731</f>
        <v>A</v>
      </c>
      <c r="L732" s="412"/>
    </row>
    <row r="733" spans="1:12" s="103" customFormat="1">
      <c r="A733" s="412" t="s">
        <v>2944</v>
      </c>
      <c r="B733" s="412" t="str">
        <f t="shared" si="176"/>
        <v>202503</v>
      </c>
      <c r="C733" s="412" t="str">
        <f t="shared" ref="C733:C742" ca="1" si="179">IF(G733="01","v2","v1")</f>
        <v>v1</v>
      </c>
      <c r="D733" s="413" t="str">
        <f t="shared" ref="D733:D742" ca="1" si="180">+D732</f>
        <v>07.03.</v>
      </c>
      <c r="E733" s="412">
        <f t="shared" si="177"/>
        <v>0</v>
      </c>
      <c r="F733" s="414">
        <f ca="1">OFFSET('Tabla III.3.'!$H$12,H733-1,I733-1)</f>
        <v>0</v>
      </c>
      <c r="G733" s="412" t="str">
        <f ca="1">OFFSET('Tabla III.3.'!$H$1,0,I733-1)</f>
        <v>03</v>
      </c>
      <c r="H733" s="111">
        <f t="shared" ref="H733:H742" si="181">+H732</f>
        <v>7</v>
      </c>
      <c r="I733" s="111">
        <f t="shared" ref="I733:I742" si="182">+I732+1</f>
        <v>3</v>
      </c>
      <c r="J733" s="111" t="str">
        <f ca="1">+'Tabla III.3.'!$C$9</f>
        <v>Tabla III.3.</v>
      </c>
      <c r="K733" s="111" t="str">
        <f t="shared" si="178"/>
        <v>A</v>
      </c>
      <c r="L733" s="412"/>
    </row>
    <row r="734" spans="1:12" s="103" customFormat="1">
      <c r="A734" s="412" t="s">
        <v>2944</v>
      </c>
      <c r="B734" s="412" t="str">
        <f t="shared" si="176"/>
        <v>202503</v>
      </c>
      <c r="C734" s="412" t="str">
        <f t="shared" ca="1" si="179"/>
        <v>v1</v>
      </c>
      <c r="D734" s="413" t="str">
        <f t="shared" ca="1" si="180"/>
        <v>07.03.</v>
      </c>
      <c r="E734" s="412">
        <f t="shared" si="177"/>
        <v>0</v>
      </c>
      <c r="F734" s="414">
        <f ca="1">OFFSET('Tabla III.3.'!$H$12,H734-1,I734-1)</f>
        <v>0</v>
      </c>
      <c r="G734" s="412" t="str">
        <f ca="1">OFFSET('Tabla III.3.'!$H$1,0,I734-1)</f>
        <v>04</v>
      </c>
      <c r="H734" s="111">
        <f t="shared" si="181"/>
        <v>7</v>
      </c>
      <c r="I734" s="111">
        <f t="shared" si="182"/>
        <v>4</v>
      </c>
      <c r="J734" s="111" t="str">
        <f ca="1">+'Tabla III.3.'!$C$9</f>
        <v>Tabla III.3.</v>
      </c>
      <c r="K734" s="111" t="str">
        <f t="shared" si="178"/>
        <v>A</v>
      </c>
      <c r="L734" s="412"/>
    </row>
    <row r="735" spans="1:12" s="103" customFormat="1">
      <c r="A735" s="412" t="s">
        <v>2944</v>
      </c>
      <c r="B735" s="412" t="str">
        <f t="shared" si="176"/>
        <v>202503</v>
      </c>
      <c r="C735" s="412" t="str">
        <f t="shared" ca="1" si="179"/>
        <v>v1</v>
      </c>
      <c r="D735" s="413" t="str">
        <f t="shared" ca="1" si="180"/>
        <v>07.03.</v>
      </c>
      <c r="E735" s="412">
        <f t="shared" si="177"/>
        <v>0</v>
      </c>
      <c r="F735" s="414">
        <f ca="1">OFFSET('Tabla III.3.'!$H$12,H735-1,I735-1)</f>
        <v>0</v>
      </c>
      <c r="G735" s="412" t="str">
        <f ca="1">OFFSET('Tabla III.3.'!$H$1,0,I735-1)</f>
        <v>05</v>
      </c>
      <c r="H735" s="111">
        <f t="shared" si="181"/>
        <v>7</v>
      </c>
      <c r="I735" s="111">
        <f t="shared" si="182"/>
        <v>5</v>
      </c>
      <c r="J735" s="111" t="str">
        <f ca="1">+'Tabla III.3.'!$C$9</f>
        <v>Tabla III.3.</v>
      </c>
      <c r="K735" s="111" t="str">
        <f t="shared" si="178"/>
        <v>A</v>
      </c>
      <c r="L735" s="412"/>
    </row>
    <row r="736" spans="1:12" s="103" customFormat="1">
      <c r="A736" s="412" t="s">
        <v>2944</v>
      </c>
      <c r="B736" s="412" t="str">
        <f t="shared" si="176"/>
        <v>202503</v>
      </c>
      <c r="C736" s="412" t="str">
        <f t="shared" ca="1" si="179"/>
        <v>v1</v>
      </c>
      <c r="D736" s="413" t="str">
        <f t="shared" ca="1" si="180"/>
        <v>07.03.</v>
      </c>
      <c r="E736" s="412">
        <f t="shared" si="177"/>
        <v>0</v>
      </c>
      <c r="F736" s="414">
        <f ca="1">OFFSET('Tabla III.3.'!$H$12,H736-1,I736-1)</f>
        <v>0</v>
      </c>
      <c r="G736" s="412" t="str">
        <f ca="1">OFFSET('Tabla III.3.'!$H$1,0,I736-1)</f>
        <v>06</v>
      </c>
      <c r="H736" s="111">
        <f t="shared" si="181"/>
        <v>7</v>
      </c>
      <c r="I736" s="111">
        <f t="shared" si="182"/>
        <v>6</v>
      </c>
      <c r="J736" s="111" t="str">
        <f ca="1">+'Tabla III.3.'!$C$9</f>
        <v>Tabla III.3.</v>
      </c>
      <c r="K736" s="111" t="str">
        <f t="shared" si="178"/>
        <v>A</v>
      </c>
      <c r="L736" s="412"/>
    </row>
    <row r="737" spans="1:12" s="103" customFormat="1">
      <c r="A737" s="412" t="s">
        <v>2944</v>
      </c>
      <c r="B737" s="412" t="str">
        <f t="shared" si="176"/>
        <v>202503</v>
      </c>
      <c r="C737" s="412" t="str">
        <f t="shared" ca="1" si="179"/>
        <v>v1</v>
      </c>
      <c r="D737" s="413" t="str">
        <f t="shared" ca="1" si="180"/>
        <v>07.03.</v>
      </c>
      <c r="E737" s="412">
        <f t="shared" si="177"/>
        <v>0</v>
      </c>
      <c r="F737" s="414">
        <f ca="1">OFFSET('Tabla III.3.'!$H$12,H737-1,I737-1)</f>
        <v>0</v>
      </c>
      <c r="G737" s="412" t="str">
        <f ca="1">OFFSET('Tabla III.3.'!$H$1,0,I737-1)</f>
        <v>07</v>
      </c>
      <c r="H737" s="111">
        <f t="shared" si="181"/>
        <v>7</v>
      </c>
      <c r="I737" s="111">
        <f t="shared" si="182"/>
        <v>7</v>
      </c>
      <c r="J737" s="111" t="str">
        <f ca="1">+'Tabla III.3.'!$C$9</f>
        <v>Tabla III.3.</v>
      </c>
      <c r="K737" s="111" t="str">
        <f t="shared" si="178"/>
        <v>A</v>
      </c>
      <c r="L737" s="412"/>
    </row>
    <row r="738" spans="1:12" s="103" customFormat="1">
      <c r="A738" s="412" t="s">
        <v>2944</v>
      </c>
      <c r="B738" s="412" t="str">
        <f t="shared" si="176"/>
        <v>202503</v>
      </c>
      <c r="C738" s="412" t="str">
        <f t="shared" ca="1" si="179"/>
        <v>v1</v>
      </c>
      <c r="D738" s="413" t="str">
        <f t="shared" ca="1" si="180"/>
        <v>07.03.</v>
      </c>
      <c r="E738" s="412">
        <f t="shared" si="177"/>
        <v>0</v>
      </c>
      <c r="F738" s="414">
        <f ca="1">OFFSET('Tabla III.3.'!$H$12,H738-1,I738-1)</f>
        <v>0</v>
      </c>
      <c r="G738" s="412" t="str">
        <f ca="1">OFFSET('Tabla III.3.'!$H$1,0,I738-1)</f>
        <v>08</v>
      </c>
      <c r="H738" s="111">
        <f t="shared" si="181"/>
        <v>7</v>
      </c>
      <c r="I738" s="111">
        <f t="shared" si="182"/>
        <v>8</v>
      </c>
      <c r="J738" s="111" t="str">
        <f ca="1">+'Tabla III.3.'!$C$9</f>
        <v>Tabla III.3.</v>
      </c>
      <c r="K738" s="111" t="str">
        <f t="shared" si="178"/>
        <v>A</v>
      </c>
      <c r="L738" s="412"/>
    </row>
    <row r="739" spans="1:12" s="103" customFormat="1">
      <c r="A739" s="412" t="s">
        <v>2944</v>
      </c>
      <c r="B739" s="412" t="str">
        <f t="shared" si="176"/>
        <v>202503</v>
      </c>
      <c r="C739" s="412" t="str">
        <f t="shared" ca="1" si="179"/>
        <v>v1</v>
      </c>
      <c r="D739" s="413" t="str">
        <f t="shared" ca="1" si="180"/>
        <v>07.03.</v>
      </c>
      <c r="E739" s="412">
        <f t="shared" si="177"/>
        <v>0</v>
      </c>
      <c r="F739" s="414">
        <f ca="1">OFFSET('Tabla III.3.'!$H$12,H739-1,I739-1)</f>
        <v>0</v>
      </c>
      <c r="G739" s="412" t="str">
        <f ca="1">OFFSET('Tabla III.3.'!$H$1,0,I739-1)</f>
        <v>09</v>
      </c>
      <c r="H739" s="111">
        <f t="shared" si="181"/>
        <v>7</v>
      </c>
      <c r="I739" s="111">
        <f t="shared" si="182"/>
        <v>9</v>
      </c>
      <c r="J739" s="111" t="str">
        <f ca="1">+'Tabla III.3.'!$C$9</f>
        <v>Tabla III.3.</v>
      </c>
      <c r="K739" s="111" t="str">
        <f t="shared" si="178"/>
        <v>A</v>
      </c>
      <c r="L739" s="412"/>
    </row>
    <row r="740" spans="1:12" s="103" customFormat="1">
      <c r="A740" s="412" t="s">
        <v>2944</v>
      </c>
      <c r="B740" s="412" t="str">
        <f t="shared" si="176"/>
        <v>202503</v>
      </c>
      <c r="C740" s="412" t="str">
        <f t="shared" ca="1" si="179"/>
        <v>v1</v>
      </c>
      <c r="D740" s="413" t="str">
        <f t="shared" ca="1" si="180"/>
        <v>07.03.</v>
      </c>
      <c r="E740" s="412">
        <f t="shared" si="177"/>
        <v>0</v>
      </c>
      <c r="F740" s="414">
        <f ca="1">OFFSET('Tabla III.3.'!$H$12,H740-1,I740-1)</f>
        <v>0</v>
      </c>
      <c r="G740" s="412" t="str">
        <f ca="1">OFFSET('Tabla III.3.'!$H$1,0,I740-1)</f>
        <v>10</v>
      </c>
      <c r="H740" s="111">
        <f t="shared" si="181"/>
        <v>7</v>
      </c>
      <c r="I740" s="111">
        <f t="shared" si="182"/>
        <v>10</v>
      </c>
      <c r="J740" s="111" t="str">
        <f ca="1">+'Tabla III.3.'!$C$9</f>
        <v>Tabla III.3.</v>
      </c>
      <c r="K740" s="111" t="str">
        <f t="shared" si="178"/>
        <v>A</v>
      </c>
      <c r="L740" s="412"/>
    </row>
    <row r="741" spans="1:12" s="103" customFormat="1">
      <c r="A741" s="412" t="s">
        <v>2944</v>
      </c>
      <c r="B741" s="412" t="str">
        <f t="shared" si="176"/>
        <v>202503</v>
      </c>
      <c r="C741" s="412" t="str">
        <f t="shared" ca="1" si="179"/>
        <v>v1</v>
      </c>
      <c r="D741" s="413" t="str">
        <f t="shared" ca="1" si="180"/>
        <v>07.03.</v>
      </c>
      <c r="E741" s="412">
        <f t="shared" si="177"/>
        <v>0</v>
      </c>
      <c r="F741" s="414">
        <f ca="1">OFFSET('Tabla III.3.'!$H$12,H741-1,I741-1)</f>
        <v>0</v>
      </c>
      <c r="G741" s="412" t="str">
        <f ca="1">OFFSET('Tabla III.3.'!$H$1,0,I741-1)</f>
        <v>11</v>
      </c>
      <c r="H741" s="111">
        <f t="shared" si="181"/>
        <v>7</v>
      </c>
      <c r="I741" s="111">
        <f t="shared" si="182"/>
        <v>11</v>
      </c>
      <c r="J741" s="111" t="str">
        <f ca="1">+'Tabla III.3.'!$C$9</f>
        <v>Tabla III.3.</v>
      </c>
      <c r="K741" s="111" t="str">
        <f t="shared" si="178"/>
        <v>A</v>
      </c>
      <c r="L741" s="412"/>
    </row>
    <row r="742" spans="1:12" s="103" customFormat="1">
      <c r="A742" s="412" t="s">
        <v>2944</v>
      </c>
      <c r="B742" s="412" t="str">
        <f t="shared" si="176"/>
        <v>202503</v>
      </c>
      <c r="C742" s="412" t="str">
        <f t="shared" ca="1" si="179"/>
        <v>v1</v>
      </c>
      <c r="D742" s="413" t="str">
        <f t="shared" ca="1" si="180"/>
        <v>07.03.</v>
      </c>
      <c r="E742" s="412">
        <f t="shared" si="177"/>
        <v>0</v>
      </c>
      <c r="F742" s="414">
        <f ca="1">OFFSET('Tabla III.3.'!$H$12,H742-1,I742-1)</f>
        <v>0</v>
      </c>
      <c r="G742" s="412" t="str">
        <f ca="1">OFFSET('Tabla III.3.'!$H$1,0,I742-1)</f>
        <v>12</v>
      </c>
      <c r="H742" s="111">
        <f t="shared" si="181"/>
        <v>7</v>
      </c>
      <c r="I742" s="111">
        <f t="shared" si="182"/>
        <v>12</v>
      </c>
      <c r="J742" s="111" t="str">
        <f ca="1">+'Tabla III.3.'!$C$9</f>
        <v>Tabla III.3.</v>
      </c>
      <c r="K742" s="111" t="str">
        <f t="shared" si="178"/>
        <v>A</v>
      </c>
      <c r="L742" s="412"/>
    </row>
    <row r="743" spans="1:12" s="103" customFormat="1">
      <c r="A743" s="107" t="s">
        <v>2944</v>
      </c>
      <c r="B743" s="107" t="str">
        <f t="shared" si="176"/>
        <v>202503</v>
      </c>
      <c r="C743" s="107" t="s">
        <v>2945</v>
      </c>
      <c r="D743" s="399" t="str">
        <f ca="1">OFFSET('Tabla III.3.'!$F$12,H743-1,0)</f>
        <v>07.03.00.01</v>
      </c>
      <c r="E743" s="107">
        <f t="shared" si="177"/>
        <v>0</v>
      </c>
      <c r="F743" s="108">
        <f ca="1">OFFSET('Tabla III.3.'!$H$12,H743-1,I743-1)</f>
        <v>0</v>
      </c>
      <c r="G743" s="107" t="str">
        <f ca="1">OFFSET('Tabla III.3.'!$H$1,0,I743-1)</f>
        <v>01</v>
      </c>
      <c r="H743" s="110">
        <f>+H731+1</f>
        <v>8</v>
      </c>
      <c r="I743" s="110">
        <v>1</v>
      </c>
      <c r="J743" s="110" t="str">
        <f ca="1">+'Tabla III.3.'!$C$9</f>
        <v>Tabla III.3.</v>
      </c>
      <c r="K743" s="110" t="s">
        <v>2266</v>
      </c>
      <c r="L743" s="107">
        <f>+L731+1</f>
        <v>8</v>
      </c>
    </row>
    <row r="744" spans="1:12" s="103" customFormat="1">
      <c r="A744" s="107" t="s">
        <v>2944</v>
      </c>
      <c r="B744" s="107" t="str">
        <f t="shared" si="176"/>
        <v>202503</v>
      </c>
      <c r="C744" s="107" t="str">
        <f ca="1">IF(G744="01","v2","v1")</f>
        <v>v1</v>
      </c>
      <c r="D744" s="399" t="str">
        <f ca="1">+D743</f>
        <v>07.03.00.01</v>
      </c>
      <c r="E744" s="107">
        <f t="shared" si="177"/>
        <v>0</v>
      </c>
      <c r="F744" s="108">
        <f ca="1">OFFSET('Tabla III.3.'!$H$12,H744-1,I744-1)</f>
        <v>0</v>
      </c>
      <c r="G744" s="107" t="str">
        <f ca="1">OFFSET('Tabla III.3.'!$H$1,0,I744-1)</f>
        <v>02</v>
      </c>
      <c r="H744" s="110">
        <f>+H743</f>
        <v>8</v>
      </c>
      <c r="I744" s="110">
        <f>+I743+1</f>
        <v>2</v>
      </c>
      <c r="J744" s="110" t="str">
        <f ca="1">+'Tabla III.3.'!$C$9</f>
        <v>Tabla III.3.</v>
      </c>
      <c r="K744" s="110" t="str">
        <f t="shared" ref="K744:K754" si="183">+K743</f>
        <v>A</v>
      </c>
      <c r="L744" s="107"/>
    </row>
    <row r="745" spans="1:12" s="103" customFormat="1">
      <c r="A745" s="107" t="s">
        <v>2944</v>
      </c>
      <c r="B745" s="107" t="str">
        <f t="shared" si="176"/>
        <v>202503</v>
      </c>
      <c r="C745" s="107" t="str">
        <f t="shared" ref="C745:C754" ca="1" si="184">IF(G745="01","v2","v1")</f>
        <v>v1</v>
      </c>
      <c r="D745" s="399" t="str">
        <f t="shared" ref="D745:D754" ca="1" si="185">+D744</f>
        <v>07.03.00.01</v>
      </c>
      <c r="E745" s="107">
        <f t="shared" si="177"/>
        <v>0</v>
      </c>
      <c r="F745" s="108">
        <f ca="1">OFFSET('Tabla III.3.'!$H$12,H745-1,I745-1)</f>
        <v>0</v>
      </c>
      <c r="G745" s="107" t="str">
        <f ca="1">OFFSET('Tabla III.3.'!$H$1,0,I745-1)</f>
        <v>03</v>
      </c>
      <c r="H745" s="110">
        <f t="shared" ref="H745:H754" si="186">+H744</f>
        <v>8</v>
      </c>
      <c r="I745" s="110">
        <f t="shared" ref="I745:I754" si="187">+I744+1</f>
        <v>3</v>
      </c>
      <c r="J745" s="110" t="str">
        <f ca="1">+'Tabla III.3.'!$C$9</f>
        <v>Tabla III.3.</v>
      </c>
      <c r="K745" s="110" t="str">
        <f t="shared" si="183"/>
        <v>A</v>
      </c>
      <c r="L745" s="107"/>
    </row>
    <row r="746" spans="1:12" s="103" customFormat="1">
      <c r="A746" s="107" t="s">
        <v>2944</v>
      </c>
      <c r="B746" s="107" t="str">
        <f t="shared" si="176"/>
        <v>202503</v>
      </c>
      <c r="C746" s="107" t="str">
        <f t="shared" ca="1" si="184"/>
        <v>v1</v>
      </c>
      <c r="D746" s="399" t="str">
        <f t="shared" ca="1" si="185"/>
        <v>07.03.00.01</v>
      </c>
      <c r="E746" s="107">
        <f t="shared" si="177"/>
        <v>0</v>
      </c>
      <c r="F746" s="108">
        <f ca="1">OFFSET('Tabla III.3.'!$H$12,H746-1,I746-1)</f>
        <v>0</v>
      </c>
      <c r="G746" s="107" t="str">
        <f ca="1">OFFSET('Tabla III.3.'!$H$1,0,I746-1)</f>
        <v>04</v>
      </c>
      <c r="H746" s="110">
        <f t="shared" si="186"/>
        <v>8</v>
      </c>
      <c r="I746" s="110">
        <f t="shared" si="187"/>
        <v>4</v>
      </c>
      <c r="J746" s="110" t="str">
        <f ca="1">+'Tabla III.3.'!$C$9</f>
        <v>Tabla III.3.</v>
      </c>
      <c r="K746" s="110" t="str">
        <f t="shared" si="183"/>
        <v>A</v>
      </c>
      <c r="L746" s="107"/>
    </row>
    <row r="747" spans="1:12" s="103" customFormat="1">
      <c r="A747" s="107" t="s">
        <v>2944</v>
      </c>
      <c r="B747" s="107" t="str">
        <f t="shared" si="176"/>
        <v>202503</v>
      </c>
      <c r="C747" s="107" t="str">
        <f t="shared" ca="1" si="184"/>
        <v>v1</v>
      </c>
      <c r="D747" s="399" t="str">
        <f t="shared" ca="1" si="185"/>
        <v>07.03.00.01</v>
      </c>
      <c r="E747" s="107">
        <f t="shared" si="177"/>
        <v>0</v>
      </c>
      <c r="F747" s="108">
        <f ca="1">OFFSET('Tabla III.3.'!$H$12,H747-1,I747-1)</f>
        <v>0</v>
      </c>
      <c r="G747" s="107" t="str">
        <f ca="1">OFFSET('Tabla III.3.'!$H$1,0,I747-1)</f>
        <v>05</v>
      </c>
      <c r="H747" s="110">
        <f t="shared" si="186"/>
        <v>8</v>
      </c>
      <c r="I747" s="110">
        <f t="shared" si="187"/>
        <v>5</v>
      </c>
      <c r="J747" s="110" t="str">
        <f ca="1">+'Tabla III.3.'!$C$9</f>
        <v>Tabla III.3.</v>
      </c>
      <c r="K747" s="110" t="str">
        <f t="shared" si="183"/>
        <v>A</v>
      </c>
      <c r="L747" s="107"/>
    </row>
    <row r="748" spans="1:12" s="103" customFormat="1">
      <c r="A748" s="107" t="s">
        <v>2944</v>
      </c>
      <c r="B748" s="107" t="str">
        <f t="shared" si="176"/>
        <v>202503</v>
      </c>
      <c r="C748" s="107" t="str">
        <f t="shared" ca="1" si="184"/>
        <v>v1</v>
      </c>
      <c r="D748" s="399" t="str">
        <f t="shared" ca="1" si="185"/>
        <v>07.03.00.01</v>
      </c>
      <c r="E748" s="107">
        <f t="shared" si="177"/>
        <v>0</v>
      </c>
      <c r="F748" s="108">
        <f ca="1">OFFSET('Tabla III.3.'!$H$12,H748-1,I748-1)</f>
        <v>0</v>
      </c>
      <c r="G748" s="107" t="str">
        <f ca="1">OFFSET('Tabla III.3.'!$H$1,0,I748-1)</f>
        <v>06</v>
      </c>
      <c r="H748" s="110">
        <f t="shared" si="186"/>
        <v>8</v>
      </c>
      <c r="I748" s="110">
        <f t="shared" si="187"/>
        <v>6</v>
      </c>
      <c r="J748" s="110" t="str">
        <f ca="1">+'Tabla III.3.'!$C$9</f>
        <v>Tabla III.3.</v>
      </c>
      <c r="K748" s="110" t="str">
        <f t="shared" si="183"/>
        <v>A</v>
      </c>
      <c r="L748" s="107"/>
    </row>
    <row r="749" spans="1:12" s="103" customFormat="1">
      <c r="A749" s="107" t="s">
        <v>2944</v>
      </c>
      <c r="B749" s="107" t="str">
        <f t="shared" si="176"/>
        <v>202503</v>
      </c>
      <c r="C749" s="107" t="str">
        <f t="shared" ca="1" si="184"/>
        <v>v1</v>
      </c>
      <c r="D749" s="399" t="str">
        <f t="shared" ca="1" si="185"/>
        <v>07.03.00.01</v>
      </c>
      <c r="E749" s="107">
        <f t="shared" si="177"/>
        <v>0</v>
      </c>
      <c r="F749" s="108">
        <f ca="1">OFFSET('Tabla III.3.'!$H$12,H749-1,I749-1)</f>
        <v>0</v>
      </c>
      <c r="G749" s="107" t="str">
        <f ca="1">OFFSET('Tabla III.3.'!$H$1,0,I749-1)</f>
        <v>07</v>
      </c>
      <c r="H749" s="110">
        <f t="shared" si="186"/>
        <v>8</v>
      </c>
      <c r="I749" s="110">
        <f t="shared" si="187"/>
        <v>7</v>
      </c>
      <c r="J749" s="110" t="str">
        <f ca="1">+'Tabla III.3.'!$C$9</f>
        <v>Tabla III.3.</v>
      </c>
      <c r="K749" s="110" t="str">
        <f t="shared" si="183"/>
        <v>A</v>
      </c>
      <c r="L749" s="107"/>
    </row>
    <row r="750" spans="1:12" s="103" customFormat="1">
      <c r="A750" s="107" t="s">
        <v>2944</v>
      </c>
      <c r="B750" s="107" t="str">
        <f t="shared" si="176"/>
        <v>202503</v>
      </c>
      <c r="C750" s="107" t="str">
        <f t="shared" ca="1" si="184"/>
        <v>v1</v>
      </c>
      <c r="D750" s="399" t="str">
        <f t="shared" ca="1" si="185"/>
        <v>07.03.00.01</v>
      </c>
      <c r="E750" s="107">
        <f t="shared" si="177"/>
        <v>0</v>
      </c>
      <c r="F750" s="108">
        <f ca="1">OFFSET('Tabla III.3.'!$H$12,H750-1,I750-1)</f>
        <v>0</v>
      </c>
      <c r="G750" s="107" t="str">
        <f ca="1">OFFSET('Tabla III.3.'!$H$1,0,I750-1)</f>
        <v>08</v>
      </c>
      <c r="H750" s="110">
        <f t="shared" si="186"/>
        <v>8</v>
      </c>
      <c r="I750" s="110">
        <f t="shared" si="187"/>
        <v>8</v>
      </c>
      <c r="J750" s="110" t="str">
        <f ca="1">+'Tabla III.3.'!$C$9</f>
        <v>Tabla III.3.</v>
      </c>
      <c r="K750" s="110" t="str">
        <f t="shared" si="183"/>
        <v>A</v>
      </c>
      <c r="L750" s="107"/>
    </row>
    <row r="751" spans="1:12" s="103" customFormat="1">
      <c r="A751" s="107" t="s">
        <v>2944</v>
      </c>
      <c r="B751" s="107" t="str">
        <f t="shared" si="176"/>
        <v>202503</v>
      </c>
      <c r="C751" s="107" t="str">
        <f t="shared" ca="1" si="184"/>
        <v>v1</v>
      </c>
      <c r="D751" s="399" t="str">
        <f t="shared" ca="1" si="185"/>
        <v>07.03.00.01</v>
      </c>
      <c r="E751" s="107">
        <f t="shared" si="177"/>
        <v>0</v>
      </c>
      <c r="F751" s="108">
        <f ca="1">OFFSET('Tabla III.3.'!$H$12,H751-1,I751-1)</f>
        <v>0</v>
      </c>
      <c r="G751" s="107" t="str">
        <f ca="1">OFFSET('Tabla III.3.'!$H$1,0,I751-1)</f>
        <v>09</v>
      </c>
      <c r="H751" s="110">
        <f t="shared" si="186"/>
        <v>8</v>
      </c>
      <c r="I751" s="110">
        <f t="shared" si="187"/>
        <v>9</v>
      </c>
      <c r="J751" s="110" t="str">
        <f ca="1">+'Tabla III.3.'!$C$9</f>
        <v>Tabla III.3.</v>
      </c>
      <c r="K751" s="110" t="str">
        <f t="shared" si="183"/>
        <v>A</v>
      </c>
      <c r="L751" s="107"/>
    </row>
    <row r="752" spans="1:12" s="103" customFormat="1">
      <c r="A752" s="107" t="s">
        <v>2944</v>
      </c>
      <c r="B752" s="107" t="str">
        <f t="shared" si="176"/>
        <v>202503</v>
      </c>
      <c r="C752" s="107" t="str">
        <f t="shared" ca="1" si="184"/>
        <v>v1</v>
      </c>
      <c r="D752" s="399" t="str">
        <f t="shared" ca="1" si="185"/>
        <v>07.03.00.01</v>
      </c>
      <c r="E752" s="107">
        <f t="shared" si="177"/>
        <v>0</v>
      </c>
      <c r="F752" s="108">
        <f ca="1">OFFSET('Tabla III.3.'!$H$12,H752-1,I752-1)</f>
        <v>0</v>
      </c>
      <c r="G752" s="107" t="str">
        <f ca="1">OFFSET('Tabla III.3.'!$H$1,0,I752-1)</f>
        <v>10</v>
      </c>
      <c r="H752" s="110">
        <f t="shared" si="186"/>
        <v>8</v>
      </c>
      <c r="I752" s="110">
        <f t="shared" si="187"/>
        <v>10</v>
      </c>
      <c r="J752" s="110" t="str">
        <f ca="1">+'Tabla III.3.'!$C$9</f>
        <v>Tabla III.3.</v>
      </c>
      <c r="K752" s="110" t="str">
        <f t="shared" si="183"/>
        <v>A</v>
      </c>
      <c r="L752" s="107"/>
    </row>
    <row r="753" spans="1:12" s="103" customFormat="1">
      <c r="A753" s="107" t="s">
        <v>2944</v>
      </c>
      <c r="B753" s="107" t="str">
        <f t="shared" si="176"/>
        <v>202503</v>
      </c>
      <c r="C753" s="107" t="str">
        <f t="shared" ca="1" si="184"/>
        <v>v1</v>
      </c>
      <c r="D753" s="399" t="str">
        <f t="shared" ca="1" si="185"/>
        <v>07.03.00.01</v>
      </c>
      <c r="E753" s="107">
        <f t="shared" si="177"/>
        <v>0</v>
      </c>
      <c r="F753" s="108">
        <f ca="1">OFFSET('Tabla III.3.'!$H$12,H753-1,I753-1)</f>
        <v>0</v>
      </c>
      <c r="G753" s="107" t="str">
        <f ca="1">OFFSET('Tabla III.3.'!$H$1,0,I753-1)</f>
        <v>11</v>
      </c>
      <c r="H753" s="110">
        <f t="shared" si="186"/>
        <v>8</v>
      </c>
      <c r="I753" s="110">
        <f t="shared" si="187"/>
        <v>11</v>
      </c>
      <c r="J753" s="110" t="str">
        <f ca="1">+'Tabla III.3.'!$C$9</f>
        <v>Tabla III.3.</v>
      </c>
      <c r="K753" s="110" t="str">
        <f t="shared" si="183"/>
        <v>A</v>
      </c>
      <c r="L753" s="107"/>
    </row>
    <row r="754" spans="1:12" s="103" customFormat="1">
      <c r="A754" s="107" t="s">
        <v>2944</v>
      </c>
      <c r="B754" s="107" t="str">
        <f t="shared" si="176"/>
        <v>202503</v>
      </c>
      <c r="C754" s="107" t="str">
        <f t="shared" ca="1" si="184"/>
        <v>v1</v>
      </c>
      <c r="D754" s="399" t="str">
        <f t="shared" ca="1" si="185"/>
        <v>07.03.00.01</v>
      </c>
      <c r="E754" s="107">
        <f t="shared" si="177"/>
        <v>0</v>
      </c>
      <c r="F754" s="108">
        <f ca="1">OFFSET('Tabla III.3.'!$H$12,H754-1,I754-1)</f>
        <v>0</v>
      </c>
      <c r="G754" s="107" t="str">
        <f ca="1">OFFSET('Tabla III.3.'!$H$1,0,I754-1)</f>
        <v>12</v>
      </c>
      <c r="H754" s="110">
        <f t="shared" si="186"/>
        <v>8</v>
      </c>
      <c r="I754" s="110">
        <f t="shared" si="187"/>
        <v>12</v>
      </c>
      <c r="J754" s="110" t="str">
        <f ca="1">+'Tabla III.3.'!$C$9</f>
        <v>Tabla III.3.</v>
      </c>
      <c r="K754" s="110" t="str">
        <f t="shared" si="183"/>
        <v>A</v>
      </c>
      <c r="L754" s="107"/>
    </row>
    <row r="755" spans="1:12" s="103" customFormat="1">
      <c r="A755" s="412" t="s">
        <v>2944</v>
      </c>
      <c r="B755" s="412" t="str">
        <f t="shared" si="176"/>
        <v>202503</v>
      </c>
      <c r="C755" s="412" t="s">
        <v>2945</v>
      </c>
      <c r="D755" s="413" t="str">
        <f ca="1">OFFSET('Tabla III.3.'!$F$12,H755-1,0)</f>
        <v>07.03.00.02.</v>
      </c>
      <c r="E755" s="412">
        <f t="shared" si="177"/>
        <v>0</v>
      </c>
      <c r="F755" s="414">
        <f ca="1">OFFSET('Tabla III.3.'!$H$12,H755-1,I755-1)</f>
        <v>0</v>
      </c>
      <c r="G755" s="412" t="str">
        <f ca="1">OFFSET('Tabla III.3.'!$H$1,0,I755-1)</f>
        <v>01</v>
      </c>
      <c r="H755" s="111">
        <f>+H743+1</f>
        <v>9</v>
      </c>
      <c r="I755" s="111">
        <v>1</v>
      </c>
      <c r="J755" s="111" t="str">
        <f ca="1">+'Tabla III.3.'!$C$9</f>
        <v>Tabla III.3.</v>
      </c>
      <c r="K755" s="111" t="s">
        <v>2266</v>
      </c>
      <c r="L755" s="412">
        <f>+L743+1</f>
        <v>9</v>
      </c>
    </row>
    <row r="756" spans="1:12" s="103" customFormat="1">
      <c r="A756" s="412" t="s">
        <v>2944</v>
      </c>
      <c r="B756" s="412" t="str">
        <f t="shared" si="176"/>
        <v>202503</v>
      </c>
      <c r="C756" s="412" t="str">
        <f ca="1">IF(G756="01","v2","v1")</f>
        <v>v1</v>
      </c>
      <c r="D756" s="413" t="str">
        <f ca="1">+D755</f>
        <v>07.03.00.02.</v>
      </c>
      <c r="E756" s="412">
        <f t="shared" si="177"/>
        <v>0</v>
      </c>
      <c r="F756" s="414">
        <f ca="1">OFFSET('Tabla III.3.'!$H$12,H756-1,I756-1)</f>
        <v>0</v>
      </c>
      <c r="G756" s="412" t="str">
        <f ca="1">OFFSET('Tabla III.3.'!$H$1,0,I756-1)</f>
        <v>02</v>
      </c>
      <c r="H756" s="111">
        <f>+H755</f>
        <v>9</v>
      </c>
      <c r="I756" s="111">
        <f>+I755+1</f>
        <v>2</v>
      </c>
      <c r="J756" s="111" t="str">
        <f ca="1">+'Tabla III.3.'!$C$9</f>
        <v>Tabla III.3.</v>
      </c>
      <c r="K756" s="111" t="str">
        <f t="shared" ref="K756:K766" si="188">+K755</f>
        <v>A</v>
      </c>
      <c r="L756" s="412"/>
    </row>
    <row r="757" spans="1:12" s="103" customFormat="1">
      <c r="A757" s="412" t="s">
        <v>2944</v>
      </c>
      <c r="B757" s="412" t="str">
        <f t="shared" si="176"/>
        <v>202503</v>
      </c>
      <c r="C757" s="412" t="str">
        <f t="shared" ref="C757:C766" ca="1" si="189">IF(G757="01","v2","v1")</f>
        <v>v1</v>
      </c>
      <c r="D757" s="413" t="str">
        <f t="shared" ref="D757:D766" ca="1" si="190">+D756</f>
        <v>07.03.00.02.</v>
      </c>
      <c r="E757" s="412">
        <f t="shared" si="177"/>
        <v>0</v>
      </c>
      <c r="F757" s="414">
        <f ca="1">OFFSET('Tabla III.3.'!$H$12,H757-1,I757-1)</f>
        <v>0</v>
      </c>
      <c r="G757" s="412" t="str">
        <f ca="1">OFFSET('Tabla III.3.'!$H$1,0,I757-1)</f>
        <v>03</v>
      </c>
      <c r="H757" s="111">
        <f t="shared" ref="H757:H766" si="191">+H756</f>
        <v>9</v>
      </c>
      <c r="I757" s="111">
        <f t="shared" ref="I757:I766" si="192">+I756+1</f>
        <v>3</v>
      </c>
      <c r="J757" s="111" t="str">
        <f ca="1">+'Tabla III.3.'!$C$9</f>
        <v>Tabla III.3.</v>
      </c>
      <c r="K757" s="111" t="str">
        <f t="shared" si="188"/>
        <v>A</v>
      </c>
      <c r="L757" s="412"/>
    </row>
    <row r="758" spans="1:12" s="103" customFormat="1">
      <c r="A758" s="412" t="s">
        <v>2944</v>
      </c>
      <c r="B758" s="412" t="str">
        <f t="shared" si="176"/>
        <v>202503</v>
      </c>
      <c r="C758" s="412" t="str">
        <f t="shared" ca="1" si="189"/>
        <v>v1</v>
      </c>
      <c r="D758" s="413" t="str">
        <f t="shared" ca="1" si="190"/>
        <v>07.03.00.02.</v>
      </c>
      <c r="E758" s="412">
        <f t="shared" si="177"/>
        <v>0</v>
      </c>
      <c r="F758" s="414">
        <f ca="1">OFFSET('Tabla III.3.'!$H$12,H758-1,I758-1)</f>
        <v>0</v>
      </c>
      <c r="G758" s="412" t="str">
        <f ca="1">OFFSET('Tabla III.3.'!$H$1,0,I758-1)</f>
        <v>04</v>
      </c>
      <c r="H758" s="111">
        <f t="shared" si="191"/>
        <v>9</v>
      </c>
      <c r="I758" s="111">
        <f t="shared" si="192"/>
        <v>4</v>
      </c>
      <c r="J758" s="111" t="str">
        <f ca="1">+'Tabla III.3.'!$C$9</f>
        <v>Tabla III.3.</v>
      </c>
      <c r="K758" s="111" t="str">
        <f t="shared" si="188"/>
        <v>A</v>
      </c>
      <c r="L758" s="412"/>
    </row>
    <row r="759" spans="1:12" s="103" customFormat="1">
      <c r="A759" s="412" t="s">
        <v>2944</v>
      </c>
      <c r="B759" s="412" t="str">
        <f t="shared" si="176"/>
        <v>202503</v>
      </c>
      <c r="C759" s="412" t="str">
        <f t="shared" ca="1" si="189"/>
        <v>v1</v>
      </c>
      <c r="D759" s="413" t="str">
        <f t="shared" ca="1" si="190"/>
        <v>07.03.00.02.</v>
      </c>
      <c r="E759" s="412">
        <f t="shared" si="177"/>
        <v>0</v>
      </c>
      <c r="F759" s="414">
        <f ca="1">OFFSET('Tabla III.3.'!$H$12,H759-1,I759-1)</f>
        <v>0</v>
      </c>
      <c r="G759" s="412" t="str">
        <f ca="1">OFFSET('Tabla III.3.'!$H$1,0,I759-1)</f>
        <v>05</v>
      </c>
      <c r="H759" s="111">
        <f t="shared" si="191"/>
        <v>9</v>
      </c>
      <c r="I759" s="111">
        <f t="shared" si="192"/>
        <v>5</v>
      </c>
      <c r="J759" s="111" t="str">
        <f ca="1">+'Tabla III.3.'!$C$9</f>
        <v>Tabla III.3.</v>
      </c>
      <c r="K759" s="111" t="str">
        <f t="shared" si="188"/>
        <v>A</v>
      </c>
      <c r="L759" s="412"/>
    </row>
    <row r="760" spans="1:12" s="103" customFormat="1">
      <c r="A760" s="412" t="s">
        <v>2944</v>
      </c>
      <c r="B760" s="412" t="str">
        <f t="shared" si="176"/>
        <v>202503</v>
      </c>
      <c r="C760" s="412" t="str">
        <f t="shared" ca="1" si="189"/>
        <v>v1</v>
      </c>
      <c r="D760" s="413" t="str">
        <f t="shared" ca="1" si="190"/>
        <v>07.03.00.02.</v>
      </c>
      <c r="E760" s="412">
        <f t="shared" si="177"/>
        <v>0</v>
      </c>
      <c r="F760" s="414">
        <f ca="1">OFFSET('Tabla III.3.'!$H$12,H760-1,I760-1)</f>
        <v>0</v>
      </c>
      <c r="G760" s="412" t="str">
        <f ca="1">OFFSET('Tabla III.3.'!$H$1,0,I760-1)</f>
        <v>06</v>
      </c>
      <c r="H760" s="111">
        <f t="shared" si="191"/>
        <v>9</v>
      </c>
      <c r="I760" s="111">
        <f t="shared" si="192"/>
        <v>6</v>
      </c>
      <c r="J760" s="111" t="str">
        <f ca="1">+'Tabla III.3.'!$C$9</f>
        <v>Tabla III.3.</v>
      </c>
      <c r="K760" s="111" t="str">
        <f t="shared" si="188"/>
        <v>A</v>
      </c>
      <c r="L760" s="412"/>
    </row>
    <row r="761" spans="1:12" s="103" customFormat="1">
      <c r="A761" s="412" t="s">
        <v>2944</v>
      </c>
      <c r="B761" s="412" t="str">
        <f t="shared" si="176"/>
        <v>202503</v>
      </c>
      <c r="C761" s="412" t="str">
        <f t="shared" ca="1" si="189"/>
        <v>v1</v>
      </c>
      <c r="D761" s="413" t="str">
        <f t="shared" ca="1" si="190"/>
        <v>07.03.00.02.</v>
      </c>
      <c r="E761" s="412">
        <f t="shared" si="177"/>
        <v>0</v>
      </c>
      <c r="F761" s="414">
        <f ca="1">OFFSET('Tabla III.3.'!$H$12,H761-1,I761-1)</f>
        <v>0</v>
      </c>
      <c r="G761" s="412" t="str">
        <f ca="1">OFFSET('Tabla III.3.'!$H$1,0,I761-1)</f>
        <v>07</v>
      </c>
      <c r="H761" s="111">
        <f t="shared" si="191"/>
        <v>9</v>
      </c>
      <c r="I761" s="111">
        <f t="shared" si="192"/>
        <v>7</v>
      </c>
      <c r="J761" s="111" t="str">
        <f ca="1">+'Tabla III.3.'!$C$9</f>
        <v>Tabla III.3.</v>
      </c>
      <c r="K761" s="111" t="str">
        <f t="shared" si="188"/>
        <v>A</v>
      </c>
      <c r="L761" s="412"/>
    </row>
    <row r="762" spans="1:12" s="103" customFormat="1">
      <c r="A762" s="412" t="s">
        <v>2944</v>
      </c>
      <c r="B762" s="412" t="str">
        <f t="shared" si="176"/>
        <v>202503</v>
      </c>
      <c r="C762" s="412" t="str">
        <f t="shared" ca="1" si="189"/>
        <v>v1</v>
      </c>
      <c r="D762" s="413" t="str">
        <f t="shared" ca="1" si="190"/>
        <v>07.03.00.02.</v>
      </c>
      <c r="E762" s="412">
        <f t="shared" si="177"/>
        <v>0</v>
      </c>
      <c r="F762" s="414">
        <f ca="1">OFFSET('Tabla III.3.'!$H$12,H762-1,I762-1)</f>
        <v>0</v>
      </c>
      <c r="G762" s="412" t="str">
        <f ca="1">OFFSET('Tabla III.3.'!$H$1,0,I762-1)</f>
        <v>08</v>
      </c>
      <c r="H762" s="111">
        <f t="shared" si="191"/>
        <v>9</v>
      </c>
      <c r="I762" s="111">
        <f t="shared" si="192"/>
        <v>8</v>
      </c>
      <c r="J762" s="111" t="str">
        <f ca="1">+'Tabla III.3.'!$C$9</f>
        <v>Tabla III.3.</v>
      </c>
      <c r="K762" s="111" t="str">
        <f t="shared" si="188"/>
        <v>A</v>
      </c>
      <c r="L762" s="412"/>
    </row>
    <row r="763" spans="1:12" s="103" customFormat="1">
      <c r="A763" s="412" t="s">
        <v>2944</v>
      </c>
      <c r="B763" s="412" t="str">
        <f t="shared" si="176"/>
        <v>202503</v>
      </c>
      <c r="C763" s="412" t="str">
        <f t="shared" ca="1" si="189"/>
        <v>v1</v>
      </c>
      <c r="D763" s="413" t="str">
        <f t="shared" ca="1" si="190"/>
        <v>07.03.00.02.</v>
      </c>
      <c r="E763" s="412">
        <f t="shared" si="177"/>
        <v>0</v>
      </c>
      <c r="F763" s="414">
        <f ca="1">OFFSET('Tabla III.3.'!$H$12,H763-1,I763-1)</f>
        <v>0</v>
      </c>
      <c r="G763" s="412" t="str">
        <f ca="1">OFFSET('Tabla III.3.'!$H$1,0,I763-1)</f>
        <v>09</v>
      </c>
      <c r="H763" s="111">
        <f t="shared" si="191"/>
        <v>9</v>
      </c>
      <c r="I763" s="111">
        <f t="shared" si="192"/>
        <v>9</v>
      </c>
      <c r="J763" s="111" t="str">
        <f ca="1">+'Tabla III.3.'!$C$9</f>
        <v>Tabla III.3.</v>
      </c>
      <c r="K763" s="111" t="str">
        <f t="shared" si="188"/>
        <v>A</v>
      </c>
      <c r="L763" s="412"/>
    </row>
    <row r="764" spans="1:12" s="103" customFormat="1">
      <c r="A764" s="412" t="s">
        <v>2944</v>
      </c>
      <c r="B764" s="412" t="str">
        <f t="shared" si="176"/>
        <v>202503</v>
      </c>
      <c r="C764" s="412" t="str">
        <f t="shared" ca="1" si="189"/>
        <v>v1</v>
      </c>
      <c r="D764" s="413" t="str">
        <f t="shared" ca="1" si="190"/>
        <v>07.03.00.02.</v>
      </c>
      <c r="E764" s="412">
        <f t="shared" si="177"/>
        <v>0</v>
      </c>
      <c r="F764" s="414">
        <f ca="1">OFFSET('Tabla III.3.'!$H$12,H764-1,I764-1)</f>
        <v>0</v>
      </c>
      <c r="G764" s="412" t="str">
        <f ca="1">OFFSET('Tabla III.3.'!$H$1,0,I764-1)</f>
        <v>10</v>
      </c>
      <c r="H764" s="111">
        <f t="shared" si="191"/>
        <v>9</v>
      </c>
      <c r="I764" s="111">
        <f t="shared" si="192"/>
        <v>10</v>
      </c>
      <c r="J764" s="111" t="str">
        <f ca="1">+'Tabla III.3.'!$C$9</f>
        <v>Tabla III.3.</v>
      </c>
      <c r="K764" s="111" t="str">
        <f t="shared" si="188"/>
        <v>A</v>
      </c>
      <c r="L764" s="412"/>
    </row>
    <row r="765" spans="1:12" s="103" customFormat="1">
      <c r="A765" s="412" t="s">
        <v>2944</v>
      </c>
      <c r="B765" s="412" t="str">
        <f t="shared" si="176"/>
        <v>202503</v>
      </c>
      <c r="C765" s="412" t="str">
        <f t="shared" ca="1" si="189"/>
        <v>v1</v>
      </c>
      <c r="D765" s="413" t="str">
        <f t="shared" ca="1" si="190"/>
        <v>07.03.00.02.</v>
      </c>
      <c r="E765" s="412">
        <f t="shared" si="177"/>
        <v>0</v>
      </c>
      <c r="F765" s="414">
        <f ca="1">OFFSET('Tabla III.3.'!$H$12,H765-1,I765-1)</f>
        <v>0</v>
      </c>
      <c r="G765" s="412" t="str">
        <f ca="1">OFFSET('Tabla III.3.'!$H$1,0,I765-1)</f>
        <v>11</v>
      </c>
      <c r="H765" s="111">
        <f t="shared" si="191"/>
        <v>9</v>
      </c>
      <c r="I765" s="111">
        <f t="shared" si="192"/>
        <v>11</v>
      </c>
      <c r="J765" s="111" t="str">
        <f ca="1">+'Tabla III.3.'!$C$9</f>
        <v>Tabla III.3.</v>
      </c>
      <c r="K765" s="111" t="str">
        <f t="shared" si="188"/>
        <v>A</v>
      </c>
      <c r="L765" s="412"/>
    </row>
    <row r="766" spans="1:12" s="103" customFormat="1">
      <c r="A766" s="412" t="s">
        <v>2944</v>
      </c>
      <c r="B766" s="412" t="str">
        <f t="shared" si="176"/>
        <v>202503</v>
      </c>
      <c r="C766" s="412" t="str">
        <f t="shared" ca="1" si="189"/>
        <v>v1</v>
      </c>
      <c r="D766" s="413" t="str">
        <f t="shared" ca="1" si="190"/>
        <v>07.03.00.02.</v>
      </c>
      <c r="E766" s="412">
        <f t="shared" si="177"/>
        <v>0</v>
      </c>
      <c r="F766" s="414">
        <f ca="1">OFFSET('Tabla III.3.'!$H$12,H766-1,I766-1)</f>
        <v>0</v>
      </c>
      <c r="G766" s="412" t="str">
        <f ca="1">OFFSET('Tabla III.3.'!$H$1,0,I766-1)</f>
        <v>12</v>
      </c>
      <c r="H766" s="111">
        <f t="shared" si="191"/>
        <v>9</v>
      </c>
      <c r="I766" s="111">
        <f t="shared" si="192"/>
        <v>12</v>
      </c>
      <c r="J766" s="111" t="str">
        <f ca="1">+'Tabla III.3.'!$C$9</f>
        <v>Tabla III.3.</v>
      </c>
      <c r="K766" s="111" t="str">
        <f t="shared" si="188"/>
        <v>A</v>
      </c>
      <c r="L766" s="412"/>
    </row>
    <row r="767" spans="1:12" s="103" customFormat="1">
      <c r="A767" s="107" t="s">
        <v>2944</v>
      </c>
      <c r="B767" s="107" t="str">
        <f t="shared" si="176"/>
        <v>202503</v>
      </c>
      <c r="C767" s="107" t="s">
        <v>2945</v>
      </c>
      <c r="D767" s="399" t="str">
        <f ca="1">OFFSET('Tabla III.3.'!$F$12,H767-1,0)</f>
        <v>07.04.</v>
      </c>
      <c r="E767" s="107">
        <f t="shared" si="177"/>
        <v>0</v>
      </c>
      <c r="F767" s="108">
        <f ca="1">OFFSET('Tabla III.3.'!$H$12,H767-1,I767-1)</f>
        <v>0</v>
      </c>
      <c r="G767" s="107" t="str">
        <f ca="1">OFFSET('Tabla III.3.'!$H$1,0,I767-1)</f>
        <v>01</v>
      </c>
      <c r="H767" s="110">
        <f>+H755+1</f>
        <v>10</v>
      </c>
      <c r="I767" s="110">
        <v>1</v>
      </c>
      <c r="J767" s="110" t="str">
        <f ca="1">+'Tabla III.3.'!$C$9</f>
        <v>Tabla III.3.</v>
      </c>
      <c r="K767" s="110" t="s">
        <v>2266</v>
      </c>
      <c r="L767" s="107">
        <f>+L755+1</f>
        <v>10</v>
      </c>
    </row>
    <row r="768" spans="1:12" s="103" customFormat="1">
      <c r="A768" s="107" t="s">
        <v>2944</v>
      </c>
      <c r="B768" s="107" t="str">
        <f t="shared" si="176"/>
        <v>202503</v>
      </c>
      <c r="C768" s="107" t="str">
        <f ca="1">IF(G768="01","v2","v1")</f>
        <v>v1</v>
      </c>
      <c r="D768" s="399" t="str">
        <f ca="1">+D767</f>
        <v>07.04.</v>
      </c>
      <c r="E768" s="107">
        <f t="shared" si="177"/>
        <v>0</v>
      </c>
      <c r="F768" s="108">
        <f ca="1">OFFSET('Tabla III.3.'!$H$12,H768-1,I768-1)</f>
        <v>0</v>
      </c>
      <c r="G768" s="107" t="str">
        <f ca="1">OFFSET('Tabla III.3.'!$H$1,0,I768-1)</f>
        <v>02</v>
      </c>
      <c r="H768" s="110">
        <f>+H767</f>
        <v>10</v>
      </c>
      <c r="I768" s="110">
        <f>+I767+1</f>
        <v>2</v>
      </c>
      <c r="J768" s="110" t="str">
        <f ca="1">+'Tabla III.3.'!$C$9</f>
        <v>Tabla III.3.</v>
      </c>
      <c r="K768" s="110" t="str">
        <f t="shared" ref="K768:K778" si="193">+K767</f>
        <v>A</v>
      </c>
      <c r="L768" s="107"/>
    </row>
    <row r="769" spans="1:12" s="103" customFormat="1">
      <c r="A769" s="107" t="s">
        <v>2944</v>
      </c>
      <c r="B769" s="107" t="str">
        <f t="shared" si="176"/>
        <v>202503</v>
      </c>
      <c r="C769" s="107" t="str">
        <f t="shared" ref="C769:C778" ca="1" si="194">IF(G769="01","v2","v1")</f>
        <v>v1</v>
      </c>
      <c r="D769" s="399" t="str">
        <f t="shared" ref="D769:D778" ca="1" si="195">+D768</f>
        <v>07.04.</v>
      </c>
      <c r="E769" s="107">
        <f t="shared" si="177"/>
        <v>0</v>
      </c>
      <c r="F769" s="108">
        <f ca="1">OFFSET('Tabla III.3.'!$H$12,H769-1,I769-1)</f>
        <v>0</v>
      </c>
      <c r="G769" s="107" t="str">
        <f ca="1">OFFSET('Tabla III.3.'!$H$1,0,I769-1)</f>
        <v>03</v>
      </c>
      <c r="H769" s="110">
        <f t="shared" ref="H769:H778" si="196">+H768</f>
        <v>10</v>
      </c>
      <c r="I769" s="110">
        <f t="shared" ref="I769:I778" si="197">+I768+1</f>
        <v>3</v>
      </c>
      <c r="J769" s="110" t="str">
        <f ca="1">+'Tabla III.3.'!$C$9</f>
        <v>Tabla III.3.</v>
      </c>
      <c r="K769" s="110" t="str">
        <f t="shared" si="193"/>
        <v>A</v>
      </c>
      <c r="L769" s="107"/>
    </row>
    <row r="770" spans="1:12" s="103" customFormat="1">
      <c r="A770" s="107" t="s">
        <v>2944</v>
      </c>
      <c r="B770" s="107" t="str">
        <f t="shared" si="176"/>
        <v>202503</v>
      </c>
      <c r="C770" s="107" t="str">
        <f t="shared" ca="1" si="194"/>
        <v>v1</v>
      </c>
      <c r="D770" s="399" t="str">
        <f t="shared" ca="1" si="195"/>
        <v>07.04.</v>
      </c>
      <c r="E770" s="107">
        <f t="shared" si="177"/>
        <v>0</v>
      </c>
      <c r="F770" s="108">
        <f ca="1">OFFSET('Tabla III.3.'!$H$12,H770-1,I770-1)</f>
        <v>0</v>
      </c>
      <c r="G770" s="107" t="str">
        <f ca="1">OFFSET('Tabla III.3.'!$H$1,0,I770-1)</f>
        <v>04</v>
      </c>
      <c r="H770" s="110">
        <f t="shared" si="196"/>
        <v>10</v>
      </c>
      <c r="I770" s="110">
        <f t="shared" si="197"/>
        <v>4</v>
      </c>
      <c r="J770" s="110" t="str">
        <f ca="1">+'Tabla III.3.'!$C$9</f>
        <v>Tabla III.3.</v>
      </c>
      <c r="K770" s="110" t="str">
        <f t="shared" si="193"/>
        <v>A</v>
      </c>
      <c r="L770" s="107"/>
    </row>
    <row r="771" spans="1:12" s="103" customFormat="1">
      <c r="A771" s="107" t="s">
        <v>2944</v>
      </c>
      <c r="B771" s="107" t="str">
        <f t="shared" si="176"/>
        <v>202503</v>
      </c>
      <c r="C771" s="107" t="str">
        <f t="shared" ca="1" si="194"/>
        <v>v1</v>
      </c>
      <c r="D771" s="399" t="str">
        <f t="shared" ca="1" si="195"/>
        <v>07.04.</v>
      </c>
      <c r="E771" s="107">
        <f t="shared" si="177"/>
        <v>0</v>
      </c>
      <c r="F771" s="108">
        <f ca="1">OFFSET('Tabla III.3.'!$H$12,H771-1,I771-1)</f>
        <v>0</v>
      </c>
      <c r="G771" s="107" t="str">
        <f ca="1">OFFSET('Tabla III.3.'!$H$1,0,I771-1)</f>
        <v>05</v>
      </c>
      <c r="H771" s="110">
        <f t="shared" si="196"/>
        <v>10</v>
      </c>
      <c r="I771" s="110">
        <f t="shared" si="197"/>
        <v>5</v>
      </c>
      <c r="J771" s="110" t="str">
        <f ca="1">+'Tabla III.3.'!$C$9</f>
        <v>Tabla III.3.</v>
      </c>
      <c r="K771" s="110" t="str">
        <f t="shared" si="193"/>
        <v>A</v>
      </c>
      <c r="L771" s="107"/>
    </row>
    <row r="772" spans="1:12" s="103" customFormat="1">
      <c r="A772" s="107" t="s">
        <v>2944</v>
      </c>
      <c r="B772" s="107" t="str">
        <f t="shared" si="176"/>
        <v>202503</v>
      </c>
      <c r="C772" s="107" t="str">
        <f t="shared" ca="1" si="194"/>
        <v>v1</v>
      </c>
      <c r="D772" s="399" t="str">
        <f t="shared" ca="1" si="195"/>
        <v>07.04.</v>
      </c>
      <c r="E772" s="107">
        <f t="shared" si="177"/>
        <v>0</v>
      </c>
      <c r="F772" s="108">
        <f ca="1">OFFSET('Tabla III.3.'!$H$12,H772-1,I772-1)</f>
        <v>0</v>
      </c>
      <c r="G772" s="107" t="str">
        <f ca="1">OFFSET('Tabla III.3.'!$H$1,0,I772-1)</f>
        <v>06</v>
      </c>
      <c r="H772" s="110">
        <f t="shared" si="196"/>
        <v>10</v>
      </c>
      <c r="I772" s="110">
        <f t="shared" si="197"/>
        <v>6</v>
      </c>
      <c r="J772" s="110" t="str">
        <f ca="1">+'Tabla III.3.'!$C$9</f>
        <v>Tabla III.3.</v>
      </c>
      <c r="K772" s="110" t="str">
        <f t="shared" si="193"/>
        <v>A</v>
      </c>
      <c r="L772" s="107"/>
    </row>
    <row r="773" spans="1:12" s="103" customFormat="1">
      <c r="A773" s="107" t="s">
        <v>2944</v>
      </c>
      <c r="B773" s="107" t="str">
        <f t="shared" si="176"/>
        <v>202503</v>
      </c>
      <c r="C773" s="107" t="str">
        <f t="shared" ca="1" si="194"/>
        <v>v1</v>
      </c>
      <c r="D773" s="399" t="str">
        <f t="shared" ca="1" si="195"/>
        <v>07.04.</v>
      </c>
      <c r="E773" s="107">
        <f t="shared" si="177"/>
        <v>0</v>
      </c>
      <c r="F773" s="108">
        <f ca="1">OFFSET('Tabla III.3.'!$H$12,H773-1,I773-1)</f>
        <v>0</v>
      </c>
      <c r="G773" s="107" t="str">
        <f ca="1">OFFSET('Tabla III.3.'!$H$1,0,I773-1)</f>
        <v>07</v>
      </c>
      <c r="H773" s="110">
        <f t="shared" si="196"/>
        <v>10</v>
      </c>
      <c r="I773" s="110">
        <f t="shared" si="197"/>
        <v>7</v>
      </c>
      <c r="J773" s="110" t="str">
        <f ca="1">+'Tabla III.3.'!$C$9</f>
        <v>Tabla III.3.</v>
      </c>
      <c r="K773" s="110" t="str">
        <f t="shared" si="193"/>
        <v>A</v>
      </c>
      <c r="L773" s="107"/>
    </row>
    <row r="774" spans="1:12" s="103" customFormat="1">
      <c r="A774" s="107" t="s">
        <v>2944</v>
      </c>
      <c r="B774" s="107" t="str">
        <f t="shared" si="176"/>
        <v>202503</v>
      </c>
      <c r="C774" s="107" t="str">
        <f t="shared" ca="1" si="194"/>
        <v>v1</v>
      </c>
      <c r="D774" s="399" t="str">
        <f t="shared" ca="1" si="195"/>
        <v>07.04.</v>
      </c>
      <c r="E774" s="107">
        <f t="shared" si="177"/>
        <v>0</v>
      </c>
      <c r="F774" s="108">
        <f ca="1">OFFSET('Tabla III.3.'!$H$12,H774-1,I774-1)</f>
        <v>0</v>
      </c>
      <c r="G774" s="107" t="str">
        <f ca="1">OFFSET('Tabla III.3.'!$H$1,0,I774-1)</f>
        <v>08</v>
      </c>
      <c r="H774" s="110">
        <f t="shared" si="196"/>
        <v>10</v>
      </c>
      <c r="I774" s="110">
        <f t="shared" si="197"/>
        <v>8</v>
      </c>
      <c r="J774" s="110" t="str">
        <f ca="1">+'Tabla III.3.'!$C$9</f>
        <v>Tabla III.3.</v>
      </c>
      <c r="K774" s="110" t="str">
        <f t="shared" si="193"/>
        <v>A</v>
      </c>
      <c r="L774" s="107"/>
    </row>
    <row r="775" spans="1:12" s="103" customFormat="1">
      <c r="A775" s="107" t="s">
        <v>2944</v>
      </c>
      <c r="B775" s="107" t="str">
        <f t="shared" si="176"/>
        <v>202503</v>
      </c>
      <c r="C775" s="107" t="str">
        <f t="shared" ca="1" si="194"/>
        <v>v1</v>
      </c>
      <c r="D775" s="399" t="str">
        <f t="shared" ca="1" si="195"/>
        <v>07.04.</v>
      </c>
      <c r="E775" s="107">
        <f t="shared" si="177"/>
        <v>0</v>
      </c>
      <c r="F775" s="108">
        <f ca="1">OFFSET('Tabla III.3.'!$H$12,H775-1,I775-1)</f>
        <v>0</v>
      </c>
      <c r="G775" s="107" t="str">
        <f ca="1">OFFSET('Tabla III.3.'!$H$1,0,I775-1)</f>
        <v>09</v>
      </c>
      <c r="H775" s="110">
        <f t="shared" si="196"/>
        <v>10</v>
      </c>
      <c r="I775" s="110">
        <f t="shared" si="197"/>
        <v>9</v>
      </c>
      <c r="J775" s="110" t="str">
        <f ca="1">+'Tabla III.3.'!$C$9</f>
        <v>Tabla III.3.</v>
      </c>
      <c r="K775" s="110" t="str">
        <f t="shared" si="193"/>
        <v>A</v>
      </c>
      <c r="L775" s="107"/>
    </row>
    <row r="776" spans="1:12" s="103" customFormat="1">
      <c r="A776" s="107" t="s">
        <v>2944</v>
      </c>
      <c r="B776" s="107" t="str">
        <f t="shared" si="176"/>
        <v>202503</v>
      </c>
      <c r="C776" s="107" t="str">
        <f t="shared" ca="1" si="194"/>
        <v>v1</v>
      </c>
      <c r="D776" s="399" t="str">
        <f t="shared" ca="1" si="195"/>
        <v>07.04.</v>
      </c>
      <c r="E776" s="107">
        <f t="shared" si="177"/>
        <v>0</v>
      </c>
      <c r="F776" s="108">
        <f ca="1">OFFSET('Tabla III.3.'!$H$12,H776-1,I776-1)</f>
        <v>0</v>
      </c>
      <c r="G776" s="107" t="str">
        <f ca="1">OFFSET('Tabla III.3.'!$H$1,0,I776-1)</f>
        <v>10</v>
      </c>
      <c r="H776" s="110">
        <f t="shared" si="196"/>
        <v>10</v>
      </c>
      <c r="I776" s="110">
        <f t="shared" si="197"/>
        <v>10</v>
      </c>
      <c r="J776" s="110" t="str">
        <f ca="1">+'Tabla III.3.'!$C$9</f>
        <v>Tabla III.3.</v>
      </c>
      <c r="K776" s="110" t="str">
        <f t="shared" si="193"/>
        <v>A</v>
      </c>
      <c r="L776" s="107"/>
    </row>
    <row r="777" spans="1:12" s="103" customFormat="1">
      <c r="A777" s="107" t="s">
        <v>2944</v>
      </c>
      <c r="B777" s="107" t="str">
        <f t="shared" si="176"/>
        <v>202503</v>
      </c>
      <c r="C777" s="107" t="str">
        <f t="shared" ca="1" si="194"/>
        <v>v1</v>
      </c>
      <c r="D777" s="399" t="str">
        <f t="shared" ca="1" si="195"/>
        <v>07.04.</v>
      </c>
      <c r="E777" s="107">
        <f t="shared" si="177"/>
        <v>0</v>
      </c>
      <c r="F777" s="108">
        <f ca="1">OFFSET('Tabla III.3.'!$H$12,H777-1,I777-1)</f>
        <v>0</v>
      </c>
      <c r="G777" s="107" t="str">
        <f ca="1">OFFSET('Tabla III.3.'!$H$1,0,I777-1)</f>
        <v>11</v>
      </c>
      <c r="H777" s="110">
        <f t="shared" si="196"/>
        <v>10</v>
      </c>
      <c r="I777" s="110">
        <f t="shared" si="197"/>
        <v>11</v>
      </c>
      <c r="J777" s="110" t="str">
        <f ca="1">+'Tabla III.3.'!$C$9</f>
        <v>Tabla III.3.</v>
      </c>
      <c r="K777" s="110" t="str">
        <f t="shared" si="193"/>
        <v>A</v>
      </c>
      <c r="L777" s="107"/>
    </row>
    <row r="778" spans="1:12" s="103" customFormat="1">
      <c r="A778" s="107" t="s">
        <v>2944</v>
      </c>
      <c r="B778" s="107" t="str">
        <f t="shared" si="176"/>
        <v>202503</v>
      </c>
      <c r="C778" s="107" t="str">
        <f t="shared" ca="1" si="194"/>
        <v>v1</v>
      </c>
      <c r="D778" s="399" t="str">
        <f t="shared" ca="1" si="195"/>
        <v>07.04.</v>
      </c>
      <c r="E778" s="107">
        <f t="shared" si="177"/>
        <v>0</v>
      </c>
      <c r="F778" s="108">
        <f ca="1">OFFSET('Tabla III.3.'!$H$12,H778-1,I778-1)</f>
        <v>0</v>
      </c>
      <c r="G778" s="107" t="str">
        <f ca="1">OFFSET('Tabla III.3.'!$H$1,0,I778-1)</f>
        <v>12</v>
      </c>
      <c r="H778" s="110">
        <f t="shared" si="196"/>
        <v>10</v>
      </c>
      <c r="I778" s="110">
        <f t="shared" si="197"/>
        <v>12</v>
      </c>
      <c r="J778" s="110" t="str">
        <f ca="1">+'Tabla III.3.'!$C$9</f>
        <v>Tabla III.3.</v>
      </c>
      <c r="K778" s="110" t="str">
        <f t="shared" si="193"/>
        <v>A</v>
      </c>
      <c r="L778" s="107"/>
    </row>
    <row r="779" spans="1:12" s="103" customFormat="1">
      <c r="A779" s="412" t="s">
        <v>2944</v>
      </c>
      <c r="B779" s="412" t="str">
        <f t="shared" si="176"/>
        <v>202503</v>
      </c>
      <c r="C779" s="412" t="s">
        <v>2945</v>
      </c>
      <c r="D779" s="413" t="str">
        <f ca="1">OFFSET('Tabla III.3.'!$F$12,H779-1,0)</f>
        <v>07.04.00.01</v>
      </c>
      <c r="E779" s="412">
        <f t="shared" si="177"/>
        <v>0</v>
      </c>
      <c r="F779" s="414">
        <f ca="1">OFFSET('Tabla III.3.'!$H$12,H779-1,I779-1)</f>
        <v>0</v>
      </c>
      <c r="G779" s="412" t="str">
        <f ca="1">OFFSET('Tabla III.3.'!$H$1,0,I779-1)</f>
        <v>01</v>
      </c>
      <c r="H779" s="111">
        <f>+H767+1</f>
        <v>11</v>
      </c>
      <c r="I779" s="111">
        <v>1</v>
      </c>
      <c r="J779" s="111" t="str">
        <f ca="1">+'Tabla III.3.'!$C$9</f>
        <v>Tabla III.3.</v>
      </c>
      <c r="K779" s="111" t="s">
        <v>2266</v>
      </c>
      <c r="L779" s="412">
        <f>+L767+1</f>
        <v>11</v>
      </c>
    </row>
    <row r="780" spans="1:12" s="103" customFormat="1">
      <c r="A780" s="412" t="s">
        <v>2944</v>
      </c>
      <c r="B780" s="412" t="str">
        <f t="shared" si="176"/>
        <v>202503</v>
      </c>
      <c r="C780" s="412" t="str">
        <f ca="1">IF(G780="01","v2","v1")</f>
        <v>v1</v>
      </c>
      <c r="D780" s="413" t="str">
        <f ca="1">+D779</f>
        <v>07.04.00.01</v>
      </c>
      <c r="E780" s="412">
        <f t="shared" si="177"/>
        <v>0</v>
      </c>
      <c r="F780" s="414">
        <f ca="1">OFFSET('Tabla III.3.'!$H$12,H780-1,I780-1)</f>
        <v>0</v>
      </c>
      <c r="G780" s="412" t="str">
        <f ca="1">OFFSET('Tabla III.3.'!$H$1,0,I780-1)</f>
        <v>02</v>
      </c>
      <c r="H780" s="111">
        <f>+H779</f>
        <v>11</v>
      </c>
      <c r="I780" s="111">
        <f>+I779+1</f>
        <v>2</v>
      </c>
      <c r="J780" s="111" t="str">
        <f ca="1">+'Tabla III.3.'!$C$9</f>
        <v>Tabla III.3.</v>
      </c>
      <c r="K780" s="111" t="str">
        <f t="shared" ref="K780:K790" si="198">+K779</f>
        <v>A</v>
      </c>
      <c r="L780" s="412"/>
    </row>
    <row r="781" spans="1:12" s="103" customFormat="1">
      <c r="A781" s="412" t="s">
        <v>2944</v>
      </c>
      <c r="B781" s="412" t="str">
        <f t="shared" si="176"/>
        <v>202503</v>
      </c>
      <c r="C781" s="412" t="str">
        <f t="shared" ref="C781:C790" ca="1" si="199">IF(G781="01","v2","v1")</f>
        <v>v1</v>
      </c>
      <c r="D781" s="413" t="str">
        <f t="shared" ref="D781:D790" ca="1" si="200">+D780</f>
        <v>07.04.00.01</v>
      </c>
      <c r="E781" s="412">
        <f t="shared" si="177"/>
        <v>0</v>
      </c>
      <c r="F781" s="414">
        <f ca="1">OFFSET('Tabla III.3.'!$H$12,H781-1,I781-1)</f>
        <v>0</v>
      </c>
      <c r="G781" s="412" t="str">
        <f ca="1">OFFSET('Tabla III.3.'!$H$1,0,I781-1)</f>
        <v>03</v>
      </c>
      <c r="H781" s="111">
        <f t="shared" ref="H781:H790" si="201">+H780</f>
        <v>11</v>
      </c>
      <c r="I781" s="111">
        <f t="shared" ref="I781:I790" si="202">+I780+1</f>
        <v>3</v>
      </c>
      <c r="J781" s="111" t="str">
        <f ca="1">+'Tabla III.3.'!$C$9</f>
        <v>Tabla III.3.</v>
      </c>
      <c r="K781" s="111" t="str">
        <f t="shared" si="198"/>
        <v>A</v>
      </c>
      <c r="L781" s="412"/>
    </row>
    <row r="782" spans="1:12" s="103" customFormat="1">
      <c r="A782" s="412" t="s">
        <v>2944</v>
      </c>
      <c r="B782" s="412" t="str">
        <f t="shared" si="176"/>
        <v>202503</v>
      </c>
      <c r="C782" s="412" t="str">
        <f t="shared" ca="1" si="199"/>
        <v>v1</v>
      </c>
      <c r="D782" s="413" t="str">
        <f t="shared" ca="1" si="200"/>
        <v>07.04.00.01</v>
      </c>
      <c r="E782" s="412">
        <f t="shared" si="177"/>
        <v>0</v>
      </c>
      <c r="F782" s="414">
        <f ca="1">OFFSET('Tabla III.3.'!$H$12,H782-1,I782-1)</f>
        <v>0</v>
      </c>
      <c r="G782" s="412" t="str">
        <f ca="1">OFFSET('Tabla III.3.'!$H$1,0,I782-1)</f>
        <v>04</v>
      </c>
      <c r="H782" s="111">
        <f t="shared" si="201"/>
        <v>11</v>
      </c>
      <c r="I782" s="111">
        <f t="shared" si="202"/>
        <v>4</v>
      </c>
      <c r="J782" s="111" t="str">
        <f ca="1">+'Tabla III.3.'!$C$9</f>
        <v>Tabla III.3.</v>
      </c>
      <c r="K782" s="111" t="str">
        <f t="shared" si="198"/>
        <v>A</v>
      </c>
      <c r="L782" s="412"/>
    </row>
    <row r="783" spans="1:12" s="103" customFormat="1">
      <c r="A783" s="412" t="s">
        <v>2944</v>
      </c>
      <c r="B783" s="412" t="str">
        <f t="shared" si="176"/>
        <v>202503</v>
      </c>
      <c r="C783" s="412" t="str">
        <f t="shared" ca="1" si="199"/>
        <v>v1</v>
      </c>
      <c r="D783" s="413" t="str">
        <f t="shared" ca="1" si="200"/>
        <v>07.04.00.01</v>
      </c>
      <c r="E783" s="412">
        <f t="shared" si="177"/>
        <v>0</v>
      </c>
      <c r="F783" s="414">
        <f ca="1">OFFSET('Tabla III.3.'!$H$12,H783-1,I783-1)</f>
        <v>0</v>
      </c>
      <c r="G783" s="412" t="str">
        <f ca="1">OFFSET('Tabla III.3.'!$H$1,0,I783-1)</f>
        <v>05</v>
      </c>
      <c r="H783" s="111">
        <f t="shared" si="201"/>
        <v>11</v>
      </c>
      <c r="I783" s="111">
        <f t="shared" si="202"/>
        <v>5</v>
      </c>
      <c r="J783" s="111" t="str">
        <f ca="1">+'Tabla III.3.'!$C$9</f>
        <v>Tabla III.3.</v>
      </c>
      <c r="K783" s="111" t="str">
        <f t="shared" si="198"/>
        <v>A</v>
      </c>
      <c r="L783" s="412"/>
    </row>
    <row r="784" spans="1:12" s="103" customFormat="1">
      <c r="A784" s="412" t="s">
        <v>2944</v>
      </c>
      <c r="B784" s="412" t="str">
        <f t="shared" si="176"/>
        <v>202503</v>
      </c>
      <c r="C784" s="412" t="str">
        <f t="shared" ca="1" si="199"/>
        <v>v1</v>
      </c>
      <c r="D784" s="413" t="str">
        <f t="shared" ca="1" si="200"/>
        <v>07.04.00.01</v>
      </c>
      <c r="E784" s="412">
        <f t="shared" si="177"/>
        <v>0</v>
      </c>
      <c r="F784" s="414">
        <f ca="1">OFFSET('Tabla III.3.'!$H$12,H784-1,I784-1)</f>
        <v>0</v>
      </c>
      <c r="G784" s="412" t="str">
        <f ca="1">OFFSET('Tabla III.3.'!$H$1,0,I784-1)</f>
        <v>06</v>
      </c>
      <c r="H784" s="111">
        <f t="shared" si="201"/>
        <v>11</v>
      </c>
      <c r="I784" s="111">
        <f t="shared" si="202"/>
        <v>6</v>
      </c>
      <c r="J784" s="111" t="str">
        <f ca="1">+'Tabla III.3.'!$C$9</f>
        <v>Tabla III.3.</v>
      </c>
      <c r="K784" s="111" t="str">
        <f t="shared" si="198"/>
        <v>A</v>
      </c>
      <c r="L784" s="412"/>
    </row>
    <row r="785" spans="1:12" s="103" customFormat="1">
      <c r="A785" s="412" t="s">
        <v>2944</v>
      </c>
      <c r="B785" s="412" t="str">
        <f t="shared" si="176"/>
        <v>202503</v>
      </c>
      <c r="C785" s="412" t="str">
        <f t="shared" ca="1" si="199"/>
        <v>v1</v>
      </c>
      <c r="D785" s="413" t="str">
        <f t="shared" ca="1" si="200"/>
        <v>07.04.00.01</v>
      </c>
      <c r="E785" s="412">
        <f t="shared" si="177"/>
        <v>0</v>
      </c>
      <c r="F785" s="414">
        <f ca="1">OFFSET('Tabla III.3.'!$H$12,H785-1,I785-1)</f>
        <v>0</v>
      </c>
      <c r="G785" s="412" t="str">
        <f ca="1">OFFSET('Tabla III.3.'!$H$1,0,I785-1)</f>
        <v>07</v>
      </c>
      <c r="H785" s="111">
        <f t="shared" si="201"/>
        <v>11</v>
      </c>
      <c r="I785" s="111">
        <f t="shared" si="202"/>
        <v>7</v>
      </c>
      <c r="J785" s="111" t="str">
        <f ca="1">+'Tabla III.3.'!$C$9</f>
        <v>Tabla III.3.</v>
      </c>
      <c r="K785" s="111" t="str">
        <f t="shared" si="198"/>
        <v>A</v>
      </c>
      <c r="L785" s="412"/>
    </row>
    <row r="786" spans="1:12" s="103" customFormat="1">
      <c r="A786" s="412" t="s">
        <v>2944</v>
      </c>
      <c r="B786" s="412" t="str">
        <f t="shared" si="176"/>
        <v>202503</v>
      </c>
      <c r="C786" s="412" t="str">
        <f t="shared" ca="1" si="199"/>
        <v>v1</v>
      </c>
      <c r="D786" s="413" t="str">
        <f t="shared" ca="1" si="200"/>
        <v>07.04.00.01</v>
      </c>
      <c r="E786" s="412">
        <f t="shared" si="177"/>
        <v>0</v>
      </c>
      <c r="F786" s="414">
        <f ca="1">OFFSET('Tabla III.3.'!$H$12,H786-1,I786-1)</f>
        <v>0</v>
      </c>
      <c r="G786" s="412" t="str">
        <f ca="1">OFFSET('Tabla III.3.'!$H$1,0,I786-1)</f>
        <v>08</v>
      </c>
      <c r="H786" s="111">
        <f t="shared" si="201"/>
        <v>11</v>
      </c>
      <c r="I786" s="111">
        <f t="shared" si="202"/>
        <v>8</v>
      </c>
      <c r="J786" s="111" t="str">
        <f ca="1">+'Tabla III.3.'!$C$9</f>
        <v>Tabla III.3.</v>
      </c>
      <c r="K786" s="111" t="str">
        <f t="shared" si="198"/>
        <v>A</v>
      </c>
      <c r="L786" s="412"/>
    </row>
    <row r="787" spans="1:12" s="103" customFormat="1">
      <c r="A787" s="412" t="s">
        <v>2944</v>
      </c>
      <c r="B787" s="412" t="str">
        <f t="shared" ref="B787:B850" si="203">PERIODO</f>
        <v>202503</v>
      </c>
      <c r="C787" s="412" t="str">
        <f t="shared" ca="1" si="199"/>
        <v>v1</v>
      </c>
      <c r="D787" s="413" t="str">
        <f t="shared" ca="1" si="200"/>
        <v>07.04.00.01</v>
      </c>
      <c r="E787" s="412">
        <f t="shared" si="177"/>
        <v>0</v>
      </c>
      <c r="F787" s="414">
        <f ca="1">OFFSET('Tabla III.3.'!$H$12,H787-1,I787-1)</f>
        <v>0</v>
      </c>
      <c r="G787" s="412" t="str">
        <f ca="1">OFFSET('Tabla III.3.'!$H$1,0,I787-1)</f>
        <v>09</v>
      </c>
      <c r="H787" s="111">
        <f t="shared" si="201"/>
        <v>11</v>
      </c>
      <c r="I787" s="111">
        <f t="shared" si="202"/>
        <v>9</v>
      </c>
      <c r="J787" s="111" t="str">
        <f ca="1">+'Tabla III.3.'!$C$9</f>
        <v>Tabla III.3.</v>
      </c>
      <c r="K787" s="111" t="str">
        <f t="shared" si="198"/>
        <v>A</v>
      </c>
      <c r="L787" s="412"/>
    </row>
    <row r="788" spans="1:12" s="103" customFormat="1">
      <c r="A788" s="412" t="s">
        <v>2944</v>
      </c>
      <c r="B788" s="412" t="str">
        <f t="shared" si="203"/>
        <v>202503</v>
      </c>
      <c r="C788" s="412" t="str">
        <f t="shared" ca="1" si="199"/>
        <v>v1</v>
      </c>
      <c r="D788" s="413" t="str">
        <f t="shared" ca="1" si="200"/>
        <v>07.04.00.01</v>
      </c>
      <c r="E788" s="412">
        <f t="shared" ref="E788:E851" si="204">RUC</f>
        <v>0</v>
      </c>
      <c r="F788" s="414">
        <f ca="1">OFFSET('Tabla III.3.'!$H$12,H788-1,I788-1)</f>
        <v>0</v>
      </c>
      <c r="G788" s="412" t="str">
        <f ca="1">OFFSET('Tabla III.3.'!$H$1,0,I788-1)</f>
        <v>10</v>
      </c>
      <c r="H788" s="111">
        <f t="shared" si="201"/>
        <v>11</v>
      </c>
      <c r="I788" s="111">
        <f t="shared" si="202"/>
        <v>10</v>
      </c>
      <c r="J788" s="111" t="str">
        <f ca="1">+'Tabla III.3.'!$C$9</f>
        <v>Tabla III.3.</v>
      </c>
      <c r="K788" s="111" t="str">
        <f t="shared" si="198"/>
        <v>A</v>
      </c>
      <c r="L788" s="412"/>
    </row>
    <row r="789" spans="1:12" s="103" customFormat="1">
      <c r="A789" s="412" t="s">
        <v>2944</v>
      </c>
      <c r="B789" s="412" t="str">
        <f t="shared" si="203"/>
        <v>202503</v>
      </c>
      <c r="C789" s="412" t="str">
        <f t="shared" ca="1" si="199"/>
        <v>v1</v>
      </c>
      <c r="D789" s="413" t="str">
        <f t="shared" ca="1" si="200"/>
        <v>07.04.00.01</v>
      </c>
      <c r="E789" s="412">
        <f t="shared" si="204"/>
        <v>0</v>
      </c>
      <c r="F789" s="414">
        <f ca="1">OFFSET('Tabla III.3.'!$H$12,H789-1,I789-1)</f>
        <v>0</v>
      </c>
      <c r="G789" s="412" t="str">
        <f ca="1">OFFSET('Tabla III.3.'!$H$1,0,I789-1)</f>
        <v>11</v>
      </c>
      <c r="H789" s="111">
        <f t="shared" si="201"/>
        <v>11</v>
      </c>
      <c r="I789" s="111">
        <f t="shared" si="202"/>
        <v>11</v>
      </c>
      <c r="J789" s="111" t="str">
        <f ca="1">+'Tabla III.3.'!$C$9</f>
        <v>Tabla III.3.</v>
      </c>
      <c r="K789" s="111" t="str">
        <f t="shared" si="198"/>
        <v>A</v>
      </c>
      <c r="L789" s="412"/>
    </row>
    <row r="790" spans="1:12" s="103" customFormat="1">
      <c r="A790" s="412" t="s">
        <v>2944</v>
      </c>
      <c r="B790" s="412" t="str">
        <f t="shared" si="203"/>
        <v>202503</v>
      </c>
      <c r="C790" s="412" t="str">
        <f t="shared" ca="1" si="199"/>
        <v>v1</v>
      </c>
      <c r="D790" s="413" t="str">
        <f t="shared" ca="1" si="200"/>
        <v>07.04.00.01</v>
      </c>
      <c r="E790" s="412">
        <f t="shared" si="204"/>
        <v>0</v>
      </c>
      <c r="F790" s="414">
        <f ca="1">OFFSET('Tabla III.3.'!$H$12,H790-1,I790-1)</f>
        <v>0</v>
      </c>
      <c r="G790" s="412" t="str">
        <f ca="1">OFFSET('Tabla III.3.'!$H$1,0,I790-1)</f>
        <v>12</v>
      </c>
      <c r="H790" s="111">
        <f t="shared" si="201"/>
        <v>11</v>
      </c>
      <c r="I790" s="111">
        <f t="shared" si="202"/>
        <v>12</v>
      </c>
      <c r="J790" s="111" t="str">
        <f ca="1">+'Tabla III.3.'!$C$9</f>
        <v>Tabla III.3.</v>
      </c>
      <c r="K790" s="111" t="str">
        <f t="shared" si="198"/>
        <v>A</v>
      </c>
      <c r="L790" s="412"/>
    </row>
    <row r="791" spans="1:12" s="103" customFormat="1">
      <c r="A791" s="107" t="s">
        <v>2944</v>
      </c>
      <c r="B791" s="107" t="str">
        <f t="shared" si="203"/>
        <v>202503</v>
      </c>
      <c r="C791" s="107" t="s">
        <v>2945</v>
      </c>
      <c r="D791" s="399" t="str">
        <f ca="1">OFFSET('Tabla III.3.'!$F$12,H791-1,0)</f>
        <v>07.04.00.02.</v>
      </c>
      <c r="E791" s="107">
        <f t="shared" si="204"/>
        <v>0</v>
      </c>
      <c r="F791" s="108">
        <f ca="1">OFFSET('Tabla III.3.'!$H$12,H791-1,I791-1)</f>
        <v>0</v>
      </c>
      <c r="G791" s="107" t="str">
        <f ca="1">OFFSET('Tabla III.3.'!$H$1,0,I791-1)</f>
        <v>01</v>
      </c>
      <c r="H791" s="110">
        <f>+H779+1</f>
        <v>12</v>
      </c>
      <c r="I791" s="110">
        <v>1</v>
      </c>
      <c r="J791" s="110" t="str">
        <f ca="1">+'Tabla III.3.'!$C$9</f>
        <v>Tabla III.3.</v>
      </c>
      <c r="K791" s="110" t="s">
        <v>2266</v>
      </c>
      <c r="L791" s="107">
        <f>+L779+1</f>
        <v>12</v>
      </c>
    </row>
    <row r="792" spans="1:12" s="103" customFormat="1">
      <c r="A792" s="107" t="s">
        <v>2944</v>
      </c>
      <c r="B792" s="107" t="str">
        <f t="shared" si="203"/>
        <v>202503</v>
      </c>
      <c r="C792" s="107" t="str">
        <f ca="1">IF(G792="01","v2","v1")</f>
        <v>v1</v>
      </c>
      <c r="D792" s="399" t="str">
        <f ca="1">+D791</f>
        <v>07.04.00.02.</v>
      </c>
      <c r="E792" s="107">
        <f t="shared" si="204"/>
        <v>0</v>
      </c>
      <c r="F792" s="108">
        <f ca="1">OFFSET('Tabla III.3.'!$H$12,H792-1,I792-1)</f>
        <v>0</v>
      </c>
      <c r="G792" s="107" t="str">
        <f ca="1">OFFSET('Tabla III.3.'!$H$1,0,I792-1)</f>
        <v>02</v>
      </c>
      <c r="H792" s="110">
        <f>+H791</f>
        <v>12</v>
      </c>
      <c r="I792" s="110">
        <f>+I791+1</f>
        <v>2</v>
      </c>
      <c r="J792" s="110" t="str">
        <f ca="1">+'Tabla III.3.'!$C$9</f>
        <v>Tabla III.3.</v>
      </c>
      <c r="K792" s="110" t="str">
        <f t="shared" ref="K792:K802" si="205">+K791</f>
        <v>A</v>
      </c>
      <c r="L792" s="107"/>
    </row>
    <row r="793" spans="1:12" s="103" customFormat="1">
      <c r="A793" s="107" t="s">
        <v>2944</v>
      </c>
      <c r="B793" s="107" t="str">
        <f t="shared" si="203"/>
        <v>202503</v>
      </c>
      <c r="C793" s="107" t="str">
        <f t="shared" ref="C793:C802" ca="1" si="206">IF(G793="01","v2","v1")</f>
        <v>v1</v>
      </c>
      <c r="D793" s="399" t="str">
        <f t="shared" ref="D793:D802" ca="1" si="207">+D792</f>
        <v>07.04.00.02.</v>
      </c>
      <c r="E793" s="107">
        <f t="shared" si="204"/>
        <v>0</v>
      </c>
      <c r="F793" s="108">
        <f ca="1">OFFSET('Tabla III.3.'!$H$12,H793-1,I793-1)</f>
        <v>0</v>
      </c>
      <c r="G793" s="107" t="str">
        <f ca="1">OFFSET('Tabla III.3.'!$H$1,0,I793-1)</f>
        <v>03</v>
      </c>
      <c r="H793" s="110">
        <f t="shared" ref="H793:H802" si="208">+H792</f>
        <v>12</v>
      </c>
      <c r="I793" s="110">
        <f t="shared" ref="I793:I802" si="209">+I792+1</f>
        <v>3</v>
      </c>
      <c r="J793" s="110" t="str">
        <f ca="1">+'Tabla III.3.'!$C$9</f>
        <v>Tabla III.3.</v>
      </c>
      <c r="K793" s="110" t="str">
        <f t="shared" si="205"/>
        <v>A</v>
      </c>
      <c r="L793" s="107"/>
    </row>
    <row r="794" spans="1:12" s="103" customFormat="1">
      <c r="A794" s="107" t="s">
        <v>2944</v>
      </c>
      <c r="B794" s="107" t="str">
        <f t="shared" si="203"/>
        <v>202503</v>
      </c>
      <c r="C794" s="107" t="str">
        <f t="shared" ca="1" si="206"/>
        <v>v1</v>
      </c>
      <c r="D794" s="399" t="str">
        <f t="shared" ca="1" si="207"/>
        <v>07.04.00.02.</v>
      </c>
      <c r="E794" s="107">
        <f t="shared" si="204"/>
        <v>0</v>
      </c>
      <c r="F794" s="108">
        <f ca="1">OFFSET('Tabla III.3.'!$H$12,H794-1,I794-1)</f>
        <v>0</v>
      </c>
      <c r="G794" s="107" t="str">
        <f ca="1">OFFSET('Tabla III.3.'!$H$1,0,I794-1)</f>
        <v>04</v>
      </c>
      <c r="H794" s="110">
        <f t="shared" si="208"/>
        <v>12</v>
      </c>
      <c r="I794" s="110">
        <f t="shared" si="209"/>
        <v>4</v>
      </c>
      <c r="J794" s="110" t="str">
        <f ca="1">+'Tabla III.3.'!$C$9</f>
        <v>Tabla III.3.</v>
      </c>
      <c r="K794" s="110" t="str">
        <f t="shared" si="205"/>
        <v>A</v>
      </c>
      <c r="L794" s="107"/>
    </row>
    <row r="795" spans="1:12" s="103" customFormat="1">
      <c r="A795" s="107" t="s">
        <v>2944</v>
      </c>
      <c r="B795" s="107" t="str">
        <f t="shared" si="203"/>
        <v>202503</v>
      </c>
      <c r="C795" s="107" t="str">
        <f t="shared" ca="1" si="206"/>
        <v>v1</v>
      </c>
      <c r="D795" s="399" t="str">
        <f t="shared" ca="1" si="207"/>
        <v>07.04.00.02.</v>
      </c>
      <c r="E795" s="107">
        <f t="shared" si="204"/>
        <v>0</v>
      </c>
      <c r="F795" s="108">
        <f ca="1">OFFSET('Tabla III.3.'!$H$12,H795-1,I795-1)</f>
        <v>0</v>
      </c>
      <c r="G795" s="107" t="str">
        <f ca="1">OFFSET('Tabla III.3.'!$H$1,0,I795-1)</f>
        <v>05</v>
      </c>
      <c r="H795" s="110">
        <f t="shared" si="208"/>
        <v>12</v>
      </c>
      <c r="I795" s="110">
        <f t="shared" si="209"/>
        <v>5</v>
      </c>
      <c r="J795" s="110" t="str">
        <f ca="1">+'Tabla III.3.'!$C$9</f>
        <v>Tabla III.3.</v>
      </c>
      <c r="K795" s="110" t="str">
        <f t="shared" si="205"/>
        <v>A</v>
      </c>
      <c r="L795" s="107"/>
    </row>
    <row r="796" spans="1:12" s="103" customFormat="1">
      <c r="A796" s="107" t="s">
        <v>2944</v>
      </c>
      <c r="B796" s="107" t="str">
        <f t="shared" si="203"/>
        <v>202503</v>
      </c>
      <c r="C796" s="107" t="str">
        <f t="shared" ca="1" si="206"/>
        <v>v1</v>
      </c>
      <c r="D796" s="399" t="str">
        <f t="shared" ca="1" si="207"/>
        <v>07.04.00.02.</v>
      </c>
      <c r="E796" s="107">
        <f t="shared" si="204"/>
        <v>0</v>
      </c>
      <c r="F796" s="108">
        <f ca="1">OFFSET('Tabla III.3.'!$H$12,H796-1,I796-1)</f>
        <v>0</v>
      </c>
      <c r="G796" s="107" t="str">
        <f ca="1">OFFSET('Tabla III.3.'!$H$1,0,I796-1)</f>
        <v>06</v>
      </c>
      <c r="H796" s="110">
        <f t="shared" si="208"/>
        <v>12</v>
      </c>
      <c r="I796" s="110">
        <f t="shared" si="209"/>
        <v>6</v>
      </c>
      <c r="J796" s="110" t="str">
        <f ca="1">+'Tabla III.3.'!$C$9</f>
        <v>Tabla III.3.</v>
      </c>
      <c r="K796" s="110" t="str">
        <f t="shared" si="205"/>
        <v>A</v>
      </c>
      <c r="L796" s="107"/>
    </row>
    <row r="797" spans="1:12" s="103" customFormat="1">
      <c r="A797" s="107" t="s">
        <v>2944</v>
      </c>
      <c r="B797" s="107" t="str">
        <f t="shared" si="203"/>
        <v>202503</v>
      </c>
      <c r="C797" s="107" t="str">
        <f t="shared" ca="1" si="206"/>
        <v>v1</v>
      </c>
      <c r="D797" s="399" t="str">
        <f t="shared" ca="1" si="207"/>
        <v>07.04.00.02.</v>
      </c>
      <c r="E797" s="107">
        <f t="shared" si="204"/>
        <v>0</v>
      </c>
      <c r="F797" s="108">
        <f ca="1">OFFSET('Tabla III.3.'!$H$12,H797-1,I797-1)</f>
        <v>0</v>
      </c>
      <c r="G797" s="107" t="str">
        <f ca="1">OFFSET('Tabla III.3.'!$H$1,0,I797-1)</f>
        <v>07</v>
      </c>
      <c r="H797" s="110">
        <f t="shared" si="208"/>
        <v>12</v>
      </c>
      <c r="I797" s="110">
        <f t="shared" si="209"/>
        <v>7</v>
      </c>
      <c r="J797" s="110" t="str">
        <f ca="1">+'Tabla III.3.'!$C$9</f>
        <v>Tabla III.3.</v>
      </c>
      <c r="K797" s="110" t="str">
        <f t="shared" si="205"/>
        <v>A</v>
      </c>
      <c r="L797" s="107"/>
    </row>
    <row r="798" spans="1:12" s="103" customFormat="1">
      <c r="A798" s="107" t="s">
        <v>2944</v>
      </c>
      <c r="B798" s="107" t="str">
        <f t="shared" si="203"/>
        <v>202503</v>
      </c>
      <c r="C798" s="107" t="str">
        <f t="shared" ca="1" si="206"/>
        <v>v1</v>
      </c>
      <c r="D798" s="399" t="str">
        <f t="shared" ca="1" si="207"/>
        <v>07.04.00.02.</v>
      </c>
      <c r="E798" s="107">
        <f t="shared" si="204"/>
        <v>0</v>
      </c>
      <c r="F798" s="108">
        <f ca="1">OFFSET('Tabla III.3.'!$H$12,H798-1,I798-1)</f>
        <v>0</v>
      </c>
      <c r="G798" s="107" t="str">
        <f ca="1">OFFSET('Tabla III.3.'!$H$1,0,I798-1)</f>
        <v>08</v>
      </c>
      <c r="H798" s="110">
        <f t="shared" si="208"/>
        <v>12</v>
      </c>
      <c r="I798" s="110">
        <f t="shared" si="209"/>
        <v>8</v>
      </c>
      <c r="J798" s="110" t="str">
        <f ca="1">+'Tabla III.3.'!$C$9</f>
        <v>Tabla III.3.</v>
      </c>
      <c r="K798" s="110" t="str">
        <f t="shared" si="205"/>
        <v>A</v>
      </c>
      <c r="L798" s="107"/>
    </row>
    <row r="799" spans="1:12" s="103" customFormat="1">
      <c r="A799" s="107" t="s">
        <v>2944</v>
      </c>
      <c r="B799" s="107" t="str">
        <f t="shared" si="203"/>
        <v>202503</v>
      </c>
      <c r="C799" s="107" t="str">
        <f t="shared" ca="1" si="206"/>
        <v>v1</v>
      </c>
      <c r="D799" s="399" t="str">
        <f t="shared" ca="1" si="207"/>
        <v>07.04.00.02.</v>
      </c>
      <c r="E799" s="107">
        <f t="shared" si="204"/>
        <v>0</v>
      </c>
      <c r="F799" s="108">
        <f ca="1">OFFSET('Tabla III.3.'!$H$12,H799-1,I799-1)</f>
        <v>0</v>
      </c>
      <c r="G799" s="107" t="str">
        <f ca="1">OFFSET('Tabla III.3.'!$H$1,0,I799-1)</f>
        <v>09</v>
      </c>
      <c r="H799" s="110">
        <f t="shared" si="208"/>
        <v>12</v>
      </c>
      <c r="I799" s="110">
        <f t="shared" si="209"/>
        <v>9</v>
      </c>
      <c r="J799" s="110" t="str">
        <f ca="1">+'Tabla III.3.'!$C$9</f>
        <v>Tabla III.3.</v>
      </c>
      <c r="K799" s="110" t="str">
        <f t="shared" si="205"/>
        <v>A</v>
      </c>
      <c r="L799" s="107"/>
    </row>
    <row r="800" spans="1:12" s="103" customFormat="1">
      <c r="A800" s="107" t="s">
        <v>2944</v>
      </c>
      <c r="B800" s="107" t="str">
        <f t="shared" si="203"/>
        <v>202503</v>
      </c>
      <c r="C800" s="107" t="str">
        <f t="shared" ca="1" si="206"/>
        <v>v1</v>
      </c>
      <c r="D800" s="399" t="str">
        <f t="shared" ca="1" si="207"/>
        <v>07.04.00.02.</v>
      </c>
      <c r="E800" s="107">
        <f t="shared" si="204"/>
        <v>0</v>
      </c>
      <c r="F800" s="108">
        <f ca="1">OFFSET('Tabla III.3.'!$H$12,H800-1,I800-1)</f>
        <v>0</v>
      </c>
      <c r="G800" s="107" t="str">
        <f ca="1">OFFSET('Tabla III.3.'!$H$1,0,I800-1)</f>
        <v>10</v>
      </c>
      <c r="H800" s="110">
        <f t="shared" si="208"/>
        <v>12</v>
      </c>
      <c r="I800" s="110">
        <f t="shared" si="209"/>
        <v>10</v>
      </c>
      <c r="J800" s="110" t="str">
        <f ca="1">+'Tabla III.3.'!$C$9</f>
        <v>Tabla III.3.</v>
      </c>
      <c r="K800" s="110" t="str">
        <f t="shared" si="205"/>
        <v>A</v>
      </c>
      <c r="L800" s="107"/>
    </row>
    <row r="801" spans="1:12" s="103" customFormat="1">
      <c r="A801" s="107" t="s">
        <v>2944</v>
      </c>
      <c r="B801" s="107" t="str">
        <f t="shared" si="203"/>
        <v>202503</v>
      </c>
      <c r="C801" s="107" t="str">
        <f t="shared" ca="1" si="206"/>
        <v>v1</v>
      </c>
      <c r="D801" s="399" t="str">
        <f t="shared" ca="1" si="207"/>
        <v>07.04.00.02.</v>
      </c>
      <c r="E801" s="107">
        <f t="shared" si="204"/>
        <v>0</v>
      </c>
      <c r="F801" s="108">
        <f ca="1">OFFSET('Tabla III.3.'!$H$12,H801-1,I801-1)</f>
        <v>0</v>
      </c>
      <c r="G801" s="107" t="str">
        <f ca="1">OFFSET('Tabla III.3.'!$H$1,0,I801-1)</f>
        <v>11</v>
      </c>
      <c r="H801" s="110">
        <f t="shared" si="208"/>
        <v>12</v>
      </c>
      <c r="I801" s="110">
        <f t="shared" si="209"/>
        <v>11</v>
      </c>
      <c r="J801" s="110" t="str">
        <f ca="1">+'Tabla III.3.'!$C$9</f>
        <v>Tabla III.3.</v>
      </c>
      <c r="K801" s="110" t="str">
        <f t="shared" si="205"/>
        <v>A</v>
      </c>
      <c r="L801" s="107"/>
    </row>
    <row r="802" spans="1:12" s="103" customFormat="1">
      <c r="A802" s="107" t="s">
        <v>2944</v>
      </c>
      <c r="B802" s="107" t="str">
        <f t="shared" si="203"/>
        <v>202503</v>
      </c>
      <c r="C802" s="107" t="str">
        <f t="shared" ca="1" si="206"/>
        <v>v1</v>
      </c>
      <c r="D802" s="399" t="str">
        <f t="shared" ca="1" si="207"/>
        <v>07.04.00.02.</v>
      </c>
      <c r="E802" s="107">
        <f t="shared" si="204"/>
        <v>0</v>
      </c>
      <c r="F802" s="108">
        <f ca="1">OFFSET('Tabla III.3.'!$H$12,H802-1,I802-1)</f>
        <v>0</v>
      </c>
      <c r="G802" s="107" t="str">
        <f ca="1">OFFSET('Tabla III.3.'!$H$1,0,I802-1)</f>
        <v>12</v>
      </c>
      <c r="H802" s="110">
        <f t="shared" si="208"/>
        <v>12</v>
      </c>
      <c r="I802" s="110">
        <f t="shared" si="209"/>
        <v>12</v>
      </c>
      <c r="J802" s="110" t="str">
        <f ca="1">+'Tabla III.3.'!$C$9</f>
        <v>Tabla III.3.</v>
      </c>
      <c r="K802" s="110" t="str">
        <f t="shared" si="205"/>
        <v>A</v>
      </c>
      <c r="L802" s="107"/>
    </row>
    <row r="803" spans="1:12" s="103" customFormat="1">
      <c r="A803" s="412" t="s">
        <v>2944</v>
      </c>
      <c r="B803" s="412" t="str">
        <f t="shared" si="203"/>
        <v>202503</v>
      </c>
      <c r="C803" s="412" t="s">
        <v>2945</v>
      </c>
      <c r="D803" s="413" t="str">
        <f ca="1">OFFSET('Tabla III.3.'!$F$12,H803-1,0)</f>
        <v>07.99.</v>
      </c>
      <c r="E803" s="412">
        <f t="shared" si="204"/>
        <v>0</v>
      </c>
      <c r="F803" s="414">
        <f ca="1">OFFSET('Tabla III.3.'!$H$12,H803-1,I803-1)</f>
        <v>0</v>
      </c>
      <c r="G803" s="412" t="str">
        <f ca="1">OFFSET('Tabla III.3.'!$H$1,0,I803-1)</f>
        <v>01</v>
      </c>
      <c r="H803" s="111">
        <f>+H791+1</f>
        <v>13</v>
      </c>
      <c r="I803" s="111">
        <v>1</v>
      </c>
      <c r="J803" s="111" t="str">
        <f ca="1">+'Tabla III.3.'!$C$9</f>
        <v>Tabla III.3.</v>
      </c>
      <c r="K803" s="111" t="s">
        <v>2266</v>
      </c>
      <c r="L803" s="412">
        <f>+L791+1</f>
        <v>13</v>
      </c>
    </row>
    <row r="804" spans="1:12" s="103" customFormat="1">
      <c r="A804" s="412" t="s">
        <v>2944</v>
      </c>
      <c r="B804" s="412" t="str">
        <f t="shared" si="203"/>
        <v>202503</v>
      </c>
      <c r="C804" s="412" t="str">
        <f ca="1">IF(G804="01","v2","v1")</f>
        <v>v1</v>
      </c>
      <c r="D804" s="413" t="str">
        <f ca="1">+D803</f>
        <v>07.99.</v>
      </c>
      <c r="E804" s="412">
        <f t="shared" si="204"/>
        <v>0</v>
      </c>
      <c r="F804" s="414">
        <f ca="1">OFFSET('Tabla III.3.'!$H$12,H804-1,I804-1)</f>
        <v>0</v>
      </c>
      <c r="G804" s="412" t="str">
        <f ca="1">OFFSET('Tabla III.3.'!$H$1,0,I804-1)</f>
        <v>02</v>
      </c>
      <c r="H804" s="111">
        <f>+H803</f>
        <v>13</v>
      </c>
      <c r="I804" s="111">
        <f>+I803+1</f>
        <v>2</v>
      </c>
      <c r="J804" s="111" t="str">
        <f ca="1">+'Tabla III.3.'!$C$9</f>
        <v>Tabla III.3.</v>
      </c>
      <c r="K804" s="111" t="str">
        <f t="shared" ref="K804:K814" si="210">+K803</f>
        <v>A</v>
      </c>
      <c r="L804" s="412"/>
    </row>
    <row r="805" spans="1:12" s="103" customFormat="1">
      <c r="A805" s="412" t="s">
        <v>2944</v>
      </c>
      <c r="B805" s="412" t="str">
        <f t="shared" si="203"/>
        <v>202503</v>
      </c>
      <c r="C805" s="412" t="str">
        <f t="shared" ref="C805:C814" ca="1" si="211">IF(G805="01","v2","v1")</f>
        <v>v1</v>
      </c>
      <c r="D805" s="413" t="str">
        <f t="shared" ref="D805:D814" ca="1" si="212">+D804</f>
        <v>07.99.</v>
      </c>
      <c r="E805" s="412">
        <f t="shared" si="204"/>
        <v>0</v>
      </c>
      <c r="F805" s="414">
        <f ca="1">OFFSET('Tabla III.3.'!$H$12,H805-1,I805-1)</f>
        <v>0</v>
      </c>
      <c r="G805" s="412" t="str">
        <f ca="1">OFFSET('Tabla III.3.'!$H$1,0,I805-1)</f>
        <v>03</v>
      </c>
      <c r="H805" s="111">
        <f t="shared" ref="H805:H814" si="213">+H804</f>
        <v>13</v>
      </c>
      <c r="I805" s="111">
        <f t="shared" ref="I805:I814" si="214">+I804+1</f>
        <v>3</v>
      </c>
      <c r="J805" s="111" t="str">
        <f ca="1">+'Tabla III.3.'!$C$9</f>
        <v>Tabla III.3.</v>
      </c>
      <c r="K805" s="111" t="str">
        <f t="shared" si="210"/>
        <v>A</v>
      </c>
      <c r="L805" s="412"/>
    </row>
    <row r="806" spans="1:12" s="103" customFormat="1">
      <c r="A806" s="412" t="s">
        <v>2944</v>
      </c>
      <c r="B806" s="412" t="str">
        <f t="shared" si="203"/>
        <v>202503</v>
      </c>
      <c r="C806" s="412" t="str">
        <f t="shared" ca="1" si="211"/>
        <v>v1</v>
      </c>
      <c r="D806" s="413" t="str">
        <f t="shared" ca="1" si="212"/>
        <v>07.99.</v>
      </c>
      <c r="E806" s="412">
        <f t="shared" si="204"/>
        <v>0</v>
      </c>
      <c r="F806" s="414">
        <f ca="1">OFFSET('Tabla III.3.'!$H$12,H806-1,I806-1)</f>
        <v>0</v>
      </c>
      <c r="G806" s="412" t="str">
        <f ca="1">OFFSET('Tabla III.3.'!$H$1,0,I806-1)</f>
        <v>04</v>
      </c>
      <c r="H806" s="111">
        <f t="shared" si="213"/>
        <v>13</v>
      </c>
      <c r="I806" s="111">
        <f t="shared" si="214"/>
        <v>4</v>
      </c>
      <c r="J806" s="111" t="str">
        <f ca="1">+'Tabla III.3.'!$C$9</f>
        <v>Tabla III.3.</v>
      </c>
      <c r="K806" s="111" t="str">
        <f t="shared" si="210"/>
        <v>A</v>
      </c>
      <c r="L806" s="412"/>
    </row>
    <row r="807" spans="1:12" s="103" customFormat="1">
      <c r="A807" s="412" t="s">
        <v>2944</v>
      </c>
      <c r="B807" s="412" t="str">
        <f t="shared" si="203"/>
        <v>202503</v>
      </c>
      <c r="C807" s="412" t="str">
        <f t="shared" ca="1" si="211"/>
        <v>v1</v>
      </c>
      <c r="D807" s="413" t="str">
        <f t="shared" ca="1" si="212"/>
        <v>07.99.</v>
      </c>
      <c r="E807" s="412">
        <f t="shared" si="204"/>
        <v>0</v>
      </c>
      <c r="F807" s="414">
        <f ca="1">OFFSET('Tabla III.3.'!$H$12,H807-1,I807-1)</f>
        <v>0</v>
      </c>
      <c r="G807" s="412" t="str">
        <f ca="1">OFFSET('Tabla III.3.'!$H$1,0,I807-1)</f>
        <v>05</v>
      </c>
      <c r="H807" s="111">
        <f t="shared" si="213"/>
        <v>13</v>
      </c>
      <c r="I807" s="111">
        <f t="shared" si="214"/>
        <v>5</v>
      </c>
      <c r="J807" s="111" t="str">
        <f ca="1">+'Tabla III.3.'!$C$9</f>
        <v>Tabla III.3.</v>
      </c>
      <c r="K807" s="111" t="str">
        <f t="shared" si="210"/>
        <v>A</v>
      </c>
      <c r="L807" s="412"/>
    </row>
    <row r="808" spans="1:12" s="103" customFormat="1">
      <c r="A808" s="412" t="s">
        <v>2944</v>
      </c>
      <c r="B808" s="412" t="str">
        <f t="shared" si="203"/>
        <v>202503</v>
      </c>
      <c r="C808" s="412" t="str">
        <f t="shared" ca="1" si="211"/>
        <v>v1</v>
      </c>
      <c r="D808" s="413" t="str">
        <f t="shared" ca="1" si="212"/>
        <v>07.99.</v>
      </c>
      <c r="E808" s="412">
        <f t="shared" si="204"/>
        <v>0</v>
      </c>
      <c r="F808" s="414">
        <f ca="1">OFFSET('Tabla III.3.'!$H$12,H808-1,I808-1)</f>
        <v>0</v>
      </c>
      <c r="G808" s="412" t="str">
        <f ca="1">OFFSET('Tabla III.3.'!$H$1,0,I808-1)</f>
        <v>06</v>
      </c>
      <c r="H808" s="111">
        <f t="shared" si="213"/>
        <v>13</v>
      </c>
      <c r="I808" s="111">
        <f t="shared" si="214"/>
        <v>6</v>
      </c>
      <c r="J808" s="111" t="str">
        <f ca="1">+'Tabla III.3.'!$C$9</f>
        <v>Tabla III.3.</v>
      </c>
      <c r="K808" s="111" t="str">
        <f t="shared" si="210"/>
        <v>A</v>
      </c>
      <c r="L808" s="412"/>
    </row>
    <row r="809" spans="1:12" s="103" customFormat="1">
      <c r="A809" s="412" t="s">
        <v>2944</v>
      </c>
      <c r="B809" s="412" t="str">
        <f t="shared" si="203"/>
        <v>202503</v>
      </c>
      <c r="C809" s="412" t="str">
        <f t="shared" ca="1" si="211"/>
        <v>v1</v>
      </c>
      <c r="D809" s="413" t="str">
        <f t="shared" ca="1" si="212"/>
        <v>07.99.</v>
      </c>
      <c r="E809" s="412">
        <f t="shared" si="204"/>
        <v>0</v>
      </c>
      <c r="F809" s="414">
        <f ca="1">OFFSET('Tabla III.3.'!$H$12,H809-1,I809-1)</f>
        <v>0</v>
      </c>
      <c r="G809" s="412" t="str">
        <f ca="1">OFFSET('Tabla III.3.'!$H$1,0,I809-1)</f>
        <v>07</v>
      </c>
      <c r="H809" s="111">
        <f t="shared" si="213"/>
        <v>13</v>
      </c>
      <c r="I809" s="111">
        <f t="shared" si="214"/>
        <v>7</v>
      </c>
      <c r="J809" s="111" t="str">
        <f ca="1">+'Tabla III.3.'!$C$9</f>
        <v>Tabla III.3.</v>
      </c>
      <c r="K809" s="111" t="str">
        <f t="shared" si="210"/>
        <v>A</v>
      </c>
      <c r="L809" s="412"/>
    </row>
    <row r="810" spans="1:12" s="103" customFormat="1">
      <c r="A810" s="412" t="s">
        <v>2944</v>
      </c>
      <c r="B810" s="412" t="str">
        <f t="shared" si="203"/>
        <v>202503</v>
      </c>
      <c r="C810" s="412" t="str">
        <f t="shared" ca="1" si="211"/>
        <v>v1</v>
      </c>
      <c r="D810" s="413" t="str">
        <f t="shared" ca="1" si="212"/>
        <v>07.99.</v>
      </c>
      <c r="E810" s="412">
        <f t="shared" si="204"/>
        <v>0</v>
      </c>
      <c r="F810" s="414">
        <f ca="1">OFFSET('Tabla III.3.'!$H$12,H810-1,I810-1)</f>
        <v>0</v>
      </c>
      <c r="G810" s="412" t="str">
        <f ca="1">OFFSET('Tabla III.3.'!$H$1,0,I810-1)</f>
        <v>08</v>
      </c>
      <c r="H810" s="111">
        <f t="shared" si="213"/>
        <v>13</v>
      </c>
      <c r="I810" s="111">
        <f t="shared" si="214"/>
        <v>8</v>
      </c>
      <c r="J810" s="111" t="str">
        <f ca="1">+'Tabla III.3.'!$C$9</f>
        <v>Tabla III.3.</v>
      </c>
      <c r="K810" s="111" t="str">
        <f t="shared" si="210"/>
        <v>A</v>
      </c>
      <c r="L810" s="412"/>
    </row>
    <row r="811" spans="1:12" s="103" customFormat="1">
      <c r="A811" s="412" t="s">
        <v>2944</v>
      </c>
      <c r="B811" s="412" t="str">
        <f t="shared" si="203"/>
        <v>202503</v>
      </c>
      <c r="C811" s="412" t="str">
        <f t="shared" ca="1" si="211"/>
        <v>v1</v>
      </c>
      <c r="D811" s="413" t="str">
        <f t="shared" ca="1" si="212"/>
        <v>07.99.</v>
      </c>
      <c r="E811" s="412">
        <f t="shared" si="204"/>
        <v>0</v>
      </c>
      <c r="F811" s="414">
        <f ca="1">OFFSET('Tabla III.3.'!$H$12,H811-1,I811-1)</f>
        <v>0</v>
      </c>
      <c r="G811" s="412" t="str">
        <f ca="1">OFFSET('Tabla III.3.'!$H$1,0,I811-1)</f>
        <v>09</v>
      </c>
      <c r="H811" s="111">
        <f t="shared" si="213"/>
        <v>13</v>
      </c>
      <c r="I811" s="111">
        <f t="shared" si="214"/>
        <v>9</v>
      </c>
      <c r="J811" s="111" t="str">
        <f ca="1">+'Tabla III.3.'!$C$9</f>
        <v>Tabla III.3.</v>
      </c>
      <c r="K811" s="111" t="str">
        <f t="shared" si="210"/>
        <v>A</v>
      </c>
      <c r="L811" s="412"/>
    </row>
    <row r="812" spans="1:12" s="103" customFormat="1">
      <c r="A812" s="412" t="s">
        <v>2944</v>
      </c>
      <c r="B812" s="412" t="str">
        <f t="shared" si="203"/>
        <v>202503</v>
      </c>
      <c r="C812" s="412" t="str">
        <f t="shared" ca="1" si="211"/>
        <v>v1</v>
      </c>
      <c r="D812" s="413" t="str">
        <f t="shared" ca="1" si="212"/>
        <v>07.99.</v>
      </c>
      <c r="E812" s="412">
        <f t="shared" si="204"/>
        <v>0</v>
      </c>
      <c r="F812" s="414">
        <f ca="1">OFFSET('Tabla III.3.'!$H$12,H812-1,I812-1)</f>
        <v>0</v>
      </c>
      <c r="G812" s="412" t="str">
        <f ca="1">OFFSET('Tabla III.3.'!$H$1,0,I812-1)</f>
        <v>10</v>
      </c>
      <c r="H812" s="111">
        <f t="shared" si="213"/>
        <v>13</v>
      </c>
      <c r="I812" s="111">
        <f t="shared" si="214"/>
        <v>10</v>
      </c>
      <c r="J812" s="111" t="str">
        <f ca="1">+'Tabla III.3.'!$C$9</f>
        <v>Tabla III.3.</v>
      </c>
      <c r="K812" s="111" t="str">
        <f t="shared" si="210"/>
        <v>A</v>
      </c>
      <c r="L812" s="412"/>
    </row>
    <row r="813" spans="1:12" s="103" customFormat="1">
      <c r="A813" s="412" t="s">
        <v>2944</v>
      </c>
      <c r="B813" s="412" t="str">
        <f t="shared" si="203"/>
        <v>202503</v>
      </c>
      <c r="C813" s="412" t="str">
        <f t="shared" ca="1" si="211"/>
        <v>v1</v>
      </c>
      <c r="D813" s="413" t="str">
        <f t="shared" ca="1" si="212"/>
        <v>07.99.</v>
      </c>
      <c r="E813" s="412">
        <f t="shared" si="204"/>
        <v>0</v>
      </c>
      <c r="F813" s="414">
        <f ca="1">OFFSET('Tabla III.3.'!$H$12,H813-1,I813-1)</f>
        <v>0</v>
      </c>
      <c r="G813" s="412" t="str">
        <f ca="1">OFFSET('Tabla III.3.'!$H$1,0,I813-1)</f>
        <v>11</v>
      </c>
      <c r="H813" s="111">
        <f t="shared" si="213"/>
        <v>13</v>
      </c>
      <c r="I813" s="111">
        <f t="shared" si="214"/>
        <v>11</v>
      </c>
      <c r="J813" s="111" t="str">
        <f ca="1">+'Tabla III.3.'!$C$9</f>
        <v>Tabla III.3.</v>
      </c>
      <c r="K813" s="111" t="str">
        <f t="shared" si="210"/>
        <v>A</v>
      </c>
      <c r="L813" s="412"/>
    </row>
    <row r="814" spans="1:12" s="103" customFormat="1">
      <c r="A814" s="412" t="s">
        <v>2944</v>
      </c>
      <c r="B814" s="412" t="str">
        <f t="shared" si="203"/>
        <v>202503</v>
      </c>
      <c r="C814" s="412" t="str">
        <f t="shared" ca="1" si="211"/>
        <v>v1</v>
      </c>
      <c r="D814" s="413" t="str">
        <f t="shared" ca="1" si="212"/>
        <v>07.99.</v>
      </c>
      <c r="E814" s="412">
        <f t="shared" si="204"/>
        <v>0</v>
      </c>
      <c r="F814" s="414">
        <f ca="1">OFFSET('Tabla III.3.'!$H$12,H814-1,I814-1)</f>
        <v>0</v>
      </c>
      <c r="G814" s="412" t="str">
        <f ca="1">OFFSET('Tabla III.3.'!$H$1,0,I814-1)</f>
        <v>12</v>
      </c>
      <c r="H814" s="111">
        <f t="shared" si="213"/>
        <v>13</v>
      </c>
      <c r="I814" s="111">
        <f t="shared" si="214"/>
        <v>12</v>
      </c>
      <c r="J814" s="111" t="str">
        <f ca="1">+'Tabla III.3.'!$C$9</f>
        <v>Tabla III.3.</v>
      </c>
      <c r="K814" s="111" t="str">
        <f t="shared" si="210"/>
        <v>A</v>
      </c>
      <c r="L814" s="412"/>
    </row>
    <row r="815" spans="1:12" s="103" customFormat="1">
      <c r="A815" s="107" t="s">
        <v>2944</v>
      </c>
      <c r="B815" s="107" t="str">
        <f t="shared" si="203"/>
        <v>202503</v>
      </c>
      <c r="C815" s="107" t="s">
        <v>2945</v>
      </c>
      <c r="D815" s="399" t="str">
        <f ca="1">OFFSET('Tabla III.3.'!$F$37,H815-1,0)</f>
        <v>08.01.</v>
      </c>
      <c r="E815" s="107">
        <f t="shared" si="204"/>
        <v>0</v>
      </c>
      <c r="F815" s="108">
        <f ca="1">OFFSET('Tabla III.3.'!$H$37,H815-1,I815-1)</f>
        <v>0</v>
      </c>
      <c r="G815" s="107" t="str">
        <f ca="1">OFFSET('Tabla III.3.'!$H$1,0,I815-1)</f>
        <v>01</v>
      </c>
      <c r="H815" s="110">
        <v>1</v>
      </c>
      <c r="I815" s="110">
        <v>1</v>
      </c>
      <c r="J815" s="110" t="str">
        <f ca="1">+'Tabla III.3.'!$C$9</f>
        <v>Tabla III.3.</v>
      </c>
      <c r="K815" s="110" t="s">
        <v>2267</v>
      </c>
      <c r="L815" s="107">
        <v>1</v>
      </c>
    </row>
    <row r="816" spans="1:12" s="103" customFormat="1">
      <c r="A816" s="107" t="s">
        <v>2944</v>
      </c>
      <c r="B816" s="107" t="str">
        <f t="shared" si="203"/>
        <v>202503</v>
      </c>
      <c r="C816" s="107" t="str">
        <f ca="1">IF(G816="01","v2","v1")</f>
        <v>v1</v>
      </c>
      <c r="D816" s="399" t="str">
        <f ca="1">+D815</f>
        <v>08.01.</v>
      </c>
      <c r="E816" s="107">
        <f t="shared" si="204"/>
        <v>0</v>
      </c>
      <c r="F816" s="108">
        <f ca="1">OFFSET('Tabla III.3.'!$H$37,H816-1,I816-1)</f>
        <v>0</v>
      </c>
      <c r="G816" s="107" t="str">
        <f ca="1">OFFSET('Tabla III.3.'!$H$1,0,I816-1)</f>
        <v>02</v>
      </c>
      <c r="H816" s="110">
        <f>+H815</f>
        <v>1</v>
      </c>
      <c r="I816" s="110">
        <f>+I815+1</f>
        <v>2</v>
      </c>
      <c r="J816" s="110" t="str">
        <f ca="1">+'Tabla III.3.'!$C$9</f>
        <v>Tabla III.3.</v>
      </c>
      <c r="K816" s="110" t="str">
        <f t="shared" ref="K816:K826" si="215">+K815</f>
        <v>B</v>
      </c>
      <c r="L816" s="107"/>
    </row>
    <row r="817" spans="1:12" s="103" customFormat="1">
      <c r="A817" s="107" t="s">
        <v>2944</v>
      </c>
      <c r="B817" s="107" t="str">
        <f t="shared" si="203"/>
        <v>202503</v>
      </c>
      <c r="C817" s="107" t="str">
        <f t="shared" ref="C817:C826" ca="1" si="216">IF(G817="01","v2","v1")</f>
        <v>v1</v>
      </c>
      <c r="D817" s="399" t="str">
        <f t="shared" ref="D817:D826" ca="1" si="217">+D816</f>
        <v>08.01.</v>
      </c>
      <c r="E817" s="107">
        <f t="shared" si="204"/>
        <v>0</v>
      </c>
      <c r="F817" s="108">
        <f ca="1">OFFSET('Tabla III.3.'!$H$37,H817-1,I817-1)</f>
        <v>0</v>
      </c>
      <c r="G817" s="107" t="str">
        <f ca="1">OFFSET('Tabla III.3.'!$H$1,0,I817-1)</f>
        <v>03</v>
      </c>
      <c r="H817" s="110">
        <f t="shared" ref="H817:H826" si="218">+H816</f>
        <v>1</v>
      </c>
      <c r="I817" s="110">
        <f t="shared" ref="I817:I826" si="219">+I816+1</f>
        <v>3</v>
      </c>
      <c r="J817" s="110" t="str">
        <f ca="1">+'Tabla III.3.'!$C$9</f>
        <v>Tabla III.3.</v>
      </c>
      <c r="K817" s="110" t="str">
        <f t="shared" si="215"/>
        <v>B</v>
      </c>
      <c r="L817" s="107"/>
    </row>
    <row r="818" spans="1:12" s="103" customFormat="1">
      <c r="A818" s="107" t="s">
        <v>2944</v>
      </c>
      <c r="B818" s="107" t="str">
        <f t="shared" si="203"/>
        <v>202503</v>
      </c>
      <c r="C818" s="107" t="str">
        <f t="shared" ca="1" si="216"/>
        <v>v1</v>
      </c>
      <c r="D818" s="399" t="str">
        <f t="shared" ca="1" si="217"/>
        <v>08.01.</v>
      </c>
      <c r="E818" s="107">
        <f t="shared" si="204"/>
        <v>0</v>
      </c>
      <c r="F818" s="108">
        <f ca="1">OFFSET('Tabla III.3.'!$H$37,H818-1,I818-1)</f>
        <v>0</v>
      </c>
      <c r="G818" s="107" t="str">
        <f ca="1">OFFSET('Tabla III.3.'!$H$1,0,I818-1)</f>
        <v>04</v>
      </c>
      <c r="H818" s="110">
        <f t="shared" si="218"/>
        <v>1</v>
      </c>
      <c r="I818" s="110">
        <f t="shared" si="219"/>
        <v>4</v>
      </c>
      <c r="J818" s="110" t="str">
        <f ca="1">+'Tabla III.3.'!$C$9</f>
        <v>Tabla III.3.</v>
      </c>
      <c r="K818" s="110" t="str">
        <f t="shared" si="215"/>
        <v>B</v>
      </c>
      <c r="L818" s="107"/>
    </row>
    <row r="819" spans="1:12" s="103" customFormat="1">
      <c r="A819" s="107" t="s">
        <v>2944</v>
      </c>
      <c r="B819" s="107" t="str">
        <f t="shared" si="203"/>
        <v>202503</v>
      </c>
      <c r="C819" s="107" t="str">
        <f t="shared" ca="1" si="216"/>
        <v>v1</v>
      </c>
      <c r="D819" s="399" t="str">
        <f t="shared" ca="1" si="217"/>
        <v>08.01.</v>
      </c>
      <c r="E819" s="107">
        <f t="shared" si="204"/>
        <v>0</v>
      </c>
      <c r="F819" s="108">
        <f ca="1">OFFSET('Tabla III.3.'!$H$37,H819-1,I819-1)</f>
        <v>0</v>
      </c>
      <c r="G819" s="107" t="str">
        <f ca="1">OFFSET('Tabla III.3.'!$H$1,0,I819-1)</f>
        <v>05</v>
      </c>
      <c r="H819" s="110">
        <f t="shared" si="218"/>
        <v>1</v>
      </c>
      <c r="I819" s="110">
        <f t="shared" si="219"/>
        <v>5</v>
      </c>
      <c r="J819" s="110" t="str">
        <f ca="1">+'Tabla III.3.'!$C$9</f>
        <v>Tabla III.3.</v>
      </c>
      <c r="K819" s="110" t="str">
        <f t="shared" si="215"/>
        <v>B</v>
      </c>
      <c r="L819" s="107"/>
    </row>
    <row r="820" spans="1:12" s="103" customFormat="1">
      <c r="A820" s="107" t="s">
        <v>2944</v>
      </c>
      <c r="B820" s="107" t="str">
        <f t="shared" si="203"/>
        <v>202503</v>
      </c>
      <c r="C820" s="107" t="str">
        <f t="shared" ca="1" si="216"/>
        <v>v1</v>
      </c>
      <c r="D820" s="399" t="str">
        <f t="shared" ca="1" si="217"/>
        <v>08.01.</v>
      </c>
      <c r="E820" s="107">
        <f t="shared" si="204"/>
        <v>0</v>
      </c>
      <c r="F820" s="108">
        <f ca="1">OFFSET('Tabla III.3.'!$H$37,H820-1,I820-1)</f>
        <v>0</v>
      </c>
      <c r="G820" s="107" t="str">
        <f ca="1">OFFSET('Tabla III.3.'!$H$1,0,I820-1)</f>
        <v>06</v>
      </c>
      <c r="H820" s="110">
        <f t="shared" si="218"/>
        <v>1</v>
      </c>
      <c r="I820" s="110">
        <f t="shared" si="219"/>
        <v>6</v>
      </c>
      <c r="J820" s="110" t="str">
        <f ca="1">+'Tabla III.3.'!$C$9</f>
        <v>Tabla III.3.</v>
      </c>
      <c r="K820" s="110" t="str">
        <f t="shared" si="215"/>
        <v>B</v>
      </c>
      <c r="L820" s="107"/>
    </row>
    <row r="821" spans="1:12" s="103" customFormat="1">
      <c r="A821" s="107" t="s">
        <v>2944</v>
      </c>
      <c r="B821" s="107" t="str">
        <f t="shared" si="203"/>
        <v>202503</v>
      </c>
      <c r="C821" s="107" t="str">
        <f t="shared" ca="1" si="216"/>
        <v>v1</v>
      </c>
      <c r="D821" s="399" t="str">
        <f t="shared" ca="1" si="217"/>
        <v>08.01.</v>
      </c>
      <c r="E821" s="107">
        <f t="shared" si="204"/>
        <v>0</v>
      </c>
      <c r="F821" s="108">
        <f ca="1">OFFSET('Tabla III.3.'!$H$37,H821-1,I821-1)</f>
        <v>0</v>
      </c>
      <c r="G821" s="107" t="str">
        <f ca="1">OFFSET('Tabla III.3.'!$H$1,0,I821-1)</f>
        <v>07</v>
      </c>
      <c r="H821" s="110">
        <f t="shared" si="218"/>
        <v>1</v>
      </c>
      <c r="I821" s="110">
        <f t="shared" si="219"/>
        <v>7</v>
      </c>
      <c r="J821" s="110" t="str">
        <f ca="1">+'Tabla III.3.'!$C$9</f>
        <v>Tabla III.3.</v>
      </c>
      <c r="K821" s="110" t="str">
        <f t="shared" si="215"/>
        <v>B</v>
      </c>
      <c r="L821" s="107"/>
    </row>
    <row r="822" spans="1:12" s="103" customFormat="1">
      <c r="A822" s="107" t="s">
        <v>2944</v>
      </c>
      <c r="B822" s="107" t="str">
        <f t="shared" si="203"/>
        <v>202503</v>
      </c>
      <c r="C822" s="107" t="str">
        <f t="shared" ca="1" si="216"/>
        <v>v1</v>
      </c>
      <c r="D822" s="399" t="str">
        <f t="shared" ca="1" si="217"/>
        <v>08.01.</v>
      </c>
      <c r="E822" s="107">
        <f t="shared" si="204"/>
        <v>0</v>
      </c>
      <c r="F822" s="108">
        <f ca="1">OFFSET('Tabla III.3.'!$H$37,H822-1,I822-1)</f>
        <v>0</v>
      </c>
      <c r="G822" s="107" t="str">
        <f ca="1">OFFSET('Tabla III.3.'!$H$1,0,I822-1)</f>
        <v>08</v>
      </c>
      <c r="H822" s="110">
        <f t="shared" si="218"/>
        <v>1</v>
      </c>
      <c r="I822" s="110">
        <f t="shared" si="219"/>
        <v>8</v>
      </c>
      <c r="J822" s="110" t="str">
        <f ca="1">+'Tabla III.3.'!$C$9</f>
        <v>Tabla III.3.</v>
      </c>
      <c r="K822" s="110" t="str">
        <f t="shared" si="215"/>
        <v>B</v>
      </c>
      <c r="L822" s="107"/>
    </row>
    <row r="823" spans="1:12" s="103" customFormat="1">
      <c r="A823" s="107" t="s">
        <v>2944</v>
      </c>
      <c r="B823" s="107" t="str">
        <f t="shared" si="203"/>
        <v>202503</v>
      </c>
      <c r="C823" s="107" t="str">
        <f t="shared" ca="1" si="216"/>
        <v>v1</v>
      </c>
      <c r="D823" s="399" t="str">
        <f t="shared" ca="1" si="217"/>
        <v>08.01.</v>
      </c>
      <c r="E823" s="107">
        <f t="shared" si="204"/>
        <v>0</v>
      </c>
      <c r="F823" s="108">
        <f ca="1">OFFSET('Tabla III.3.'!$H$37,H823-1,I823-1)</f>
        <v>0</v>
      </c>
      <c r="G823" s="107" t="str">
        <f ca="1">OFFSET('Tabla III.3.'!$H$1,0,I823-1)</f>
        <v>09</v>
      </c>
      <c r="H823" s="110">
        <f t="shared" si="218"/>
        <v>1</v>
      </c>
      <c r="I823" s="110">
        <f t="shared" si="219"/>
        <v>9</v>
      </c>
      <c r="J823" s="110" t="str">
        <f ca="1">+'Tabla III.3.'!$C$9</f>
        <v>Tabla III.3.</v>
      </c>
      <c r="K823" s="110" t="str">
        <f t="shared" si="215"/>
        <v>B</v>
      </c>
      <c r="L823" s="107"/>
    </row>
    <row r="824" spans="1:12" s="103" customFormat="1">
      <c r="A824" s="107" t="s">
        <v>2944</v>
      </c>
      <c r="B824" s="107" t="str">
        <f t="shared" si="203"/>
        <v>202503</v>
      </c>
      <c r="C824" s="107" t="str">
        <f t="shared" ca="1" si="216"/>
        <v>v1</v>
      </c>
      <c r="D824" s="399" t="str">
        <f t="shared" ca="1" si="217"/>
        <v>08.01.</v>
      </c>
      <c r="E824" s="107">
        <f t="shared" si="204"/>
        <v>0</v>
      </c>
      <c r="F824" s="108">
        <f ca="1">OFFSET('Tabla III.3.'!$H$37,H824-1,I824-1)</f>
        <v>0</v>
      </c>
      <c r="G824" s="107" t="str">
        <f ca="1">OFFSET('Tabla III.3.'!$H$1,0,I824-1)</f>
        <v>10</v>
      </c>
      <c r="H824" s="110">
        <f t="shared" si="218"/>
        <v>1</v>
      </c>
      <c r="I824" s="110">
        <f t="shared" si="219"/>
        <v>10</v>
      </c>
      <c r="J824" s="110" t="str">
        <f ca="1">+'Tabla III.3.'!$C$9</f>
        <v>Tabla III.3.</v>
      </c>
      <c r="K824" s="110" t="str">
        <f t="shared" si="215"/>
        <v>B</v>
      </c>
      <c r="L824" s="107"/>
    </row>
    <row r="825" spans="1:12" s="103" customFormat="1">
      <c r="A825" s="107" t="s">
        <v>2944</v>
      </c>
      <c r="B825" s="107" t="str">
        <f t="shared" si="203"/>
        <v>202503</v>
      </c>
      <c r="C825" s="107" t="str">
        <f t="shared" ca="1" si="216"/>
        <v>v1</v>
      </c>
      <c r="D825" s="399" t="str">
        <f t="shared" ca="1" si="217"/>
        <v>08.01.</v>
      </c>
      <c r="E825" s="107">
        <f t="shared" si="204"/>
        <v>0</v>
      </c>
      <c r="F825" s="108">
        <f ca="1">OFFSET('Tabla III.3.'!$H$37,H825-1,I825-1)</f>
        <v>0</v>
      </c>
      <c r="G825" s="107" t="str">
        <f ca="1">OFFSET('Tabla III.3.'!$H$1,0,I825-1)</f>
        <v>11</v>
      </c>
      <c r="H825" s="110">
        <f t="shared" si="218"/>
        <v>1</v>
      </c>
      <c r="I825" s="110">
        <f t="shared" si="219"/>
        <v>11</v>
      </c>
      <c r="J825" s="110" t="str">
        <f ca="1">+'Tabla III.3.'!$C$9</f>
        <v>Tabla III.3.</v>
      </c>
      <c r="K825" s="110" t="str">
        <f t="shared" si="215"/>
        <v>B</v>
      </c>
      <c r="L825" s="107"/>
    </row>
    <row r="826" spans="1:12" s="103" customFormat="1">
      <c r="A826" s="107" t="s">
        <v>2944</v>
      </c>
      <c r="B826" s="107" t="str">
        <f t="shared" si="203"/>
        <v>202503</v>
      </c>
      <c r="C826" s="107" t="str">
        <f t="shared" ca="1" si="216"/>
        <v>v1</v>
      </c>
      <c r="D826" s="399" t="str">
        <f t="shared" ca="1" si="217"/>
        <v>08.01.</v>
      </c>
      <c r="E826" s="107">
        <f t="shared" si="204"/>
        <v>0</v>
      </c>
      <c r="F826" s="108">
        <f ca="1">OFFSET('Tabla III.3.'!$H$37,H826-1,I826-1)</f>
        <v>0</v>
      </c>
      <c r="G826" s="107" t="str">
        <f ca="1">OFFSET('Tabla III.3.'!$H$1,0,I826-1)</f>
        <v>12</v>
      </c>
      <c r="H826" s="110">
        <f t="shared" si="218"/>
        <v>1</v>
      </c>
      <c r="I826" s="110">
        <f t="shared" si="219"/>
        <v>12</v>
      </c>
      <c r="J826" s="110" t="str">
        <f ca="1">+'Tabla III.3.'!$C$9</f>
        <v>Tabla III.3.</v>
      </c>
      <c r="K826" s="110" t="str">
        <f t="shared" si="215"/>
        <v>B</v>
      </c>
      <c r="L826" s="107"/>
    </row>
    <row r="827" spans="1:12" s="415" customFormat="1">
      <c r="A827" s="412" t="s">
        <v>2944</v>
      </c>
      <c r="B827" s="412" t="str">
        <f t="shared" si="203"/>
        <v>202503</v>
      </c>
      <c r="C827" s="412" t="s">
        <v>2945</v>
      </c>
      <c r="D827" s="413" t="str">
        <f ca="1">OFFSET('Tabla III.3.'!$F$37,H827-1,0)</f>
        <v>08.01.01.</v>
      </c>
      <c r="E827" s="412">
        <f t="shared" si="204"/>
        <v>0</v>
      </c>
      <c r="F827" s="414">
        <f ca="1">OFFSET('Tabla III.3.'!$H$37,H827-1,I827-1)</f>
        <v>0</v>
      </c>
      <c r="G827" s="412" t="str">
        <f ca="1">OFFSET('Tabla III.3.'!$H$1,0,I827-1)</f>
        <v>01</v>
      </c>
      <c r="H827" s="111">
        <f>+H815+1</f>
        <v>2</v>
      </c>
      <c r="I827" s="111">
        <v>1</v>
      </c>
      <c r="J827" s="111" t="str">
        <f ca="1">+'Tabla III.3.'!$C$9</f>
        <v>Tabla III.3.</v>
      </c>
      <c r="K827" s="111" t="s">
        <v>2267</v>
      </c>
      <c r="L827" s="412">
        <f>+L815+1</f>
        <v>2</v>
      </c>
    </row>
    <row r="828" spans="1:12" s="415" customFormat="1">
      <c r="A828" s="412" t="s">
        <v>2944</v>
      </c>
      <c r="B828" s="412" t="str">
        <f t="shared" si="203"/>
        <v>202503</v>
      </c>
      <c r="C828" s="412" t="str">
        <f ca="1">IF(G828="01","v2","v1")</f>
        <v>v1</v>
      </c>
      <c r="D828" s="413" t="str">
        <f ca="1">+D827</f>
        <v>08.01.01.</v>
      </c>
      <c r="E828" s="412">
        <f t="shared" si="204"/>
        <v>0</v>
      </c>
      <c r="F828" s="414">
        <f ca="1">OFFSET('Tabla III.3.'!$H$37,H828-1,I828-1)</f>
        <v>0</v>
      </c>
      <c r="G828" s="412" t="str">
        <f ca="1">OFFSET('Tabla III.3.'!$H$1,0,I828-1)</f>
        <v>02</v>
      </c>
      <c r="H828" s="111">
        <f>+H827</f>
        <v>2</v>
      </c>
      <c r="I828" s="111">
        <f>+I827+1</f>
        <v>2</v>
      </c>
      <c r="J828" s="111" t="str">
        <f ca="1">+'Tabla III.3.'!$C$9</f>
        <v>Tabla III.3.</v>
      </c>
      <c r="K828" s="111" t="str">
        <f t="shared" ref="K828:K838" si="220">+K827</f>
        <v>B</v>
      </c>
      <c r="L828" s="412"/>
    </row>
    <row r="829" spans="1:12" s="415" customFormat="1">
      <c r="A829" s="412" t="s">
        <v>2944</v>
      </c>
      <c r="B829" s="412" t="str">
        <f t="shared" si="203"/>
        <v>202503</v>
      </c>
      <c r="C829" s="412" t="str">
        <f t="shared" ref="C829:C838" ca="1" si="221">IF(G829="01","v2","v1")</f>
        <v>v1</v>
      </c>
      <c r="D829" s="413" t="str">
        <f t="shared" ref="D829:D838" ca="1" si="222">+D828</f>
        <v>08.01.01.</v>
      </c>
      <c r="E829" s="412">
        <f t="shared" si="204"/>
        <v>0</v>
      </c>
      <c r="F829" s="414">
        <f ca="1">OFFSET('Tabla III.3.'!$H$37,H829-1,I829-1)</f>
        <v>0</v>
      </c>
      <c r="G829" s="412" t="str">
        <f ca="1">OFFSET('Tabla III.3.'!$H$1,0,I829-1)</f>
        <v>03</v>
      </c>
      <c r="H829" s="111">
        <f t="shared" ref="H829:H838" si="223">+H828</f>
        <v>2</v>
      </c>
      <c r="I829" s="111">
        <f t="shared" ref="I829:I838" si="224">+I828+1</f>
        <v>3</v>
      </c>
      <c r="J829" s="111" t="str">
        <f ca="1">+'Tabla III.3.'!$C$9</f>
        <v>Tabla III.3.</v>
      </c>
      <c r="K829" s="111" t="str">
        <f t="shared" si="220"/>
        <v>B</v>
      </c>
      <c r="L829" s="412"/>
    </row>
    <row r="830" spans="1:12" s="415" customFormat="1">
      <c r="A830" s="412" t="s">
        <v>2944</v>
      </c>
      <c r="B830" s="412" t="str">
        <f t="shared" si="203"/>
        <v>202503</v>
      </c>
      <c r="C830" s="412" t="str">
        <f t="shared" ca="1" si="221"/>
        <v>v1</v>
      </c>
      <c r="D830" s="413" t="str">
        <f t="shared" ca="1" si="222"/>
        <v>08.01.01.</v>
      </c>
      <c r="E830" s="412">
        <f t="shared" si="204"/>
        <v>0</v>
      </c>
      <c r="F830" s="414">
        <f ca="1">OFFSET('Tabla III.3.'!$H$37,H830-1,I830-1)</f>
        <v>0</v>
      </c>
      <c r="G830" s="412" t="str">
        <f ca="1">OFFSET('Tabla III.3.'!$H$1,0,I830-1)</f>
        <v>04</v>
      </c>
      <c r="H830" s="111">
        <f t="shared" si="223"/>
        <v>2</v>
      </c>
      <c r="I830" s="111">
        <f t="shared" si="224"/>
        <v>4</v>
      </c>
      <c r="J830" s="111" t="str">
        <f ca="1">+'Tabla III.3.'!$C$9</f>
        <v>Tabla III.3.</v>
      </c>
      <c r="K830" s="111" t="str">
        <f t="shared" si="220"/>
        <v>B</v>
      </c>
      <c r="L830" s="412"/>
    </row>
    <row r="831" spans="1:12" s="415" customFormat="1">
      <c r="A831" s="412" t="s">
        <v>2944</v>
      </c>
      <c r="B831" s="412" t="str">
        <f t="shared" si="203"/>
        <v>202503</v>
      </c>
      <c r="C831" s="412" t="str">
        <f t="shared" ca="1" si="221"/>
        <v>v1</v>
      </c>
      <c r="D831" s="413" t="str">
        <f t="shared" ca="1" si="222"/>
        <v>08.01.01.</v>
      </c>
      <c r="E831" s="412">
        <f t="shared" si="204"/>
        <v>0</v>
      </c>
      <c r="F831" s="414">
        <f ca="1">OFFSET('Tabla III.3.'!$H$37,H831-1,I831-1)</f>
        <v>0</v>
      </c>
      <c r="G831" s="412" t="str">
        <f ca="1">OFFSET('Tabla III.3.'!$H$1,0,I831-1)</f>
        <v>05</v>
      </c>
      <c r="H831" s="111">
        <f t="shared" si="223"/>
        <v>2</v>
      </c>
      <c r="I831" s="111">
        <f t="shared" si="224"/>
        <v>5</v>
      </c>
      <c r="J831" s="111" t="str">
        <f ca="1">+'Tabla III.3.'!$C$9</f>
        <v>Tabla III.3.</v>
      </c>
      <c r="K831" s="111" t="str">
        <f t="shared" si="220"/>
        <v>B</v>
      </c>
      <c r="L831" s="412"/>
    </row>
    <row r="832" spans="1:12" s="415" customFormat="1">
      <c r="A832" s="412" t="s">
        <v>2944</v>
      </c>
      <c r="B832" s="412" t="str">
        <f t="shared" si="203"/>
        <v>202503</v>
      </c>
      <c r="C832" s="412" t="str">
        <f t="shared" ca="1" si="221"/>
        <v>v1</v>
      </c>
      <c r="D832" s="413" t="str">
        <f t="shared" ca="1" si="222"/>
        <v>08.01.01.</v>
      </c>
      <c r="E832" s="412">
        <f t="shared" si="204"/>
        <v>0</v>
      </c>
      <c r="F832" s="414">
        <f ca="1">OFFSET('Tabla III.3.'!$H$37,H832-1,I832-1)</f>
        <v>0</v>
      </c>
      <c r="G832" s="412" t="str">
        <f ca="1">OFFSET('Tabla III.3.'!$H$1,0,I832-1)</f>
        <v>06</v>
      </c>
      <c r="H832" s="111">
        <f t="shared" si="223"/>
        <v>2</v>
      </c>
      <c r="I832" s="111">
        <f t="shared" si="224"/>
        <v>6</v>
      </c>
      <c r="J832" s="111" t="str">
        <f ca="1">+'Tabla III.3.'!$C$9</f>
        <v>Tabla III.3.</v>
      </c>
      <c r="K832" s="111" t="str">
        <f t="shared" si="220"/>
        <v>B</v>
      </c>
      <c r="L832" s="412"/>
    </row>
    <row r="833" spans="1:12" s="415" customFormat="1">
      <c r="A833" s="412" t="s">
        <v>2944</v>
      </c>
      <c r="B833" s="412" t="str">
        <f t="shared" si="203"/>
        <v>202503</v>
      </c>
      <c r="C833" s="412" t="str">
        <f t="shared" ca="1" si="221"/>
        <v>v1</v>
      </c>
      <c r="D833" s="413" t="str">
        <f t="shared" ca="1" si="222"/>
        <v>08.01.01.</v>
      </c>
      <c r="E833" s="412">
        <f t="shared" si="204"/>
        <v>0</v>
      </c>
      <c r="F833" s="414">
        <f ca="1">OFFSET('Tabla III.3.'!$H$37,H833-1,I833-1)</f>
        <v>0</v>
      </c>
      <c r="G833" s="412" t="str">
        <f ca="1">OFFSET('Tabla III.3.'!$H$1,0,I833-1)</f>
        <v>07</v>
      </c>
      <c r="H833" s="111">
        <f t="shared" si="223"/>
        <v>2</v>
      </c>
      <c r="I833" s="111">
        <f t="shared" si="224"/>
        <v>7</v>
      </c>
      <c r="J833" s="111" t="str">
        <f ca="1">+'Tabla III.3.'!$C$9</f>
        <v>Tabla III.3.</v>
      </c>
      <c r="K833" s="111" t="str">
        <f t="shared" si="220"/>
        <v>B</v>
      </c>
      <c r="L833" s="412"/>
    </row>
    <row r="834" spans="1:12" s="415" customFormat="1">
      <c r="A834" s="412" t="s">
        <v>2944</v>
      </c>
      <c r="B834" s="412" t="str">
        <f t="shared" si="203"/>
        <v>202503</v>
      </c>
      <c r="C834" s="412" t="str">
        <f t="shared" ca="1" si="221"/>
        <v>v1</v>
      </c>
      <c r="D834" s="413" t="str">
        <f t="shared" ca="1" si="222"/>
        <v>08.01.01.</v>
      </c>
      <c r="E834" s="412">
        <f t="shared" si="204"/>
        <v>0</v>
      </c>
      <c r="F834" s="414">
        <f ca="1">OFFSET('Tabla III.3.'!$H$37,H834-1,I834-1)</f>
        <v>0</v>
      </c>
      <c r="G834" s="412" t="str">
        <f ca="1">OFFSET('Tabla III.3.'!$H$1,0,I834-1)</f>
        <v>08</v>
      </c>
      <c r="H834" s="111">
        <f t="shared" si="223"/>
        <v>2</v>
      </c>
      <c r="I834" s="111">
        <f t="shared" si="224"/>
        <v>8</v>
      </c>
      <c r="J834" s="111" t="str">
        <f ca="1">+'Tabla III.3.'!$C$9</f>
        <v>Tabla III.3.</v>
      </c>
      <c r="K834" s="111" t="str">
        <f t="shared" si="220"/>
        <v>B</v>
      </c>
      <c r="L834" s="412"/>
    </row>
    <row r="835" spans="1:12" s="415" customFormat="1">
      <c r="A835" s="412" t="s">
        <v>2944</v>
      </c>
      <c r="B835" s="412" t="str">
        <f t="shared" si="203"/>
        <v>202503</v>
      </c>
      <c r="C835" s="412" t="str">
        <f t="shared" ca="1" si="221"/>
        <v>v1</v>
      </c>
      <c r="D835" s="413" t="str">
        <f t="shared" ca="1" si="222"/>
        <v>08.01.01.</v>
      </c>
      <c r="E835" s="412">
        <f t="shared" si="204"/>
        <v>0</v>
      </c>
      <c r="F835" s="414">
        <f ca="1">OFFSET('Tabla III.3.'!$H$37,H835-1,I835-1)</f>
        <v>0</v>
      </c>
      <c r="G835" s="412" t="str">
        <f ca="1">OFFSET('Tabla III.3.'!$H$1,0,I835-1)</f>
        <v>09</v>
      </c>
      <c r="H835" s="111">
        <f t="shared" si="223"/>
        <v>2</v>
      </c>
      <c r="I835" s="111">
        <f t="shared" si="224"/>
        <v>9</v>
      </c>
      <c r="J835" s="111" t="str">
        <f ca="1">+'Tabla III.3.'!$C$9</f>
        <v>Tabla III.3.</v>
      </c>
      <c r="K835" s="111" t="str">
        <f t="shared" si="220"/>
        <v>B</v>
      </c>
      <c r="L835" s="412"/>
    </row>
    <row r="836" spans="1:12" s="415" customFormat="1">
      <c r="A836" s="412" t="s">
        <v>2944</v>
      </c>
      <c r="B836" s="412" t="str">
        <f t="shared" si="203"/>
        <v>202503</v>
      </c>
      <c r="C836" s="412" t="str">
        <f t="shared" ca="1" si="221"/>
        <v>v1</v>
      </c>
      <c r="D836" s="413" t="str">
        <f t="shared" ca="1" si="222"/>
        <v>08.01.01.</v>
      </c>
      <c r="E836" s="412">
        <f t="shared" si="204"/>
        <v>0</v>
      </c>
      <c r="F836" s="414">
        <f ca="1">OFFSET('Tabla III.3.'!$H$37,H836-1,I836-1)</f>
        <v>0</v>
      </c>
      <c r="G836" s="412" t="str">
        <f ca="1">OFFSET('Tabla III.3.'!$H$1,0,I836-1)</f>
        <v>10</v>
      </c>
      <c r="H836" s="111">
        <f t="shared" si="223"/>
        <v>2</v>
      </c>
      <c r="I836" s="111">
        <f t="shared" si="224"/>
        <v>10</v>
      </c>
      <c r="J836" s="111" t="str">
        <f ca="1">+'Tabla III.3.'!$C$9</f>
        <v>Tabla III.3.</v>
      </c>
      <c r="K836" s="111" t="str">
        <f t="shared" si="220"/>
        <v>B</v>
      </c>
      <c r="L836" s="412"/>
    </row>
    <row r="837" spans="1:12" s="415" customFormat="1">
      <c r="A837" s="412" t="s">
        <v>2944</v>
      </c>
      <c r="B837" s="412" t="str">
        <f t="shared" si="203"/>
        <v>202503</v>
      </c>
      <c r="C837" s="412" t="str">
        <f t="shared" ca="1" si="221"/>
        <v>v1</v>
      </c>
      <c r="D837" s="413" t="str">
        <f t="shared" ca="1" si="222"/>
        <v>08.01.01.</v>
      </c>
      <c r="E837" s="412">
        <f t="shared" si="204"/>
        <v>0</v>
      </c>
      <c r="F837" s="414">
        <f ca="1">OFFSET('Tabla III.3.'!$H$37,H837-1,I837-1)</f>
        <v>0</v>
      </c>
      <c r="G837" s="412" t="str">
        <f ca="1">OFFSET('Tabla III.3.'!$H$1,0,I837-1)</f>
        <v>11</v>
      </c>
      <c r="H837" s="111">
        <f t="shared" si="223"/>
        <v>2</v>
      </c>
      <c r="I837" s="111">
        <f t="shared" si="224"/>
        <v>11</v>
      </c>
      <c r="J837" s="111" t="str">
        <f ca="1">+'Tabla III.3.'!$C$9</f>
        <v>Tabla III.3.</v>
      </c>
      <c r="K837" s="111" t="str">
        <f t="shared" si="220"/>
        <v>B</v>
      </c>
      <c r="L837" s="412"/>
    </row>
    <row r="838" spans="1:12" s="415" customFormat="1">
      <c r="A838" s="412" t="s">
        <v>2944</v>
      </c>
      <c r="B838" s="412" t="str">
        <f t="shared" si="203"/>
        <v>202503</v>
      </c>
      <c r="C838" s="412" t="str">
        <f t="shared" ca="1" si="221"/>
        <v>v1</v>
      </c>
      <c r="D838" s="413" t="str">
        <f t="shared" ca="1" si="222"/>
        <v>08.01.01.</v>
      </c>
      <c r="E838" s="412">
        <f t="shared" si="204"/>
        <v>0</v>
      </c>
      <c r="F838" s="414">
        <f ca="1">OFFSET('Tabla III.3.'!$H$37,H838-1,I838-1)</f>
        <v>0</v>
      </c>
      <c r="G838" s="412" t="str">
        <f ca="1">OFFSET('Tabla III.3.'!$H$1,0,I838-1)</f>
        <v>12</v>
      </c>
      <c r="H838" s="111">
        <f t="shared" si="223"/>
        <v>2</v>
      </c>
      <c r="I838" s="111">
        <f t="shared" si="224"/>
        <v>12</v>
      </c>
      <c r="J838" s="111" t="str">
        <f ca="1">+'Tabla III.3.'!$C$9</f>
        <v>Tabla III.3.</v>
      </c>
      <c r="K838" s="111" t="str">
        <f t="shared" si="220"/>
        <v>B</v>
      </c>
      <c r="L838" s="412"/>
    </row>
    <row r="839" spans="1:12" s="103" customFormat="1">
      <c r="A839" s="107" t="s">
        <v>2944</v>
      </c>
      <c r="B839" s="107" t="str">
        <f t="shared" si="203"/>
        <v>202503</v>
      </c>
      <c r="C839" s="107" t="s">
        <v>2945</v>
      </c>
      <c r="D839" s="399" t="str">
        <f ca="1">OFFSET('Tabla III.3.'!$F$37,H839-1,0)</f>
        <v>08.01.01.01.</v>
      </c>
      <c r="E839" s="107">
        <f t="shared" si="204"/>
        <v>0</v>
      </c>
      <c r="F839" s="108">
        <f ca="1">OFFSET('Tabla III.3.'!$H$37,H839-1,I839-1)</f>
        <v>0</v>
      </c>
      <c r="G839" s="107" t="str">
        <f ca="1">OFFSET('Tabla III.3.'!$H$1,0,I839-1)</f>
        <v>01</v>
      </c>
      <c r="H839" s="110">
        <f>+H827+1</f>
        <v>3</v>
      </c>
      <c r="I839" s="110">
        <v>1</v>
      </c>
      <c r="J839" s="110" t="str">
        <f ca="1">+'Tabla III.3.'!$C$9</f>
        <v>Tabla III.3.</v>
      </c>
      <c r="K839" s="110" t="s">
        <v>2267</v>
      </c>
      <c r="L839" s="107">
        <f>+L827+1</f>
        <v>3</v>
      </c>
    </row>
    <row r="840" spans="1:12" s="103" customFormat="1">
      <c r="A840" s="107" t="s">
        <v>2944</v>
      </c>
      <c r="B840" s="107" t="str">
        <f t="shared" si="203"/>
        <v>202503</v>
      </c>
      <c r="C840" s="107" t="str">
        <f ca="1">IF(G840="01","v2","v1")</f>
        <v>v1</v>
      </c>
      <c r="D840" s="399" t="str">
        <f ca="1">+D839</f>
        <v>08.01.01.01.</v>
      </c>
      <c r="E840" s="107">
        <f t="shared" si="204"/>
        <v>0</v>
      </c>
      <c r="F840" s="108">
        <f ca="1">OFFSET('Tabla III.3.'!$H$37,H840-1,I840-1)</f>
        <v>0</v>
      </c>
      <c r="G840" s="107" t="str">
        <f ca="1">OFFSET('Tabla III.3.'!$H$1,0,I840-1)</f>
        <v>02</v>
      </c>
      <c r="H840" s="110">
        <f>+H839</f>
        <v>3</v>
      </c>
      <c r="I840" s="110">
        <f>+I839+1</f>
        <v>2</v>
      </c>
      <c r="J840" s="110" t="str">
        <f ca="1">+'Tabla III.3.'!$C$9</f>
        <v>Tabla III.3.</v>
      </c>
      <c r="K840" s="110" t="str">
        <f t="shared" ref="K840:K850" si="225">+K839</f>
        <v>B</v>
      </c>
      <c r="L840" s="107"/>
    </row>
    <row r="841" spans="1:12" s="103" customFormat="1">
      <c r="A841" s="107" t="s">
        <v>2944</v>
      </c>
      <c r="B841" s="107" t="str">
        <f t="shared" si="203"/>
        <v>202503</v>
      </c>
      <c r="C841" s="107" t="str">
        <f t="shared" ref="C841:C850" ca="1" si="226">IF(G841="01","v2","v1")</f>
        <v>v1</v>
      </c>
      <c r="D841" s="399" t="str">
        <f t="shared" ref="D841:D850" ca="1" si="227">+D840</f>
        <v>08.01.01.01.</v>
      </c>
      <c r="E841" s="107">
        <f t="shared" si="204"/>
        <v>0</v>
      </c>
      <c r="F841" s="108">
        <f ca="1">OFFSET('Tabla III.3.'!$H$37,H841-1,I841-1)</f>
        <v>0</v>
      </c>
      <c r="G841" s="107" t="str">
        <f ca="1">OFFSET('Tabla III.3.'!$H$1,0,I841-1)</f>
        <v>03</v>
      </c>
      <c r="H841" s="110">
        <f t="shared" ref="H841:H850" si="228">+H840</f>
        <v>3</v>
      </c>
      <c r="I841" s="110">
        <f t="shared" ref="I841:I850" si="229">+I840+1</f>
        <v>3</v>
      </c>
      <c r="J841" s="110" t="str">
        <f ca="1">+'Tabla III.3.'!$C$9</f>
        <v>Tabla III.3.</v>
      </c>
      <c r="K841" s="110" t="str">
        <f t="shared" si="225"/>
        <v>B</v>
      </c>
      <c r="L841" s="107"/>
    </row>
    <row r="842" spans="1:12" s="103" customFormat="1">
      <c r="A842" s="107" t="s">
        <v>2944</v>
      </c>
      <c r="B842" s="107" t="str">
        <f t="shared" si="203"/>
        <v>202503</v>
      </c>
      <c r="C842" s="107" t="str">
        <f t="shared" ca="1" si="226"/>
        <v>v1</v>
      </c>
      <c r="D842" s="399" t="str">
        <f t="shared" ca="1" si="227"/>
        <v>08.01.01.01.</v>
      </c>
      <c r="E842" s="107">
        <f t="shared" si="204"/>
        <v>0</v>
      </c>
      <c r="F842" s="108">
        <f ca="1">OFFSET('Tabla III.3.'!$H$37,H842-1,I842-1)</f>
        <v>0</v>
      </c>
      <c r="G842" s="107" t="str">
        <f ca="1">OFFSET('Tabla III.3.'!$H$1,0,I842-1)</f>
        <v>04</v>
      </c>
      <c r="H842" s="110">
        <f t="shared" si="228"/>
        <v>3</v>
      </c>
      <c r="I842" s="110">
        <f t="shared" si="229"/>
        <v>4</v>
      </c>
      <c r="J842" s="110" t="str">
        <f ca="1">+'Tabla III.3.'!$C$9</f>
        <v>Tabla III.3.</v>
      </c>
      <c r="K842" s="110" t="str">
        <f t="shared" si="225"/>
        <v>B</v>
      </c>
      <c r="L842" s="107"/>
    </row>
    <row r="843" spans="1:12" s="103" customFormat="1">
      <c r="A843" s="107" t="s">
        <v>2944</v>
      </c>
      <c r="B843" s="107" t="str">
        <f t="shared" si="203"/>
        <v>202503</v>
      </c>
      <c r="C843" s="107" t="str">
        <f t="shared" ca="1" si="226"/>
        <v>v1</v>
      </c>
      <c r="D843" s="399" t="str">
        <f t="shared" ca="1" si="227"/>
        <v>08.01.01.01.</v>
      </c>
      <c r="E843" s="107">
        <f t="shared" si="204"/>
        <v>0</v>
      </c>
      <c r="F843" s="108">
        <f ca="1">OFFSET('Tabla III.3.'!$H$37,H843-1,I843-1)</f>
        <v>0</v>
      </c>
      <c r="G843" s="107" t="str">
        <f ca="1">OFFSET('Tabla III.3.'!$H$1,0,I843-1)</f>
        <v>05</v>
      </c>
      <c r="H843" s="110">
        <f t="shared" si="228"/>
        <v>3</v>
      </c>
      <c r="I843" s="110">
        <f t="shared" si="229"/>
        <v>5</v>
      </c>
      <c r="J843" s="110" t="str">
        <f ca="1">+'Tabla III.3.'!$C$9</f>
        <v>Tabla III.3.</v>
      </c>
      <c r="K843" s="110" t="str">
        <f t="shared" si="225"/>
        <v>B</v>
      </c>
      <c r="L843" s="107"/>
    </row>
    <row r="844" spans="1:12" s="103" customFormat="1">
      <c r="A844" s="107" t="s">
        <v>2944</v>
      </c>
      <c r="B844" s="107" t="str">
        <f t="shared" si="203"/>
        <v>202503</v>
      </c>
      <c r="C844" s="107" t="str">
        <f t="shared" ca="1" si="226"/>
        <v>v1</v>
      </c>
      <c r="D844" s="399" t="str">
        <f t="shared" ca="1" si="227"/>
        <v>08.01.01.01.</v>
      </c>
      <c r="E844" s="107">
        <f t="shared" si="204"/>
        <v>0</v>
      </c>
      <c r="F844" s="108">
        <f ca="1">OFFSET('Tabla III.3.'!$H$37,H844-1,I844-1)</f>
        <v>0</v>
      </c>
      <c r="G844" s="107" t="str">
        <f ca="1">OFFSET('Tabla III.3.'!$H$1,0,I844-1)</f>
        <v>06</v>
      </c>
      <c r="H844" s="110">
        <f t="shared" si="228"/>
        <v>3</v>
      </c>
      <c r="I844" s="110">
        <f t="shared" si="229"/>
        <v>6</v>
      </c>
      <c r="J844" s="110" t="str">
        <f ca="1">+'Tabla III.3.'!$C$9</f>
        <v>Tabla III.3.</v>
      </c>
      <c r="K844" s="110" t="str">
        <f t="shared" si="225"/>
        <v>B</v>
      </c>
      <c r="L844" s="107"/>
    </row>
    <row r="845" spans="1:12" s="103" customFormat="1">
      <c r="A845" s="107" t="s">
        <v>2944</v>
      </c>
      <c r="B845" s="107" t="str">
        <f t="shared" si="203"/>
        <v>202503</v>
      </c>
      <c r="C845" s="107" t="str">
        <f t="shared" ca="1" si="226"/>
        <v>v1</v>
      </c>
      <c r="D845" s="399" t="str">
        <f t="shared" ca="1" si="227"/>
        <v>08.01.01.01.</v>
      </c>
      <c r="E845" s="107">
        <f t="shared" si="204"/>
        <v>0</v>
      </c>
      <c r="F845" s="108">
        <f ca="1">OFFSET('Tabla III.3.'!$H$37,H845-1,I845-1)</f>
        <v>0</v>
      </c>
      <c r="G845" s="107" t="str">
        <f ca="1">OFFSET('Tabla III.3.'!$H$1,0,I845-1)</f>
        <v>07</v>
      </c>
      <c r="H845" s="110">
        <f t="shared" si="228"/>
        <v>3</v>
      </c>
      <c r="I845" s="110">
        <f t="shared" si="229"/>
        <v>7</v>
      </c>
      <c r="J845" s="110" t="str">
        <f ca="1">+'Tabla III.3.'!$C$9</f>
        <v>Tabla III.3.</v>
      </c>
      <c r="K845" s="110" t="str">
        <f t="shared" si="225"/>
        <v>B</v>
      </c>
      <c r="L845" s="107"/>
    </row>
    <row r="846" spans="1:12" s="103" customFormat="1">
      <c r="A846" s="107" t="s">
        <v>2944</v>
      </c>
      <c r="B846" s="107" t="str">
        <f t="shared" si="203"/>
        <v>202503</v>
      </c>
      <c r="C846" s="107" t="str">
        <f t="shared" ca="1" si="226"/>
        <v>v1</v>
      </c>
      <c r="D846" s="399" t="str">
        <f t="shared" ca="1" si="227"/>
        <v>08.01.01.01.</v>
      </c>
      <c r="E846" s="107">
        <f t="shared" si="204"/>
        <v>0</v>
      </c>
      <c r="F846" s="108">
        <f ca="1">OFFSET('Tabla III.3.'!$H$37,H846-1,I846-1)</f>
        <v>0</v>
      </c>
      <c r="G846" s="107" t="str">
        <f ca="1">OFFSET('Tabla III.3.'!$H$1,0,I846-1)</f>
        <v>08</v>
      </c>
      <c r="H846" s="110">
        <f t="shared" si="228"/>
        <v>3</v>
      </c>
      <c r="I846" s="110">
        <f t="shared" si="229"/>
        <v>8</v>
      </c>
      <c r="J846" s="110" t="str">
        <f ca="1">+'Tabla III.3.'!$C$9</f>
        <v>Tabla III.3.</v>
      </c>
      <c r="K846" s="110" t="str">
        <f t="shared" si="225"/>
        <v>B</v>
      </c>
      <c r="L846" s="107"/>
    </row>
    <row r="847" spans="1:12" s="103" customFormat="1">
      <c r="A847" s="107" t="s">
        <v>2944</v>
      </c>
      <c r="B847" s="107" t="str">
        <f t="shared" si="203"/>
        <v>202503</v>
      </c>
      <c r="C847" s="107" t="str">
        <f t="shared" ca="1" si="226"/>
        <v>v1</v>
      </c>
      <c r="D847" s="399" t="str">
        <f t="shared" ca="1" si="227"/>
        <v>08.01.01.01.</v>
      </c>
      <c r="E847" s="107">
        <f t="shared" si="204"/>
        <v>0</v>
      </c>
      <c r="F847" s="108">
        <f ca="1">OFFSET('Tabla III.3.'!$H$37,H847-1,I847-1)</f>
        <v>0</v>
      </c>
      <c r="G847" s="107" t="str">
        <f ca="1">OFFSET('Tabla III.3.'!$H$1,0,I847-1)</f>
        <v>09</v>
      </c>
      <c r="H847" s="110">
        <f t="shared" si="228"/>
        <v>3</v>
      </c>
      <c r="I847" s="110">
        <f t="shared" si="229"/>
        <v>9</v>
      </c>
      <c r="J847" s="110" t="str">
        <f ca="1">+'Tabla III.3.'!$C$9</f>
        <v>Tabla III.3.</v>
      </c>
      <c r="K847" s="110" t="str">
        <f t="shared" si="225"/>
        <v>B</v>
      </c>
      <c r="L847" s="107"/>
    </row>
    <row r="848" spans="1:12" s="103" customFormat="1">
      <c r="A848" s="107" t="s">
        <v>2944</v>
      </c>
      <c r="B848" s="107" t="str">
        <f t="shared" si="203"/>
        <v>202503</v>
      </c>
      <c r="C848" s="107" t="str">
        <f t="shared" ca="1" si="226"/>
        <v>v1</v>
      </c>
      <c r="D848" s="399" t="str">
        <f t="shared" ca="1" si="227"/>
        <v>08.01.01.01.</v>
      </c>
      <c r="E848" s="107">
        <f t="shared" si="204"/>
        <v>0</v>
      </c>
      <c r="F848" s="108">
        <f ca="1">OFFSET('Tabla III.3.'!$H$37,H848-1,I848-1)</f>
        <v>0</v>
      </c>
      <c r="G848" s="107" t="str">
        <f ca="1">OFFSET('Tabla III.3.'!$H$1,0,I848-1)</f>
        <v>10</v>
      </c>
      <c r="H848" s="110">
        <f t="shared" si="228"/>
        <v>3</v>
      </c>
      <c r="I848" s="110">
        <f t="shared" si="229"/>
        <v>10</v>
      </c>
      <c r="J848" s="110" t="str">
        <f ca="1">+'Tabla III.3.'!$C$9</f>
        <v>Tabla III.3.</v>
      </c>
      <c r="K848" s="110" t="str">
        <f t="shared" si="225"/>
        <v>B</v>
      </c>
      <c r="L848" s="107"/>
    </row>
    <row r="849" spans="1:12" s="103" customFormat="1">
      <c r="A849" s="107" t="s">
        <v>2944</v>
      </c>
      <c r="B849" s="107" t="str">
        <f t="shared" si="203"/>
        <v>202503</v>
      </c>
      <c r="C849" s="107" t="str">
        <f t="shared" ca="1" si="226"/>
        <v>v1</v>
      </c>
      <c r="D849" s="399" t="str">
        <f t="shared" ca="1" si="227"/>
        <v>08.01.01.01.</v>
      </c>
      <c r="E849" s="107">
        <f t="shared" si="204"/>
        <v>0</v>
      </c>
      <c r="F849" s="108">
        <f ca="1">OFFSET('Tabla III.3.'!$H$37,H849-1,I849-1)</f>
        <v>0</v>
      </c>
      <c r="G849" s="107" t="str">
        <f ca="1">OFFSET('Tabla III.3.'!$H$1,0,I849-1)</f>
        <v>11</v>
      </c>
      <c r="H849" s="110">
        <f t="shared" si="228"/>
        <v>3</v>
      </c>
      <c r="I849" s="110">
        <f t="shared" si="229"/>
        <v>11</v>
      </c>
      <c r="J849" s="110" t="str">
        <f ca="1">+'Tabla III.3.'!$C$9</f>
        <v>Tabla III.3.</v>
      </c>
      <c r="K849" s="110" t="str">
        <f t="shared" si="225"/>
        <v>B</v>
      </c>
      <c r="L849" s="107"/>
    </row>
    <row r="850" spans="1:12" s="103" customFormat="1">
      <c r="A850" s="107" t="s">
        <v>2944</v>
      </c>
      <c r="B850" s="107" t="str">
        <f t="shared" si="203"/>
        <v>202503</v>
      </c>
      <c r="C850" s="107" t="str">
        <f t="shared" ca="1" si="226"/>
        <v>v1</v>
      </c>
      <c r="D850" s="399" t="str">
        <f t="shared" ca="1" si="227"/>
        <v>08.01.01.01.</v>
      </c>
      <c r="E850" s="107">
        <f t="shared" si="204"/>
        <v>0</v>
      </c>
      <c r="F850" s="108">
        <f ca="1">OFFSET('Tabla III.3.'!$H$37,H850-1,I850-1)</f>
        <v>0</v>
      </c>
      <c r="G850" s="107" t="str">
        <f ca="1">OFFSET('Tabla III.3.'!$H$1,0,I850-1)</f>
        <v>12</v>
      </c>
      <c r="H850" s="110">
        <f t="shared" si="228"/>
        <v>3</v>
      </c>
      <c r="I850" s="110">
        <f t="shared" si="229"/>
        <v>12</v>
      </c>
      <c r="J850" s="110" t="str">
        <f ca="1">+'Tabla III.3.'!$C$9</f>
        <v>Tabla III.3.</v>
      </c>
      <c r="K850" s="110" t="str">
        <f t="shared" si="225"/>
        <v>B</v>
      </c>
      <c r="L850" s="107"/>
    </row>
    <row r="851" spans="1:12" s="103" customFormat="1">
      <c r="A851" s="412" t="s">
        <v>2944</v>
      </c>
      <c r="B851" s="412" t="str">
        <f t="shared" ref="B851:B914" si="230">PERIODO</f>
        <v>202503</v>
      </c>
      <c r="C851" s="412" t="s">
        <v>2945</v>
      </c>
      <c r="D851" s="413" t="str">
        <f ca="1">OFFSET('Tabla III.3.'!$F$37,H851-1,0)</f>
        <v>08.01.01.02.</v>
      </c>
      <c r="E851" s="412">
        <f t="shared" si="204"/>
        <v>0</v>
      </c>
      <c r="F851" s="414">
        <f ca="1">OFFSET('Tabla III.3.'!$H$37,H851-1,I851-1)</f>
        <v>0</v>
      </c>
      <c r="G851" s="412" t="str">
        <f ca="1">OFFSET('Tabla III.3.'!$H$1,0,I851-1)</f>
        <v>01</v>
      </c>
      <c r="H851" s="111">
        <f>+H839+1</f>
        <v>4</v>
      </c>
      <c r="I851" s="111">
        <v>1</v>
      </c>
      <c r="J851" s="111" t="str">
        <f ca="1">+'Tabla III.3.'!$C$9</f>
        <v>Tabla III.3.</v>
      </c>
      <c r="K851" s="111" t="s">
        <v>2267</v>
      </c>
      <c r="L851" s="412">
        <f>+L839+1</f>
        <v>4</v>
      </c>
    </row>
    <row r="852" spans="1:12" s="103" customFormat="1">
      <c r="A852" s="412" t="s">
        <v>2944</v>
      </c>
      <c r="B852" s="412" t="str">
        <f t="shared" si="230"/>
        <v>202503</v>
      </c>
      <c r="C852" s="412" t="str">
        <f ca="1">IF(G852="01","v2","v1")</f>
        <v>v1</v>
      </c>
      <c r="D852" s="413" t="str">
        <f ca="1">+D851</f>
        <v>08.01.01.02.</v>
      </c>
      <c r="E852" s="412">
        <f t="shared" ref="E852:E915" si="231">RUC</f>
        <v>0</v>
      </c>
      <c r="F852" s="414">
        <f ca="1">OFFSET('Tabla III.3.'!$H$37,H852-1,I852-1)</f>
        <v>0</v>
      </c>
      <c r="G852" s="412" t="str">
        <f ca="1">OFFSET('Tabla III.3.'!$H$1,0,I852-1)</f>
        <v>02</v>
      </c>
      <c r="H852" s="111">
        <f>+H851</f>
        <v>4</v>
      </c>
      <c r="I852" s="111">
        <f>+I851+1</f>
        <v>2</v>
      </c>
      <c r="J852" s="111" t="str">
        <f ca="1">+'Tabla III.3.'!$C$9</f>
        <v>Tabla III.3.</v>
      </c>
      <c r="K852" s="111" t="str">
        <f t="shared" ref="K852:K862" si="232">+K851</f>
        <v>B</v>
      </c>
      <c r="L852" s="412"/>
    </row>
    <row r="853" spans="1:12" s="103" customFormat="1">
      <c r="A853" s="412" t="s">
        <v>2944</v>
      </c>
      <c r="B853" s="412" t="str">
        <f t="shared" si="230"/>
        <v>202503</v>
      </c>
      <c r="C853" s="412" t="str">
        <f t="shared" ref="C853:C862" ca="1" si="233">IF(G853="01","v2","v1")</f>
        <v>v1</v>
      </c>
      <c r="D853" s="413" t="str">
        <f t="shared" ref="D853:D862" ca="1" si="234">+D852</f>
        <v>08.01.01.02.</v>
      </c>
      <c r="E853" s="412">
        <f t="shared" si="231"/>
        <v>0</v>
      </c>
      <c r="F853" s="414">
        <f ca="1">OFFSET('Tabla III.3.'!$H$37,H853-1,I853-1)</f>
        <v>0</v>
      </c>
      <c r="G853" s="412" t="str">
        <f ca="1">OFFSET('Tabla III.3.'!$H$1,0,I853-1)</f>
        <v>03</v>
      </c>
      <c r="H853" s="111">
        <f t="shared" ref="H853:H862" si="235">+H852</f>
        <v>4</v>
      </c>
      <c r="I853" s="111">
        <f t="shared" ref="I853:I862" si="236">+I852+1</f>
        <v>3</v>
      </c>
      <c r="J853" s="111" t="str">
        <f ca="1">+'Tabla III.3.'!$C$9</f>
        <v>Tabla III.3.</v>
      </c>
      <c r="K853" s="111" t="str">
        <f t="shared" si="232"/>
        <v>B</v>
      </c>
      <c r="L853" s="412"/>
    </row>
    <row r="854" spans="1:12" s="103" customFormat="1">
      <c r="A854" s="412" t="s">
        <v>2944</v>
      </c>
      <c r="B854" s="412" t="str">
        <f t="shared" si="230"/>
        <v>202503</v>
      </c>
      <c r="C854" s="412" t="str">
        <f t="shared" ca="1" si="233"/>
        <v>v1</v>
      </c>
      <c r="D854" s="413" t="str">
        <f t="shared" ca="1" si="234"/>
        <v>08.01.01.02.</v>
      </c>
      <c r="E854" s="412">
        <f t="shared" si="231"/>
        <v>0</v>
      </c>
      <c r="F854" s="414">
        <f ca="1">OFFSET('Tabla III.3.'!$H$37,H854-1,I854-1)</f>
        <v>0</v>
      </c>
      <c r="G854" s="412" t="str">
        <f ca="1">OFFSET('Tabla III.3.'!$H$1,0,I854-1)</f>
        <v>04</v>
      </c>
      <c r="H854" s="111">
        <f t="shared" si="235"/>
        <v>4</v>
      </c>
      <c r="I854" s="111">
        <f t="shared" si="236"/>
        <v>4</v>
      </c>
      <c r="J854" s="111" t="str">
        <f ca="1">+'Tabla III.3.'!$C$9</f>
        <v>Tabla III.3.</v>
      </c>
      <c r="K854" s="111" t="str">
        <f t="shared" si="232"/>
        <v>B</v>
      </c>
      <c r="L854" s="412"/>
    </row>
    <row r="855" spans="1:12" s="103" customFormat="1">
      <c r="A855" s="412" t="s">
        <v>2944</v>
      </c>
      <c r="B855" s="412" t="str">
        <f t="shared" si="230"/>
        <v>202503</v>
      </c>
      <c r="C855" s="412" t="str">
        <f t="shared" ca="1" si="233"/>
        <v>v1</v>
      </c>
      <c r="D855" s="413" t="str">
        <f t="shared" ca="1" si="234"/>
        <v>08.01.01.02.</v>
      </c>
      <c r="E855" s="412">
        <f t="shared" si="231"/>
        <v>0</v>
      </c>
      <c r="F855" s="414">
        <f ca="1">OFFSET('Tabla III.3.'!$H$37,H855-1,I855-1)</f>
        <v>0</v>
      </c>
      <c r="G855" s="412" t="str">
        <f ca="1">OFFSET('Tabla III.3.'!$H$1,0,I855-1)</f>
        <v>05</v>
      </c>
      <c r="H855" s="111">
        <f t="shared" si="235"/>
        <v>4</v>
      </c>
      <c r="I855" s="111">
        <f t="shared" si="236"/>
        <v>5</v>
      </c>
      <c r="J855" s="111" t="str">
        <f ca="1">+'Tabla III.3.'!$C$9</f>
        <v>Tabla III.3.</v>
      </c>
      <c r="K855" s="111" t="str">
        <f t="shared" si="232"/>
        <v>B</v>
      </c>
      <c r="L855" s="412"/>
    </row>
    <row r="856" spans="1:12" s="103" customFormat="1">
      <c r="A856" s="412" t="s">
        <v>2944</v>
      </c>
      <c r="B856" s="412" t="str">
        <f t="shared" si="230"/>
        <v>202503</v>
      </c>
      <c r="C856" s="412" t="str">
        <f t="shared" ca="1" si="233"/>
        <v>v1</v>
      </c>
      <c r="D856" s="413" t="str">
        <f t="shared" ca="1" si="234"/>
        <v>08.01.01.02.</v>
      </c>
      <c r="E856" s="412">
        <f t="shared" si="231"/>
        <v>0</v>
      </c>
      <c r="F856" s="414">
        <f ca="1">OFFSET('Tabla III.3.'!$H$37,H856-1,I856-1)</f>
        <v>0</v>
      </c>
      <c r="G856" s="412" t="str">
        <f ca="1">OFFSET('Tabla III.3.'!$H$1,0,I856-1)</f>
        <v>06</v>
      </c>
      <c r="H856" s="111">
        <f t="shared" si="235"/>
        <v>4</v>
      </c>
      <c r="I856" s="111">
        <f t="shared" si="236"/>
        <v>6</v>
      </c>
      <c r="J856" s="111" t="str">
        <f ca="1">+'Tabla III.3.'!$C$9</f>
        <v>Tabla III.3.</v>
      </c>
      <c r="K856" s="111" t="str">
        <f t="shared" si="232"/>
        <v>B</v>
      </c>
      <c r="L856" s="412"/>
    </row>
    <row r="857" spans="1:12" s="103" customFormat="1">
      <c r="A857" s="412" t="s">
        <v>2944</v>
      </c>
      <c r="B857" s="412" t="str">
        <f t="shared" si="230"/>
        <v>202503</v>
      </c>
      <c r="C857" s="412" t="str">
        <f t="shared" ca="1" si="233"/>
        <v>v1</v>
      </c>
      <c r="D857" s="413" t="str">
        <f t="shared" ca="1" si="234"/>
        <v>08.01.01.02.</v>
      </c>
      <c r="E857" s="412">
        <f t="shared" si="231"/>
        <v>0</v>
      </c>
      <c r="F857" s="414">
        <f ca="1">OFFSET('Tabla III.3.'!$H$37,H857-1,I857-1)</f>
        <v>0</v>
      </c>
      <c r="G857" s="412" t="str">
        <f ca="1">OFFSET('Tabla III.3.'!$H$1,0,I857-1)</f>
        <v>07</v>
      </c>
      <c r="H857" s="111">
        <f t="shared" si="235"/>
        <v>4</v>
      </c>
      <c r="I857" s="111">
        <f t="shared" si="236"/>
        <v>7</v>
      </c>
      <c r="J857" s="111" t="str">
        <f ca="1">+'Tabla III.3.'!$C$9</f>
        <v>Tabla III.3.</v>
      </c>
      <c r="K857" s="111" t="str">
        <f t="shared" si="232"/>
        <v>B</v>
      </c>
      <c r="L857" s="412"/>
    </row>
    <row r="858" spans="1:12" s="103" customFormat="1">
      <c r="A858" s="412" t="s">
        <v>2944</v>
      </c>
      <c r="B858" s="412" t="str">
        <f t="shared" si="230"/>
        <v>202503</v>
      </c>
      <c r="C858" s="412" t="str">
        <f t="shared" ca="1" si="233"/>
        <v>v1</v>
      </c>
      <c r="D858" s="413" t="str">
        <f t="shared" ca="1" si="234"/>
        <v>08.01.01.02.</v>
      </c>
      <c r="E858" s="412">
        <f t="shared" si="231"/>
        <v>0</v>
      </c>
      <c r="F858" s="414">
        <f ca="1">OFFSET('Tabla III.3.'!$H$37,H858-1,I858-1)</f>
        <v>0</v>
      </c>
      <c r="G858" s="412" t="str">
        <f ca="1">OFFSET('Tabla III.3.'!$H$1,0,I858-1)</f>
        <v>08</v>
      </c>
      <c r="H858" s="111">
        <f t="shared" si="235"/>
        <v>4</v>
      </c>
      <c r="I858" s="111">
        <f t="shared" si="236"/>
        <v>8</v>
      </c>
      <c r="J858" s="111" t="str">
        <f ca="1">+'Tabla III.3.'!$C$9</f>
        <v>Tabla III.3.</v>
      </c>
      <c r="K858" s="111" t="str">
        <f t="shared" si="232"/>
        <v>B</v>
      </c>
      <c r="L858" s="412"/>
    </row>
    <row r="859" spans="1:12" s="103" customFormat="1">
      <c r="A859" s="412" t="s">
        <v>2944</v>
      </c>
      <c r="B859" s="412" t="str">
        <f t="shared" si="230"/>
        <v>202503</v>
      </c>
      <c r="C859" s="412" t="str">
        <f t="shared" ca="1" si="233"/>
        <v>v1</v>
      </c>
      <c r="D859" s="413" t="str">
        <f t="shared" ca="1" si="234"/>
        <v>08.01.01.02.</v>
      </c>
      <c r="E859" s="412">
        <f t="shared" si="231"/>
        <v>0</v>
      </c>
      <c r="F859" s="414">
        <f ca="1">OFFSET('Tabla III.3.'!$H$37,H859-1,I859-1)</f>
        <v>0</v>
      </c>
      <c r="G859" s="412" t="str">
        <f ca="1">OFFSET('Tabla III.3.'!$H$1,0,I859-1)</f>
        <v>09</v>
      </c>
      <c r="H859" s="111">
        <f t="shared" si="235"/>
        <v>4</v>
      </c>
      <c r="I859" s="111">
        <f t="shared" si="236"/>
        <v>9</v>
      </c>
      <c r="J859" s="111" t="str">
        <f ca="1">+'Tabla III.3.'!$C$9</f>
        <v>Tabla III.3.</v>
      </c>
      <c r="K859" s="111" t="str">
        <f t="shared" si="232"/>
        <v>B</v>
      </c>
      <c r="L859" s="412"/>
    </row>
    <row r="860" spans="1:12" s="103" customFormat="1">
      <c r="A860" s="412" t="s">
        <v>2944</v>
      </c>
      <c r="B860" s="412" t="str">
        <f t="shared" si="230"/>
        <v>202503</v>
      </c>
      <c r="C860" s="412" t="str">
        <f t="shared" ca="1" si="233"/>
        <v>v1</v>
      </c>
      <c r="D860" s="413" t="str">
        <f t="shared" ca="1" si="234"/>
        <v>08.01.01.02.</v>
      </c>
      <c r="E860" s="412">
        <f t="shared" si="231"/>
        <v>0</v>
      </c>
      <c r="F860" s="414">
        <f ca="1">OFFSET('Tabla III.3.'!$H$37,H860-1,I860-1)</f>
        <v>0</v>
      </c>
      <c r="G860" s="412" t="str">
        <f ca="1">OFFSET('Tabla III.3.'!$H$1,0,I860-1)</f>
        <v>10</v>
      </c>
      <c r="H860" s="111">
        <f t="shared" si="235"/>
        <v>4</v>
      </c>
      <c r="I860" s="111">
        <f t="shared" si="236"/>
        <v>10</v>
      </c>
      <c r="J860" s="111" t="str">
        <f ca="1">+'Tabla III.3.'!$C$9</f>
        <v>Tabla III.3.</v>
      </c>
      <c r="K860" s="111" t="str">
        <f t="shared" si="232"/>
        <v>B</v>
      </c>
      <c r="L860" s="412"/>
    </row>
    <row r="861" spans="1:12" s="103" customFormat="1">
      <c r="A861" s="412" t="s">
        <v>2944</v>
      </c>
      <c r="B861" s="412" t="str">
        <f t="shared" si="230"/>
        <v>202503</v>
      </c>
      <c r="C861" s="412" t="str">
        <f t="shared" ca="1" si="233"/>
        <v>v1</v>
      </c>
      <c r="D861" s="413" t="str">
        <f t="shared" ca="1" si="234"/>
        <v>08.01.01.02.</v>
      </c>
      <c r="E861" s="412">
        <f t="shared" si="231"/>
        <v>0</v>
      </c>
      <c r="F861" s="414">
        <f ca="1">OFFSET('Tabla III.3.'!$H$37,H861-1,I861-1)</f>
        <v>0</v>
      </c>
      <c r="G861" s="412" t="str">
        <f ca="1">OFFSET('Tabla III.3.'!$H$1,0,I861-1)</f>
        <v>11</v>
      </c>
      <c r="H861" s="111">
        <f t="shared" si="235"/>
        <v>4</v>
      </c>
      <c r="I861" s="111">
        <f t="shared" si="236"/>
        <v>11</v>
      </c>
      <c r="J861" s="111" t="str">
        <f ca="1">+'Tabla III.3.'!$C$9</f>
        <v>Tabla III.3.</v>
      </c>
      <c r="K861" s="111" t="str">
        <f t="shared" si="232"/>
        <v>B</v>
      </c>
      <c r="L861" s="412"/>
    </row>
    <row r="862" spans="1:12" s="103" customFormat="1">
      <c r="A862" s="412" t="s">
        <v>2944</v>
      </c>
      <c r="B862" s="412" t="str">
        <f t="shared" si="230"/>
        <v>202503</v>
      </c>
      <c r="C862" s="412" t="str">
        <f t="shared" ca="1" si="233"/>
        <v>v1</v>
      </c>
      <c r="D862" s="413" t="str">
        <f t="shared" ca="1" si="234"/>
        <v>08.01.01.02.</v>
      </c>
      <c r="E862" s="412">
        <f t="shared" si="231"/>
        <v>0</v>
      </c>
      <c r="F862" s="414">
        <f ca="1">OFFSET('Tabla III.3.'!$H$37,H862-1,I862-1)</f>
        <v>0</v>
      </c>
      <c r="G862" s="412" t="str">
        <f ca="1">OFFSET('Tabla III.3.'!$H$1,0,I862-1)</f>
        <v>12</v>
      </c>
      <c r="H862" s="111">
        <f t="shared" si="235"/>
        <v>4</v>
      </c>
      <c r="I862" s="111">
        <f t="shared" si="236"/>
        <v>12</v>
      </c>
      <c r="J862" s="111" t="str">
        <f ca="1">+'Tabla III.3.'!$C$9</f>
        <v>Tabla III.3.</v>
      </c>
      <c r="K862" s="111" t="str">
        <f t="shared" si="232"/>
        <v>B</v>
      </c>
      <c r="L862" s="412"/>
    </row>
    <row r="863" spans="1:12" s="103" customFormat="1">
      <c r="A863" s="107" t="s">
        <v>2944</v>
      </c>
      <c r="B863" s="107" t="str">
        <f t="shared" si="230"/>
        <v>202503</v>
      </c>
      <c r="C863" s="107" t="s">
        <v>2945</v>
      </c>
      <c r="D863" s="399" t="str">
        <f ca="1">OFFSET('Tabla III.3.'!$F$37,H863-1,0)</f>
        <v>08.01.02.</v>
      </c>
      <c r="E863" s="107">
        <f t="shared" si="231"/>
        <v>0</v>
      </c>
      <c r="F863" s="108">
        <f ca="1">OFFSET('Tabla III.3.'!$H$37,H863-1,I863-1)</f>
        <v>0</v>
      </c>
      <c r="G863" s="107" t="str">
        <f ca="1">OFFSET('Tabla III.3.'!$H$1,0,I863-1)</f>
        <v>01</v>
      </c>
      <c r="H863" s="110">
        <f>+H851+1</f>
        <v>5</v>
      </c>
      <c r="I863" s="110">
        <v>1</v>
      </c>
      <c r="J863" s="110" t="str">
        <f ca="1">+'Tabla III.3.'!$C$9</f>
        <v>Tabla III.3.</v>
      </c>
      <c r="K863" s="110" t="s">
        <v>2267</v>
      </c>
      <c r="L863" s="107">
        <f>+L851+1</f>
        <v>5</v>
      </c>
    </row>
    <row r="864" spans="1:12" s="103" customFormat="1">
      <c r="A864" s="107" t="s">
        <v>2944</v>
      </c>
      <c r="B864" s="107" t="str">
        <f t="shared" si="230"/>
        <v>202503</v>
      </c>
      <c r="C864" s="107" t="str">
        <f ca="1">IF(G864="01","v2","v1")</f>
        <v>v1</v>
      </c>
      <c r="D864" s="399" t="str">
        <f ca="1">+D863</f>
        <v>08.01.02.</v>
      </c>
      <c r="E864" s="107">
        <f t="shared" si="231"/>
        <v>0</v>
      </c>
      <c r="F864" s="108">
        <f ca="1">OFFSET('Tabla III.3.'!$H$37,H864-1,I864-1)</f>
        <v>0</v>
      </c>
      <c r="G864" s="107" t="str">
        <f ca="1">OFFSET('Tabla III.3.'!$H$1,0,I864-1)</f>
        <v>02</v>
      </c>
      <c r="H864" s="110">
        <f>+H863</f>
        <v>5</v>
      </c>
      <c r="I864" s="110">
        <f>+I863+1</f>
        <v>2</v>
      </c>
      <c r="J864" s="110" t="str">
        <f ca="1">+'Tabla III.3.'!$C$9</f>
        <v>Tabla III.3.</v>
      </c>
      <c r="K864" s="110" t="str">
        <f t="shared" ref="K864:K874" si="237">+K863</f>
        <v>B</v>
      </c>
      <c r="L864" s="107"/>
    </row>
    <row r="865" spans="1:12" s="103" customFormat="1">
      <c r="A865" s="107" t="s">
        <v>2944</v>
      </c>
      <c r="B865" s="107" t="str">
        <f t="shared" si="230"/>
        <v>202503</v>
      </c>
      <c r="C865" s="107" t="str">
        <f t="shared" ref="C865:C874" ca="1" si="238">IF(G865="01","v2","v1")</f>
        <v>v1</v>
      </c>
      <c r="D865" s="399" t="str">
        <f t="shared" ref="D865:D874" ca="1" si="239">+D864</f>
        <v>08.01.02.</v>
      </c>
      <c r="E865" s="107">
        <f t="shared" si="231"/>
        <v>0</v>
      </c>
      <c r="F865" s="108">
        <f ca="1">OFFSET('Tabla III.3.'!$H$37,H865-1,I865-1)</f>
        <v>0</v>
      </c>
      <c r="G865" s="107" t="str">
        <f ca="1">OFFSET('Tabla III.3.'!$H$1,0,I865-1)</f>
        <v>03</v>
      </c>
      <c r="H865" s="110">
        <f t="shared" ref="H865:H874" si="240">+H864</f>
        <v>5</v>
      </c>
      <c r="I865" s="110">
        <f t="shared" ref="I865:I874" si="241">+I864+1</f>
        <v>3</v>
      </c>
      <c r="J865" s="110" t="str">
        <f ca="1">+'Tabla III.3.'!$C$9</f>
        <v>Tabla III.3.</v>
      </c>
      <c r="K865" s="110" t="str">
        <f t="shared" si="237"/>
        <v>B</v>
      </c>
      <c r="L865" s="107"/>
    </row>
    <row r="866" spans="1:12" s="103" customFormat="1">
      <c r="A866" s="107" t="s">
        <v>2944</v>
      </c>
      <c r="B866" s="107" t="str">
        <f t="shared" si="230"/>
        <v>202503</v>
      </c>
      <c r="C866" s="107" t="str">
        <f t="shared" ca="1" si="238"/>
        <v>v1</v>
      </c>
      <c r="D866" s="399" t="str">
        <f t="shared" ca="1" si="239"/>
        <v>08.01.02.</v>
      </c>
      <c r="E866" s="107">
        <f t="shared" si="231"/>
        <v>0</v>
      </c>
      <c r="F866" s="108">
        <f ca="1">OFFSET('Tabla III.3.'!$H$37,H866-1,I866-1)</f>
        <v>0</v>
      </c>
      <c r="G866" s="107" t="str">
        <f ca="1">OFFSET('Tabla III.3.'!$H$1,0,I866-1)</f>
        <v>04</v>
      </c>
      <c r="H866" s="110">
        <f t="shared" si="240"/>
        <v>5</v>
      </c>
      <c r="I866" s="110">
        <f t="shared" si="241"/>
        <v>4</v>
      </c>
      <c r="J866" s="110" t="str">
        <f ca="1">+'Tabla III.3.'!$C$9</f>
        <v>Tabla III.3.</v>
      </c>
      <c r="K866" s="110" t="str">
        <f t="shared" si="237"/>
        <v>B</v>
      </c>
      <c r="L866" s="107"/>
    </row>
    <row r="867" spans="1:12" s="103" customFormat="1">
      <c r="A867" s="107" t="s">
        <v>2944</v>
      </c>
      <c r="B867" s="107" t="str">
        <f t="shared" si="230"/>
        <v>202503</v>
      </c>
      <c r="C867" s="107" t="str">
        <f t="shared" ca="1" si="238"/>
        <v>v1</v>
      </c>
      <c r="D867" s="399" t="str">
        <f t="shared" ca="1" si="239"/>
        <v>08.01.02.</v>
      </c>
      <c r="E867" s="107">
        <f t="shared" si="231"/>
        <v>0</v>
      </c>
      <c r="F867" s="108">
        <f ca="1">OFFSET('Tabla III.3.'!$H$37,H867-1,I867-1)</f>
        <v>0</v>
      </c>
      <c r="G867" s="107" t="str">
        <f ca="1">OFFSET('Tabla III.3.'!$H$1,0,I867-1)</f>
        <v>05</v>
      </c>
      <c r="H867" s="110">
        <f t="shared" si="240"/>
        <v>5</v>
      </c>
      <c r="I867" s="110">
        <f t="shared" si="241"/>
        <v>5</v>
      </c>
      <c r="J867" s="110" t="str">
        <f ca="1">+'Tabla III.3.'!$C$9</f>
        <v>Tabla III.3.</v>
      </c>
      <c r="K867" s="110" t="str">
        <f t="shared" si="237"/>
        <v>B</v>
      </c>
      <c r="L867" s="107"/>
    </row>
    <row r="868" spans="1:12" s="103" customFormat="1">
      <c r="A868" s="107" t="s">
        <v>2944</v>
      </c>
      <c r="B868" s="107" t="str">
        <f t="shared" si="230"/>
        <v>202503</v>
      </c>
      <c r="C868" s="107" t="str">
        <f t="shared" ca="1" si="238"/>
        <v>v1</v>
      </c>
      <c r="D868" s="399" t="str">
        <f t="shared" ca="1" si="239"/>
        <v>08.01.02.</v>
      </c>
      <c r="E868" s="107">
        <f t="shared" si="231"/>
        <v>0</v>
      </c>
      <c r="F868" s="108">
        <f ca="1">OFFSET('Tabla III.3.'!$H$37,H868-1,I868-1)</f>
        <v>0</v>
      </c>
      <c r="G868" s="107" t="str">
        <f ca="1">OFFSET('Tabla III.3.'!$H$1,0,I868-1)</f>
        <v>06</v>
      </c>
      <c r="H868" s="110">
        <f t="shared" si="240"/>
        <v>5</v>
      </c>
      <c r="I868" s="110">
        <f t="shared" si="241"/>
        <v>6</v>
      </c>
      <c r="J868" s="110" t="str">
        <f ca="1">+'Tabla III.3.'!$C$9</f>
        <v>Tabla III.3.</v>
      </c>
      <c r="K868" s="110" t="str">
        <f t="shared" si="237"/>
        <v>B</v>
      </c>
      <c r="L868" s="107"/>
    </row>
    <row r="869" spans="1:12" s="103" customFormat="1">
      <c r="A869" s="107" t="s">
        <v>2944</v>
      </c>
      <c r="B869" s="107" t="str">
        <f t="shared" si="230"/>
        <v>202503</v>
      </c>
      <c r="C869" s="107" t="str">
        <f t="shared" ca="1" si="238"/>
        <v>v1</v>
      </c>
      <c r="D869" s="399" t="str">
        <f t="shared" ca="1" si="239"/>
        <v>08.01.02.</v>
      </c>
      <c r="E869" s="107">
        <f t="shared" si="231"/>
        <v>0</v>
      </c>
      <c r="F869" s="108">
        <f ca="1">OFFSET('Tabla III.3.'!$H$37,H869-1,I869-1)</f>
        <v>0</v>
      </c>
      <c r="G869" s="107" t="str">
        <f ca="1">OFFSET('Tabla III.3.'!$H$1,0,I869-1)</f>
        <v>07</v>
      </c>
      <c r="H869" s="110">
        <f t="shared" si="240"/>
        <v>5</v>
      </c>
      <c r="I869" s="110">
        <f t="shared" si="241"/>
        <v>7</v>
      </c>
      <c r="J869" s="110" t="str">
        <f ca="1">+'Tabla III.3.'!$C$9</f>
        <v>Tabla III.3.</v>
      </c>
      <c r="K869" s="110" t="str">
        <f t="shared" si="237"/>
        <v>B</v>
      </c>
      <c r="L869" s="107"/>
    </row>
    <row r="870" spans="1:12" s="103" customFormat="1">
      <c r="A870" s="107" t="s">
        <v>2944</v>
      </c>
      <c r="B870" s="107" t="str">
        <f t="shared" si="230"/>
        <v>202503</v>
      </c>
      <c r="C870" s="107" t="str">
        <f t="shared" ca="1" si="238"/>
        <v>v1</v>
      </c>
      <c r="D870" s="399" t="str">
        <f t="shared" ca="1" si="239"/>
        <v>08.01.02.</v>
      </c>
      <c r="E870" s="107">
        <f t="shared" si="231"/>
        <v>0</v>
      </c>
      <c r="F870" s="108">
        <f ca="1">OFFSET('Tabla III.3.'!$H$37,H870-1,I870-1)</f>
        <v>0</v>
      </c>
      <c r="G870" s="107" t="str">
        <f ca="1">OFFSET('Tabla III.3.'!$H$1,0,I870-1)</f>
        <v>08</v>
      </c>
      <c r="H870" s="110">
        <f t="shared" si="240"/>
        <v>5</v>
      </c>
      <c r="I870" s="110">
        <f t="shared" si="241"/>
        <v>8</v>
      </c>
      <c r="J870" s="110" t="str">
        <f ca="1">+'Tabla III.3.'!$C$9</f>
        <v>Tabla III.3.</v>
      </c>
      <c r="K870" s="110" t="str">
        <f t="shared" si="237"/>
        <v>B</v>
      </c>
      <c r="L870" s="107"/>
    </row>
    <row r="871" spans="1:12" s="103" customFormat="1">
      <c r="A871" s="107" t="s">
        <v>2944</v>
      </c>
      <c r="B871" s="107" t="str">
        <f t="shared" si="230"/>
        <v>202503</v>
      </c>
      <c r="C871" s="107" t="str">
        <f t="shared" ca="1" si="238"/>
        <v>v1</v>
      </c>
      <c r="D871" s="399" t="str">
        <f t="shared" ca="1" si="239"/>
        <v>08.01.02.</v>
      </c>
      <c r="E871" s="107">
        <f t="shared" si="231"/>
        <v>0</v>
      </c>
      <c r="F871" s="108">
        <f ca="1">OFFSET('Tabla III.3.'!$H$37,H871-1,I871-1)</f>
        <v>0</v>
      </c>
      <c r="G871" s="107" t="str">
        <f ca="1">OFFSET('Tabla III.3.'!$H$1,0,I871-1)</f>
        <v>09</v>
      </c>
      <c r="H871" s="110">
        <f t="shared" si="240"/>
        <v>5</v>
      </c>
      <c r="I871" s="110">
        <f t="shared" si="241"/>
        <v>9</v>
      </c>
      <c r="J871" s="110" t="str">
        <f ca="1">+'Tabla III.3.'!$C$9</f>
        <v>Tabla III.3.</v>
      </c>
      <c r="K871" s="110" t="str">
        <f t="shared" si="237"/>
        <v>B</v>
      </c>
      <c r="L871" s="107"/>
    </row>
    <row r="872" spans="1:12" s="103" customFormat="1">
      <c r="A872" s="107" t="s">
        <v>2944</v>
      </c>
      <c r="B872" s="107" t="str">
        <f t="shared" si="230"/>
        <v>202503</v>
      </c>
      <c r="C872" s="107" t="str">
        <f t="shared" ca="1" si="238"/>
        <v>v1</v>
      </c>
      <c r="D872" s="399" t="str">
        <f t="shared" ca="1" si="239"/>
        <v>08.01.02.</v>
      </c>
      <c r="E872" s="107">
        <f t="shared" si="231"/>
        <v>0</v>
      </c>
      <c r="F872" s="108">
        <f ca="1">OFFSET('Tabla III.3.'!$H$37,H872-1,I872-1)</f>
        <v>0</v>
      </c>
      <c r="G872" s="107" t="str">
        <f ca="1">OFFSET('Tabla III.3.'!$H$1,0,I872-1)</f>
        <v>10</v>
      </c>
      <c r="H872" s="110">
        <f t="shared" si="240"/>
        <v>5</v>
      </c>
      <c r="I872" s="110">
        <f t="shared" si="241"/>
        <v>10</v>
      </c>
      <c r="J872" s="110" t="str">
        <f ca="1">+'Tabla III.3.'!$C$9</f>
        <v>Tabla III.3.</v>
      </c>
      <c r="K872" s="110" t="str">
        <f t="shared" si="237"/>
        <v>B</v>
      </c>
      <c r="L872" s="107"/>
    </row>
    <row r="873" spans="1:12" s="103" customFormat="1">
      <c r="A873" s="107" t="s">
        <v>2944</v>
      </c>
      <c r="B873" s="107" t="str">
        <f t="shared" si="230"/>
        <v>202503</v>
      </c>
      <c r="C873" s="107" t="str">
        <f t="shared" ca="1" si="238"/>
        <v>v1</v>
      </c>
      <c r="D873" s="399" t="str">
        <f t="shared" ca="1" si="239"/>
        <v>08.01.02.</v>
      </c>
      <c r="E873" s="107">
        <f t="shared" si="231"/>
        <v>0</v>
      </c>
      <c r="F873" s="108">
        <f ca="1">OFFSET('Tabla III.3.'!$H$37,H873-1,I873-1)</f>
        <v>0</v>
      </c>
      <c r="G873" s="107" t="str">
        <f ca="1">OFFSET('Tabla III.3.'!$H$1,0,I873-1)</f>
        <v>11</v>
      </c>
      <c r="H873" s="110">
        <f t="shared" si="240"/>
        <v>5</v>
      </c>
      <c r="I873" s="110">
        <f t="shared" si="241"/>
        <v>11</v>
      </c>
      <c r="J873" s="110" t="str">
        <f ca="1">+'Tabla III.3.'!$C$9</f>
        <v>Tabla III.3.</v>
      </c>
      <c r="K873" s="110" t="str">
        <f t="shared" si="237"/>
        <v>B</v>
      </c>
      <c r="L873" s="107"/>
    </row>
    <row r="874" spans="1:12" s="103" customFormat="1">
      <c r="A874" s="107" t="s">
        <v>2944</v>
      </c>
      <c r="B874" s="107" t="str">
        <f t="shared" si="230"/>
        <v>202503</v>
      </c>
      <c r="C874" s="107" t="str">
        <f t="shared" ca="1" si="238"/>
        <v>v1</v>
      </c>
      <c r="D874" s="399" t="str">
        <f t="shared" ca="1" si="239"/>
        <v>08.01.02.</v>
      </c>
      <c r="E874" s="107">
        <f t="shared" si="231"/>
        <v>0</v>
      </c>
      <c r="F874" s="108">
        <f ca="1">OFFSET('Tabla III.3.'!$H$37,H874-1,I874-1)</f>
        <v>0</v>
      </c>
      <c r="G874" s="107" t="str">
        <f ca="1">OFFSET('Tabla III.3.'!$H$1,0,I874-1)</f>
        <v>12</v>
      </c>
      <c r="H874" s="110">
        <f t="shared" si="240"/>
        <v>5</v>
      </c>
      <c r="I874" s="110">
        <f t="shared" si="241"/>
        <v>12</v>
      </c>
      <c r="J874" s="110" t="str">
        <f ca="1">+'Tabla III.3.'!$C$9</f>
        <v>Tabla III.3.</v>
      </c>
      <c r="K874" s="110" t="str">
        <f t="shared" si="237"/>
        <v>B</v>
      </c>
      <c r="L874" s="107"/>
    </row>
    <row r="875" spans="1:12" s="103" customFormat="1">
      <c r="A875" s="412" t="s">
        <v>2944</v>
      </c>
      <c r="B875" s="412" t="str">
        <f t="shared" si="230"/>
        <v>202503</v>
      </c>
      <c r="C875" s="412" t="s">
        <v>2945</v>
      </c>
      <c r="D875" s="413" t="str">
        <f ca="1">OFFSET('Tabla III.3.'!$F$37,H875-1,0)</f>
        <v>08.01.02.01.</v>
      </c>
      <c r="E875" s="412">
        <f t="shared" si="231"/>
        <v>0</v>
      </c>
      <c r="F875" s="414">
        <f ca="1">OFFSET('Tabla III.3.'!$H$37,H875-1,I875-1)</f>
        <v>0</v>
      </c>
      <c r="G875" s="412" t="str">
        <f ca="1">OFFSET('Tabla III.3.'!$H$1,0,I875-1)</f>
        <v>01</v>
      </c>
      <c r="H875" s="111">
        <f>+H863+1</f>
        <v>6</v>
      </c>
      <c r="I875" s="111">
        <v>1</v>
      </c>
      <c r="J875" s="111" t="str">
        <f ca="1">+'Tabla III.3.'!$C$9</f>
        <v>Tabla III.3.</v>
      </c>
      <c r="K875" s="111" t="s">
        <v>2267</v>
      </c>
      <c r="L875" s="412">
        <f>+L863+1</f>
        <v>6</v>
      </c>
    </row>
    <row r="876" spans="1:12" s="103" customFormat="1">
      <c r="A876" s="412" t="s">
        <v>2944</v>
      </c>
      <c r="B876" s="412" t="str">
        <f t="shared" si="230"/>
        <v>202503</v>
      </c>
      <c r="C876" s="412" t="str">
        <f ca="1">IF(G876="01","v2","v1")</f>
        <v>v1</v>
      </c>
      <c r="D876" s="413" t="str">
        <f ca="1">+D875</f>
        <v>08.01.02.01.</v>
      </c>
      <c r="E876" s="412">
        <f t="shared" si="231"/>
        <v>0</v>
      </c>
      <c r="F876" s="414">
        <f ca="1">OFFSET('Tabla III.3.'!$H$37,H876-1,I876-1)</f>
        <v>0</v>
      </c>
      <c r="G876" s="412" t="str">
        <f ca="1">OFFSET('Tabla III.3.'!$H$1,0,I876-1)</f>
        <v>02</v>
      </c>
      <c r="H876" s="111">
        <f>+H875</f>
        <v>6</v>
      </c>
      <c r="I876" s="111">
        <f>+I875+1</f>
        <v>2</v>
      </c>
      <c r="J876" s="111" t="str">
        <f ca="1">+'Tabla III.3.'!$C$9</f>
        <v>Tabla III.3.</v>
      </c>
      <c r="K876" s="111" t="str">
        <f t="shared" ref="K876:K886" si="242">+K875</f>
        <v>B</v>
      </c>
      <c r="L876" s="412"/>
    </row>
    <row r="877" spans="1:12" s="103" customFormat="1">
      <c r="A877" s="412" t="s">
        <v>2944</v>
      </c>
      <c r="B877" s="412" t="str">
        <f t="shared" si="230"/>
        <v>202503</v>
      </c>
      <c r="C877" s="412" t="str">
        <f t="shared" ref="C877:C886" ca="1" si="243">IF(G877="01","v2","v1")</f>
        <v>v1</v>
      </c>
      <c r="D877" s="413" t="str">
        <f t="shared" ref="D877:D886" ca="1" si="244">+D876</f>
        <v>08.01.02.01.</v>
      </c>
      <c r="E877" s="412">
        <f t="shared" si="231"/>
        <v>0</v>
      </c>
      <c r="F877" s="414">
        <f ca="1">OFFSET('Tabla III.3.'!$H$37,H877-1,I877-1)</f>
        <v>0</v>
      </c>
      <c r="G877" s="412" t="str">
        <f ca="1">OFFSET('Tabla III.3.'!$H$1,0,I877-1)</f>
        <v>03</v>
      </c>
      <c r="H877" s="111">
        <f t="shared" ref="H877:H886" si="245">+H876</f>
        <v>6</v>
      </c>
      <c r="I877" s="111">
        <f t="shared" ref="I877:I886" si="246">+I876+1</f>
        <v>3</v>
      </c>
      <c r="J877" s="111" t="str">
        <f ca="1">+'Tabla III.3.'!$C$9</f>
        <v>Tabla III.3.</v>
      </c>
      <c r="K877" s="111" t="str">
        <f t="shared" si="242"/>
        <v>B</v>
      </c>
      <c r="L877" s="412"/>
    </row>
    <row r="878" spans="1:12" s="103" customFormat="1">
      <c r="A878" s="412" t="s">
        <v>2944</v>
      </c>
      <c r="B878" s="412" t="str">
        <f t="shared" si="230"/>
        <v>202503</v>
      </c>
      <c r="C878" s="412" t="str">
        <f t="shared" ca="1" si="243"/>
        <v>v1</v>
      </c>
      <c r="D878" s="413" t="str">
        <f t="shared" ca="1" si="244"/>
        <v>08.01.02.01.</v>
      </c>
      <c r="E878" s="412">
        <f t="shared" si="231"/>
        <v>0</v>
      </c>
      <c r="F878" s="414">
        <f ca="1">OFFSET('Tabla III.3.'!$H$37,H878-1,I878-1)</f>
        <v>0</v>
      </c>
      <c r="G878" s="412" t="str">
        <f ca="1">OFFSET('Tabla III.3.'!$H$1,0,I878-1)</f>
        <v>04</v>
      </c>
      <c r="H878" s="111">
        <f t="shared" si="245"/>
        <v>6</v>
      </c>
      <c r="I878" s="111">
        <f t="shared" si="246"/>
        <v>4</v>
      </c>
      <c r="J878" s="111" t="str">
        <f ca="1">+'Tabla III.3.'!$C$9</f>
        <v>Tabla III.3.</v>
      </c>
      <c r="K878" s="111" t="str">
        <f t="shared" si="242"/>
        <v>B</v>
      </c>
      <c r="L878" s="412"/>
    </row>
    <row r="879" spans="1:12" s="103" customFormat="1">
      <c r="A879" s="412" t="s">
        <v>2944</v>
      </c>
      <c r="B879" s="412" t="str">
        <f t="shared" si="230"/>
        <v>202503</v>
      </c>
      <c r="C879" s="412" t="str">
        <f t="shared" ca="1" si="243"/>
        <v>v1</v>
      </c>
      <c r="D879" s="413" t="str">
        <f t="shared" ca="1" si="244"/>
        <v>08.01.02.01.</v>
      </c>
      <c r="E879" s="412">
        <f t="shared" si="231"/>
        <v>0</v>
      </c>
      <c r="F879" s="414">
        <f ca="1">OFFSET('Tabla III.3.'!$H$37,H879-1,I879-1)</f>
        <v>0</v>
      </c>
      <c r="G879" s="412" t="str">
        <f ca="1">OFFSET('Tabla III.3.'!$H$1,0,I879-1)</f>
        <v>05</v>
      </c>
      <c r="H879" s="111">
        <f t="shared" si="245"/>
        <v>6</v>
      </c>
      <c r="I879" s="111">
        <f t="shared" si="246"/>
        <v>5</v>
      </c>
      <c r="J879" s="111" t="str">
        <f ca="1">+'Tabla III.3.'!$C$9</f>
        <v>Tabla III.3.</v>
      </c>
      <c r="K879" s="111" t="str">
        <f t="shared" si="242"/>
        <v>B</v>
      </c>
      <c r="L879" s="412"/>
    </row>
    <row r="880" spans="1:12" s="103" customFormat="1">
      <c r="A880" s="412" t="s">
        <v>2944</v>
      </c>
      <c r="B880" s="412" t="str">
        <f t="shared" si="230"/>
        <v>202503</v>
      </c>
      <c r="C880" s="412" t="str">
        <f t="shared" ca="1" si="243"/>
        <v>v1</v>
      </c>
      <c r="D880" s="413" t="str">
        <f t="shared" ca="1" si="244"/>
        <v>08.01.02.01.</v>
      </c>
      <c r="E880" s="412">
        <f t="shared" si="231"/>
        <v>0</v>
      </c>
      <c r="F880" s="414">
        <f ca="1">OFFSET('Tabla III.3.'!$H$37,H880-1,I880-1)</f>
        <v>0</v>
      </c>
      <c r="G880" s="412" t="str">
        <f ca="1">OFFSET('Tabla III.3.'!$H$1,0,I880-1)</f>
        <v>06</v>
      </c>
      <c r="H880" s="111">
        <f t="shared" si="245"/>
        <v>6</v>
      </c>
      <c r="I880" s="111">
        <f t="shared" si="246"/>
        <v>6</v>
      </c>
      <c r="J880" s="111" t="str">
        <f ca="1">+'Tabla III.3.'!$C$9</f>
        <v>Tabla III.3.</v>
      </c>
      <c r="K880" s="111" t="str">
        <f t="shared" si="242"/>
        <v>B</v>
      </c>
      <c r="L880" s="412"/>
    </row>
    <row r="881" spans="1:12" s="103" customFormat="1">
      <c r="A881" s="412" t="s">
        <v>2944</v>
      </c>
      <c r="B881" s="412" t="str">
        <f t="shared" si="230"/>
        <v>202503</v>
      </c>
      <c r="C881" s="412" t="str">
        <f t="shared" ca="1" si="243"/>
        <v>v1</v>
      </c>
      <c r="D881" s="413" t="str">
        <f t="shared" ca="1" si="244"/>
        <v>08.01.02.01.</v>
      </c>
      <c r="E881" s="412">
        <f t="shared" si="231"/>
        <v>0</v>
      </c>
      <c r="F881" s="414">
        <f ca="1">OFFSET('Tabla III.3.'!$H$37,H881-1,I881-1)</f>
        <v>0</v>
      </c>
      <c r="G881" s="412" t="str">
        <f ca="1">OFFSET('Tabla III.3.'!$H$1,0,I881-1)</f>
        <v>07</v>
      </c>
      <c r="H881" s="111">
        <f t="shared" si="245"/>
        <v>6</v>
      </c>
      <c r="I881" s="111">
        <f t="shared" si="246"/>
        <v>7</v>
      </c>
      <c r="J881" s="111" t="str">
        <f ca="1">+'Tabla III.3.'!$C$9</f>
        <v>Tabla III.3.</v>
      </c>
      <c r="K881" s="111" t="str">
        <f t="shared" si="242"/>
        <v>B</v>
      </c>
      <c r="L881" s="412"/>
    </row>
    <row r="882" spans="1:12" s="103" customFormat="1">
      <c r="A882" s="412" t="s">
        <v>2944</v>
      </c>
      <c r="B882" s="412" t="str">
        <f t="shared" si="230"/>
        <v>202503</v>
      </c>
      <c r="C882" s="412" t="str">
        <f t="shared" ca="1" si="243"/>
        <v>v1</v>
      </c>
      <c r="D882" s="413" t="str">
        <f t="shared" ca="1" si="244"/>
        <v>08.01.02.01.</v>
      </c>
      <c r="E882" s="412">
        <f t="shared" si="231"/>
        <v>0</v>
      </c>
      <c r="F882" s="414">
        <f ca="1">OFFSET('Tabla III.3.'!$H$37,H882-1,I882-1)</f>
        <v>0</v>
      </c>
      <c r="G882" s="412" t="str">
        <f ca="1">OFFSET('Tabla III.3.'!$H$1,0,I882-1)</f>
        <v>08</v>
      </c>
      <c r="H882" s="111">
        <f t="shared" si="245"/>
        <v>6</v>
      </c>
      <c r="I882" s="111">
        <f t="shared" si="246"/>
        <v>8</v>
      </c>
      <c r="J882" s="111" t="str">
        <f ca="1">+'Tabla III.3.'!$C$9</f>
        <v>Tabla III.3.</v>
      </c>
      <c r="K882" s="111" t="str">
        <f t="shared" si="242"/>
        <v>B</v>
      </c>
      <c r="L882" s="412"/>
    </row>
    <row r="883" spans="1:12" s="103" customFormat="1">
      <c r="A883" s="412" t="s">
        <v>2944</v>
      </c>
      <c r="B883" s="412" t="str">
        <f t="shared" si="230"/>
        <v>202503</v>
      </c>
      <c r="C883" s="412" t="str">
        <f t="shared" ca="1" si="243"/>
        <v>v1</v>
      </c>
      <c r="D883" s="413" t="str">
        <f t="shared" ca="1" si="244"/>
        <v>08.01.02.01.</v>
      </c>
      <c r="E883" s="412">
        <f t="shared" si="231"/>
        <v>0</v>
      </c>
      <c r="F883" s="414">
        <f ca="1">OFFSET('Tabla III.3.'!$H$37,H883-1,I883-1)</f>
        <v>0</v>
      </c>
      <c r="G883" s="412" t="str">
        <f ca="1">OFFSET('Tabla III.3.'!$H$1,0,I883-1)</f>
        <v>09</v>
      </c>
      <c r="H883" s="111">
        <f t="shared" si="245"/>
        <v>6</v>
      </c>
      <c r="I883" s="111">
        <f t="shared" si="246"/>
        <v>9</v>
      </c>
      <c r="J883" s="111" t="str">
        <f ca="1">+'Tabla III.3.'!$C$9</f>
        <v>Tabla III.3.</v>
      </c>
      <c r="K883" s="111" t="str">
        <f t="shared" si="242"/>
        <v>B</v>
      </c>
      <c r="L883" s="412"/>
    </row>
    <row r="884" spans="1:12" s="103" customFormat="1">
      <c r="A884" s="412" t="s">
        <v>2944</v>
      </c>
      <c r="B884" s="412" t="str">
        <f t="shared" si="230"/>
        <v>202503</v>
      </c>
      <c r="C884" s="412" t="str">
        <f t="shared" ca="1" si="243"/>
        <v>v1</v>
      </c>
      <c r="D884" s="413" t="str">
        <f t="shared" ca="1" si="244"/>
        <v>08.01.02.01.</v>
      </c>
      <c r="E884" s="412">
        <f t="shared" si="231"/>
        <v>0</v>
      </c>
      <c r="F884" s="414">
        <f ca="1">OFFSET('Tabla III.3.'!$H$37,H884-1,I884-1)</f>
        <v>0</v>
      </c>
      <c r="G884" s="412" t="str">
        <f ca="1">OFFSET('Tabla III.3.'!$H$1,0,I884-1)</f>
        <v>10</v>
      </c>
      <c r="H884" s="111">
        <f t="shared" si="245"/>
        <v>6</v>
      </c>
      <c r="I884" s="111">
        <f t="shared" si="246"/>
        <v>10</v>
      </c>
      <c r="J884" s="111" t="str">
        <f ca="1">+'Tabla III.3.'!$C$9</f>
        <v>Tabla III.3.</v>
      </c>
      <c r="K884" s="111" t="str">
        <f t="shared" si="242"/>
        <v>B</v>
      </c>
      <c r="L884" s="412"/>
    </row>
    <row r="885" spans="1:12" s="103" customFormat="1">
      <c r="A885" s="412" t="s">
        <v>2944</v>
      </c>
      <c r="B885" s="412" t="str">
        <f t="shared" si="230"/>
        <v>202503</v>
      </c>
      <c r="C885" s="412" t="str">
        <f t="shared" ca="1" si="243"/>
        <v>v1</v>
      </c>
      <c r="D885" s="413" t="str">
        <f t="shared" ca="1" si="244"/>
        <v>08.01.02.01.</v>
      </c>
      <c r="E885" s="412">
        <f t="shared" si="231"/>
        <v>0</v>
      </c>
      <c r="F885" s="414">
        <f ca="1">OFFSET('Tabla III.3.'!$H$37,H885-1,I885-1)</f>
        <v>0</v>
      </c>
      <c r="G885" s="412" t="str">
        <f ca="1">OFFSET('Tabla III.3.'!$H$1,0,I885-1)</f>
        <v>11</v>
      </c>
      <c r="H885" s="111">
        <f t="shared" si="245"/>
        <v>6</v>
      </c>
      <c r="I885" s="111">
        <f t="shared" si="246"/>
        <v>11</v>
      </c>
      <c r="J885" s="111" t="str">
        <f ca="1">+'Tabla III.3.'!$C$9</f>
        <v>Tabla III.3.</v>
      </c>
      <c r="K885" s="111" t="str">
        <f t="shared" si="242"/>
        <v>B</v>
      </c>
      <c r="L885" s="412"/>
    </row>
    <row r="886" spans="1:12" s="103" customFormat="1">
      <c r="A886" s="412" t="s">
        <v>2944</v>
      </c>
      <c r="B886" s="412" t="str">
        <f t="shared" si="230"/>
        <v>202503</v>
      </c>
      <c r="C886" s="412" t="str">
        <f t="shared" ca="1" si="243"/>
        <v>v1</v>
      </c>
      <c r="D886" s="413" t="str">
        <f t="shared" ca="1" si="244"/>
        <v>08.01.02.01.</v>
      </c>
      <c r="E886" s="412">
        <f t="shared" si="231"/>
        <v>0</v>
      </c>
      <c r="F886" s="414">
        <f ca="1">OFFSET('Tabla III.3.'!$H$37,H886-1,I886-1)</f>
        <v>0</v>
      </c>
      <c r="G886" s="412" t="str">
        <f ca="1">OFFSET('Tabla III.3.'!$H$1,0,I886-1)</f>
        <v>12</v>
      </c>
      <c r="H886" s="111">
        <f t="shared" si="245"/>
        <v>6</v>
      </c>
      <c r="I886" s="111">
        <f t="shared" si="246"/>
        <v>12</v>
      </c>
      <c r="J886" s="111" t="str">
        <f ca="1">+'Tabla III.3.'!$C$9</f>
        <v>Tabla III.3.</v>
      </c>
      <c r="K886" s="111" t="str">
        <f t="shared" si="242"/>
        <v>B</v>
      </c>
      <c r="L886" s="412"/>
    </row>
    <row r="887" spans="1:12" s="103" customFormat="1">
      <c r="A887" s="107" t="s">
        <v>2944</v>
      </c>
      <c r="B887" s="107" t="str">
        <f t="shared" si="230"/>
        <v>202503</v>
      </c>
      <c r="C887" s="107" t="s">
        <v>2945</v>
      </c>
      <c r="D887" s="399" t="str">
        <f ca="1">OFFSET('Tabla III.3.'!$F$37,H887-1,0)</f>
        <v>08.01.02.02.</v>
      </c>
      <c r="E887" s="107">
        <f t="shared" si="231"/>
        <v>0</v>
      </c>
      <c r="F887" s="108">
        <f ca="1">OFFSET('Tabla III.3.'!$H$37,H887-1,I887-1)</f>
        <v>0</v>
      </c>
      <c r="G887" s="107" t="str">
        <f ca="1">OFFSET('Tabla III.3.'!$H$1,0,I887-1)</f>
        <v>01</v>
      </c>
      <c r="H887" s="110">
        <f>+H875+1</f>
        <v>7</v>
      </c>
      <c r="I887" s="110">
        <v>1</v>
      </c>
      <c r="J887" s="110" t="str">
        <f ca="1">+'Tabla III.3.'!$C$9</f>
        <v>Tabla III.3.</v>
      </c>
      <c r="K887" s="110" t="s">
        <v>2267</v>
      </c>
      <c r="L887" s="107">
        <f>+L875+1</f>
        <v>7</v>
      </c>
    </row>
    <row r="888" spans="1:12" s="103" customFormat="1">
      <c r="A888" s="107" t="s">
        <v>2944</v>
      </c>
      <c r="B888" s="107" t="str">
        <f t="shared" si="230"/>
        <v>202503</v>
      </c>
      <c r="C888" s="107" t="str">
        <f ca="1">IF(G888="01","v2","v1")</f>
        <v>v1</v>
      </c>
      <c r="D888" s="399" t="str">
        <f ca="1">+D887</f>
        <v>08.01.02.02.</v>
      </c>
      <c r="E888" s="107">
        <f t="shared" si="231"/>
        <v>0</v>
      </c>
      <c r="F888" s="108">
        <f ca="1">OFFSET('Tabla III.3.'!$H$37,H888-1,I888-1)</f>
        <v>0</v>
      </c>
      <c r="G888" s="107" t="str">
        <f ca="1">OFFSET('Tabla III.3.'!$H$1,0,I888-1)</f>
        <v>02</v>
      </c>
      <c r="H888" s="110">
        <f>+H887</f>
        <v>7</v>
      </c>
      <c r="I888" s="110">
        <f>+I887+1</f>
        <v>2</v>
      </c>
      <c r="J888" s="110" t="str">
        <f ca="1">+'Tabla III.3.'!$C$9</f>
        <v>Tabla III.3.</v>
      </c>
      <c r="K888" s="110" t="str">
        <f t="shared" ref="K888:K898" si="247">+K887</f>
        <v>B</v>
      </c>
      <c r="L888" s="107"/>
    </row>
    <row r="889" spans="1:12" s="103" customFormat="1">
      <c r="A889" s="107" t="s">
        <v>2944</v>
      </c>
      <c r="B889" s="107" t="str">
        <f t="shared" si="230"/>
        <v>202503</v>
      </c>
      <c r="C889" s="107" t="str">
        <f t="shared" ref="C889:C898" ca="1" si="248">IF(G889="01","v2","v1")</f>
        <v>v1</v>
      </c>
      <c r="D889" s="399" t="str">
        <f t="shared" ref="D889:D898" ca="1" si="249">+D888</f>
        <v>08.01.02.02.</v>
      </c>
      <c r="E889" s="107">
        <f t="shared" si="231"/>
        <v>0</v>
      </c>
      <c r="F889" s="108">
        <f ca="1">OFFSET('Tabla III.3.'!$H$37,H889-1,I889-1)</f>
        <v>0</v>
      </c>
      <c r="G889" s="107" t="str">
        <f ca="1">OFFSET('Tabla III.3.'!$H$1,0,I889-1)</f>
        <v>03</v>
      </c>
      <c r="H889" s="110">
        <f t="shared" ref="H889:H898" si="250">+H888</f>
        <v>7</v>
      </c>
      <c r="I889" s="110">
        <f t="shared" ref="I889:I898" si="251">+I888+1</f>
        <v>3</v>
      </c>
      <c r="J889" s="110" t="str">
        <f ca="1">+'Tabla III.3.'!$C$9</f>
        <v>Tabla III.3.</v>
      </c>
      <c r="K889" s="110" t="str">
        <f t="shared" si="247"/>
        <v>B</v>
      </c>
      <c r="L889" s="107"/>
    </row>
    <row r="890" spans="1:12" s="103" customFormat="1">
      <c r="A890" s="107" t="s">
        <v>2944</v>
      </c>
      <c r="B890" s="107" t="str">
        <f t="shared" si="230"/>
        <v>202503</v>
      </c>
      <c r="C890" s="107" t="str">
        <f t="shared" ca="1" si="248"/>
        <v>v1</v>
      </c>
      <c r="D890" s="399" t="str">
        <f t="shared" ca="1" si="249"/>
        <v>08.01.02.02.</v>
      </c>
      <c r="E890" s="107">
        <f t="shared" si="231"/>
        <v>0</v>
      </c>
      <c r="F890" s="108">
        <f ca="1">OFFSET('Tabla III.3.'!$H$37,H890-1,I890-1)</f>
        <v>0</v>
      </c>
      <c r="G890" s="107" t="str">
        <f ca="1">OFFSET('Tabla III.3.'!$H$1,0,I890-1)</f>
        <v>04</v>
      </c>
      <c r="H890" s="110">
        <f t="shared" si="250"/>
        <v>7</v>
      </c>
      <c r="I890" s="110">
        <f t="shared" si="251"/>
        <v>4</v>
      </c>
      <c r="J890" s="110" t="str">
        <f ca="1">+'Tabla III.3.'!$C$9</f>
        <v>Tabla III.3.</v>
      </c>
      <c r="K890" s="110" t="str">
        <f t="shared" si="247"/>
        <v>B</v>
      </c>
      <c r="L890" s="107"/>
    </row>
    <row r="891" spans="1:12" s="103" customFormat="1">
      <c r="A891" s="107" t="s">
        <v>2944</v>
      </c>
      <c r="B891" s="107" t="str">
        <f t="shared" si="230"/>
        <v>202503</v>
      </c>
      <c r="C891" s="107" t="str">
        <f t="shared" ca="1" si="248"/>
        <v>v1</v>
      </c>
      <c r="D891" s="399" t="str">
        <f t="shared" ca="1" si="249"/>
        <v>08.01.02.02.</v>
      </c>
      <c r="E891" s="107">
        <f t="shared" si="231"/>
        <v>0</v>
      </c>
      <c r="F891" s="108">
        <f ca="1">OFFSET('Tabla III.3.'!$H$37,H891-1,I891-1)</f>
        <v>0</v>
      </c>
      <c r="G891" s="107" t="str">
        <f ca="1">OFFSET('Tabla III.3.'!$H$1,0,I891-1)</f>
        <v>05</v>
      </c>
      <c r="H891" s="110">
        <f t="shared" si="250"/>
        <v>7</v>
      </c>
      <c r="I891" s="110">
        <f t="shared" si="251"/>
        <v>5</v>
      </c>
      <c r="J891" s="110" t="str">
        <f ca="1">+'Tabla III.3.'!$C$9</f>
        <v>Tabla III.3.</v>
      </c>
      <c r="K891" s="110" t="str">
        <f t="shared" si="247"/>
        <v>B</v>
      </c>
      <c r="L891" s="107"/>
    </row>
    <row r="892" spans="1:12" s="103" customFormat="1">
      <c r="A892" s="107" t="s">
        <v>2944</v>
      </c>
      <c r="B892" s="107" t="str">
        <f t="shared" si="230"/>
        <v>202503</v>
      </c>
      <c r="C892" s="107" t="str">
        <f t="shared" ca="1" si="248"/>
        <v>v1</v>
      </c>
      <c r="D892" s="399" t="str">
        <f t="shared" ca="1" si="249"/>
        <v>08.01.02.02.</v>
      </c>
      <c r="E892" s="107">
        <f t="shared" si="231"/>
        <v>0</v>
      </c>
      <c r="F892" s="108">
        <f ca="1">OFFSET('Tabla III.3.'!$H$37,H892-1,I892-1)</f>
        <v>0</v>
      </c>
      <c r="G892" s="107" t="str">
        <f ca="1">OFFSET('Tabla III.3.'!$H$1,0,I892-1)</f>
        <v>06</v>
      </c>
      <c r="H892" s="110">
        <f t="shared" si="250"/>
        <v>7</v>
      </c>
      <c r="I892" s="110">
        <f t="shared" si="251"/>
        <v>6</v>
      </c>
      <c r="J892" s="110" t="str">
        <f ca="1">+'Tabla III.3.'!$C$9</f>
        <v>Tabla III.3.</v>
      </c>
      <c r="K892" s="110" t="str">
        <f t="shared" si="247"/>
        <v>B</v>
      </c>
      <c r="L892" s="107"/>
    </row>
    <row r="893" spans="1:12" s="103" customFormat="1">
      <c r="A893" s="107" t="s">
        <v>2944</v>
      </c>
      <c r="B893" s="107" t="str">
        <f t="shared" si="230"/>
        <v>202503</v>
      </c>
      <c r="C893" s="107" t="str">
        <f t="shared" ca="1" si="248"/>
        <v>v1</v>
      </c>
      <c r="D893" s="399" t="str">
        <f t="shared" ca="1" si="249"/>
        <v>08.01.02.02.</v>
      </c>
      <c r="E893" s="107">
        <f t="shared" si="231"/>
        <v>0</v>
      </c>
      <c r="F893" s="108">
        <f ca="1">OFFSET('Tabla III.3.'!$H$37,H893-1,I893-1)</f>
        <v>0</v>
      </c>
      <c r="G893" s="107" t="str">
        <f ca="1">OFFSET('Tabla III.3.'!$H$1,0,I893-1)</f>
        <v>07</v>
      </c>
      <c r="H893" s="110">
        <f t="shared" si="250"/>
        <v>7</v>
      </c>
      <c r="I893" s="110">
        <f t="shared" si="251"/>
        <v>7</v>
      </c>
      <c r="J893" s="110" t="str">
        <f ca="1">+'Tabla III.3.'!$C$9</f>
        <v>Tabla III.3.</v>
      </c>
      <c r="K893" s="110" t="str">
        <f t="shared" si="247"/>
        <v>B</v>
      </c>
      <c r="L893" s="107"/>
    </row>
    <row r="894" spans="1:12" s="103" customFormat="1">
      <c r="A894" s="107" t="s">
        <v>2944</v>
      </c>
      <c r="B894" s="107" t="str">
        <f t="shared" si="230"/>
        <v>202503</v>
      </c>
      <c r="C894" s="107" t="str">
        <f t="shared" ca="1" si="248"/>
        <v>v1</v>
      </c>
      <c r="D894" s="399" t="str">
        <f t="shared" ca="1" si="249"/>
        <v>08.01.02.02.</v>
      </c>
      <c r="E894" s="107">
        <f t="shared" si="231"/>
        <v>0</v>
      </c>
      <c r="F894" s="108">
        <f ca="1">OFFSET('Tabla III.3.'!$H$37,H894-1,I894-1)</f>
        <v>0</v>
      </c>
      <c r="G894" s="107" t="str">
        <f ca="1">OFFSET('Tabla III.3.'!$H$1,0,I894-1)</f>
        <v>08</v>
      </c>
      <c r="H894" s="110">
        <f t="shared" si="250"/>
        <v>7</v>
      </c>
      <c r="I894" s="110">
        <f t="shared" si="251"/>
        <v>8</v>
      </c>
      <c r="J894" s="110" t="str">
        <f ca="1">+'Tabla III.3.'!$C$9</f>
        <v>Tabla III.3.</v>
      </c>
      <c r="K894" s="110" t="str">
        <f t="shared" si="247"/>
        <v>B</v>
      </c>
      <c r="L894" s="107"/>
    </row>
    <row r="895" spans="1:12" s="103" customFormat="1">
      <c r="A895" s="107" t="s">
        <v>2944</v>
      </c>
      <c r="B895" s="107" t="str">
        <f t="shared" si="230"/>
        <v>202503</v>
      </c>
      <c r="C895" s="107" t="str">
        <f t="shared" ca="1" si="248"/>
        <v>v1</v>
      </c>
      <c r="D895" s="399" t="str">
        <f t="shared" ca="1" si="249"/>
        <v>08.01.02.02.</v>
      </c>
      <c r="E895" s="107">
        <f t="shared" si="231"/>
        <v>0</v>
      </c>
      <c r="F895" s="108">
        <f ca="1">OFFSET('Tabla III.3.'!$H$37,H895-1,I895-1)</f>
        <v>0</v>
      </c>
      <c r="G895" s="107" t="str">
        <f ca="1">OFFSET('Tabla III.3.'!$H$1,0,I895-1)</f>
        <v>09</v>
      </c>
      <c r="H895" s="110">
        <f t="shared" si="250"/>
        <v>7</v>
      </c>
      <c r="I895" s="110">
        <f t="shared" si="251"/>
        <v>9</v>
      </c>
      <c r="J895" s="110" t="str">
        <f ca="1">+'Tabla III.3.'!$C$9</f>
        <v>Tabla III.3.</v>
      </c>
      <c r="K895" s="110" t="str">
        <f t="shared" si="247"/>
        <v>B</v>
      </c>
      <c r="L895" s="107"/>
    </row>
    <row r="896" spans="1:12" s="103" customFormat="1">
      <c r="A896" s="107" t="s">
        <v>2944</v>
      </c>
      <c r="B896" s="107" t="str">
        <f t="shared" si="230"/>
        <v>202503</v>
      </c>
      <c r="C896" s="107" t="str">
        <f t="shared" ca="1" si="248"/>
        <v>v1</v>
      </c>
      <c r="D896" s="399" t="str">
        <f t="shared" ca="1" si="249"/>
        <v>08.01.02.02.</v>
      </c>
      <c r="E896" s="107">
        <f t="shared" si="231"/>
        <v>0</v>
      </c>
      <c r="F896" s="108">
        <f ca="1">OFFSET('Tabla III.3.'!$H$37,H896-1,I896-1)</f>
        <v>0</v>
      </c>
      <c r="G896" s="107" t="str">
        <f ca="1">OFFSET('Tabla III.3.'!$H$1,0,I896-1)</f>
        <v>10</v>
      </c>
      <c r="H896" s="110">
        <f t="shared" si="250"/>
        <v>7</v>
      </c>
      <c r="I896" s="110">
        <f t="shared" si="251"/>
        <v>10</v>
      </c>
      <c r="J896" s="110" t="str">
        <f ca="1">+'Tabla III.3.'!$C$9</f>
        <v>Tabla III.3.</v>
      </c>
      <c r="K896" s="110" t="str">
        <f t="shared" si="247"/>
        <v>B</v>
      </c>
      <c r="L896" s="107"/>
    </row>
    <row r="897" spans="1:12" s="103" customFormat="1">
      <c r="A897" s="107" t="s">
        <v>2944</v>
      </c>
      <c r="B897" s="107" t="str">
        <f t="shared" si="230"/>
        <v>202503</v>
      </c>
      <c r="C897" s="107" t="str">
        <f t="shared" ca="1" si="248"/>
        <v>v1</v>
      </c>
      <c r="D897" s="399" t="str">
        <f t="shared" ca="1" si="249"/>
        <v>08.01.02.02.</v>
      </c>
      <c r="E897" s="107">
        <f t="shared" si="231"/>
        <v>0</v>
      </c>
      <c r="F897" s="108">
        <f ca="1">OFFSET('Tabla III.3.'!$H$37,H897-1,I897-1)</f>
        <v>0</v>
      </c>
      <c r="G897" s="107" t="str">
        <f ca="1">OFFSET('Tabla III.3.'!$H$1,0,I897-1)</f>
        <v>11</v>
      </c>
      <c r="H897" s="110">
        <f t="shared" si="250"/>
        <v>7</v>
      </c>
      <c r="I897" s="110">
        <f t="shared" si="251"/>
        <v>11</v>
      </c>
      <c r="J897" s="110" t="str">
        <f ca="1">+'Tabla III.3.'!$C$9</f>
        <v>Tabla III.3.</v>
      </c>
      <c r="K897" s="110" t="str">
        <f t="shared" si="247"/>
        <v>B</v>
      </c>
      <c r="L897" s="107"/>
    </row>
    <row r="898" spans="1:12" s="103" customFormat="1">
      <c r="A898" s="107" t="s">
        <v>2944</v>
      </c>
      <c r="B898" s="107" t="str">
        <f t="shared" si="230"/>
        <v>202503</v>
      </c>
      <c r="C898" s="107" t="str">
        <f t="shared" ca="1" si="248"/>
        <v>v1</v>
      </c>
      <c r="D898" s="399" t="str">
        <f t="shared" ca="1" si="249"/>
        <v>08.01.02.02.</v>
      </c>
      <c r="E898" s="107">
        <f t="shared" si="231"/>
        <v>0</v>
      </c>
      <c r="F898" s="108">
        <f ca="1">OFFSET('Tabla III.3.'!$H$37,H898-1,I898-1)</f>
        <v>0</v>
      </c>
      <c r="G898" s="107" t="str">
        <f ca="1">OFFSET('Tabla III.3.'!$H$1,0,I898-1)</f>
        <v>12</v>
      </c>
      <c r="H898" s="110">
        <f t="shared" si="250"/>
        <v>7</v>
      </c>
      <c r="I898" s="110">
        <f t="shared" si="251"/>
        <v>12</v>
      </c>
      <c r="J898" s="110" t="str">
        <f ca="1">+'Tabla III.3.'!$C$9</f>
        <v>Tabla III.3.</v>
      </c>
      <c r="K898" s="110" t="str">
        <f t="shared" si="247"/>
        <v>B</v>
      </c>
      <c r="L898" s="107"/>
    </row>
    <row r="899" spans="1:12" s="103" customFormat="1">
      <c r="A899" s="412" t="s">
        <v>2944</v>
      </c>
      <c r="B899" s="412" t="str">
        <f t="shared" si="230"/>
        <v>202503</v>
      </c>
      <c r="C899" s="412" t="s">
        <v>2945</v>
      </c>
      <c r="D899" s="413" t="str">
        <f ca="1">OFFSET('Tabla III.3.'!$F$37,H899-1,0)</f>
        <v>08.01.03.</v>
      </c>
      <c r="E899" s="412">
        <f t="shared" si="231"/>
        <v>0</v>
      </c>
      <c r="F899" s="414">
        <f ca="1">OFFSET('Tabla III.3.'!$H$37,H899-1,I899-1)</f>
        <v>0</v>
      </c>
      <c r="G899" s="412" t="str">
        <f ca="1">OFFSET('Tabla III.3.'!$H$1,0,I899-1)</f>
        <v>01</v>
      </c>
      <c r="H899" s="111">
        <f>+H887+1</f>
        <v>8</v>
      </c>
      <c r="I899" s="111">
        <v>1</v>
      </c>
      <c r="J899" s="111" t="str">
        <f ca="1">+'Tabla III.3.'!$C$9</f>
        <v>Tabla III.3.</v>
      </c>
      <c r="K899" s="111" t="s">
        <v>2267</v>
      </c>
      <c r="L899" s="412">
        <f>+L887+1</f>
        <v>8</v>
      </c>
    </row>
    <row r="900" spans="1:12" s="103" customFormat="1">
      <c r="A900" s="412" t="s">
        <v>2944</v>
      </c>
      <c r="B900" s="412" t="str">
        <f t="shared" si="230"/>
        <v>202503</v>
      </c>
      <c r="C900" s="412" t="str">
        <f ca="1">IF(G900="01","v2","v1")</f>
        <v>v1</v>
      </c>
      <c r="D900" s="413" t="str">
        <f ca="1">+D899</f>
        <v>08.01.03.</v>
      </c>
      <c r="E900" s="412">
        <f t="shared" si="231"/>
        <v>0</v>
      </c>
      <c r="F900" s="414">
        <f ca="1">OFFSET('Tabla III.3.'!$H$37,H900-1,I900-1)</f>
        <v>0</v>
      </c>
      <c r="G900" s="412" t="str">
        <f ca="1">OFFSET('Tabla III.3.'!$H$1,0,I900-1)</f>
        <v>02</v>
      </c>
      <c r="H900" s="111">
        <f>+H899</f>
        <v>8</v>
      </c>
      <c r="I900" s="111">
        <f>+I899+1</f>
        <v>2</v>
      </c>
      <c r="J900" s="111" t="str">
        <f ca="1">+'Tabla III.3.'!$C$9</f>
        <v>Tabla III.3.</v>
      </c>
      <c r="K900" s="111" t="str">
        <f t="shared" ref="K900:K910" si="252">+K899</f>
        <v>B</v>
      </c>
      <c r="L900" s="412"/>
    </row>
    <row r="901" spans="1:12" s="103" customFormat="1">
      <c r="A901" s="412" t="s">
        <v>2944</v>
      </c>
      <c r="B901" s="412" t="str">
        <f t="shared" si="230"/>
        <v>202503</v>
      </c>
      <c r="C901" s="412" t="str">
        <f t="shared" ref="C901:C910" ca="1" si="253">IF(G901="01","v2","v1")</f>
        <v>v1</v>
      </c>
      <c r="D901" s="413" t="str">
        <f t="shared" ref="D901:D910" ca="1" si="254">+D900</f>
        <v>08.01.03.</v>
      </c>
      <c r="E901" s="412">
        <f t="shared" si="231"/>
        <v>0</v>
      </c>
      <c r="F901" s="414">
        <f ca="1">OFFSET('Tabla III.3.'!$H$37,H901-1,I901-1)</f>
        <v>0</v>
      </c>
      <c r="G901" s="412" t="str">
        <f ca="1">OFFSET('Tabla III.3.'!$H$1,0,I901-1)</f>
        <v>03</v>
      </c>
      <c r="H901" s="111">
        <f t="shared" ref="H901:H910" si="255">+H900</f>
        <v>8</v>
      </c>
      <c r="I901" s="111">
        <f t="shared" ref="I901:I910" si="256">+I900+1</f>
        <v>3</v>
      </c>
      <c r="J901" s="111" t="str">
        <f ca="1">+'Tabla III.3.'!$C$9</f>
        <v>Tabla III.3.</v>
      </c>
      <c r="K901" s="111" t="str">
        <f t="shared" si="252"/>
        <v>B</v>
      </c>
      <c r="L901" s="412"/>
    </row>
    <row r="902" spans="1:12" s="103" customFormat="1">
      <c r="A902" s="412" t="s">
        <v>2944</v>
      </c>
      <c r="B902" s="412" t="str">
        <f t="shared" si="230"/>
        <v>202503</v>
      </c>
      <c r="C902" s="412" t="str">
        <f t="shared" ca="1" si="253"/>
        <v>v1</v>
      </c>
      <c r="D902" s="413" t="str">
        <f t="shared" ca="1" si="254"/>
        <v>08.01.03.</v>
      </c>
      <c r="E902" s="412">
        <f t="shared" si="231"/>
        <v>0</v>
      </c>
      <c r="F902" s="414">
        <f ca="1">OFFSET('Tabla III.3.'!$H$37,H902-1,I902-1)</f>
        <v>0</v>
      </c>
      <c r="G902" s="412" t="str">
        <f ca="1">OFFSET('Tabla III.3.'!$H$1,0,I902-1)</f>
        <v>04</v>
      </c>
      <c r="H902" s="111">
        <f t="shared" si="255"/>
        <v>8</v>
      </c>
      <c r="I902" s="111">
        <f t="shared" si="256"/>
        <v>4</v>
      </c>
      <c r="J902" s="111" t="str">
        <f ca="1">+'Tabla III.3.'!$C$9</f>
        <v>Tabla III.3.</v>
      </c>
      <c r="K902" s="111" t="str">
        <f t="shared" si="252"/>
        <v>B</v>
      </c>
      <c r="L902" s="412"/>
    </row>
    <row r="903" spans="1:12" s="103" customFormat="1">
      <c r="A903" s="412" t="s">
        <v>2944</v>
      </c>
      <c r="B903" s="412" t="str">
        <f t="shared" si="230"/>
        <v>202503</v>
      </c>
      <c r="C903" s="412" t="str">
        <f t="shared" ca="1" si="253"/>
        <v>v1</v>
      </c>
      <c r="D903" s="413" t="str">
        <f t="shared" ca="1" si="254"/>
        <v>08.01.03.</v>
      </c>
      <c r="E903" s="412">
        <f t="shared" si="231"/>
        <v>0</v>
      </c>
      <c r="F903" s="414">
        <f ca="1">OFFSET('Tabla III.3.'!$H$37,H903-1,I903-1)</f>
        <v>0</v>
      </c>
      <c r="G903" s="412" t="str">
        <f ca="1">OFFSET('Tabla III.3.'!$H$1,0,I903-1)</f>
        <v>05</v>
      </c>
      <c r="H903" s="111">
        <f t="shared" si="255"/>
        <v>8</v>
      </c>
      <c r="I903" s="111">
        <f t="shared" si="256"/>
        <v>5</v>
      </c>
      <c r="J903" s="111" t="str">
        <f ca="1">+'Tabla III.3.'!$C$9</f>
        <v>Tabla III.3.</v>
      </c>
      <c r="K903" s="111" t="str">
        <f t="shared" si="252"/>
        <v>B</v>
      </c>
      <c r="L903" s="412"/>
    </row>
    <row r="904" spans="1:12" s="103" customFormat="1">
      <c r="A904" s="412" t="s">
        <v>2944</v>
      </c>
      <c r="B904" s="412" t="str">
        <f t="shared" si="230"/>
        <v>202503</v>
      </c>
      <c r="C904" s="412" t="str">
        <f t="shared" ca="1" si="253"/>
        <v>v1</v>
      </c>
      <c r="D904" s="413" t="str">
        <f t="shared" ca="1" si="254"/>
        <v>08.01.03.</v>
      </c>
      <c r="E904" s="412">
        <f t="shared" si="231"/>
        <v>0</v>
      </c>
      <c r="F904" s="414">
        <f ca="1">OFFSET('Tabla III.3.'!$H$37,H904-1,I904-1)</f>
        <v>0</v>
      </c>
      <c r="G904" s="412" t="str">
        <f ca="1">OFFSET('Tabla III.3.'!$H$1,0,I904-1)</f>
        <v>06</v>
      </c>
      <c r="H904" s="111">
        <f t="shared" si="255"/>
        <v>8</v>
      </c>
      <c r="I904" s="111">
        <f t="shared" si="256"/>
        <v>6</v>
      </c>
      <c r="J904" s="111" t="str">
        <f ca="1">+'Tabla III.3.'!$C$9</f>
        <v>Tabla III.3.</v>
      </c>
      <c r="K904" s="111" t="str">
        <f t="shared" si="252"/>
        <v>B</v>
      </c>
      <c r="L904" s="412"/>
    </row>
    <row r="905" spans="1:12" s="103" customFormat="1">
      <c r="A905" s="412" t="s">
        <v>2944</v>
      </c>
      <c r="B905" s="412" t="str">
        <f t="shared" si="230"/>
        <v>202503</v>
      </c>
      <c r="C905" s="412" t="str">
        <f t="shared" ca="1" si="253"/>
        <v>v1</v>
      </c>
      <c r="D905" s="413" t="str">
        <f t="shared" ca="1" si="254"/>
        <v>08.01.03.</v>
      </c>
      <c r="E905" s="412">
        <f t="shared" si="231"/>
        <v>0</v>
      </c>
      <c r="F905" s="414">
        <f ca="1">OFFSET('Tabla III.3.'!$H$37,H905-1,I905-1)</f>
        <v>0</v>
      </c>
      <c r="G905" s="412" t="str">
        <f ca="1">OFFSET('Tabla III.3.'!$H$1,0,I905-1)</f>
        <v>07</v>
      </c>
      <c r="H905" s="111">
        <f t="shared" si="255"/>
        <v>8</v>
      </c>
      <c r="I905" s="111">
        <f t="shared" si="256"/>
        <v>7</v>
      </c>
      <c r="J905" s="111" t="str">
        <f ca="1">+'Tabla III.3.'!$C$9</f>
        <v>Tabla III.3.</v>
      </c>
      <c r="K905" s="111" t="str">
        <f t="shared" si="252"/>
        <v>B</v>
      </c>
      <c r="L905" s="412"/>
    </row>
    <row r="906" spans="1:12" s="103" customFormat="1">
      <c r="A906" s="412" t="s">
        <v>2944</v>
      </c>
      <c r="B906" s="412" t="str">
        <f t="shared" si="230"/>
        <v>202503</v>
      </c>
      <c r="C906" s="412" t="str">
        <f t="shared" ca="1" si="253"/>
        <v>v1</v>
      </c>
      <c r="D906" s="413" t="str">
        <f t="shared" ca="1" si="254"/>
        <v>08.01.03.</v>
      </c>
      <c r="E906" s="412">
        <f t="shared" si="231"/>
        <v>0</v>
      </c>
      <c r="F906" s="414">
        <f ca="1">OFFSET('Tabla III.3.'!$H$37,H906-1,I906-1)</f>
        <v>0</v>
      </c>
      <c r="G906" s="412" t="str">
        <f ca="1">OFFSET('Tabla III.3.'!$H$1,0,I906-1)</f>
        <v>08</v>
      </c>
      <c r="H906" s="111">
        <f t="shared" si="255"/>
        <v>8</v>
      </c>
      <c r="I906" s="111">
        <f t="shared" si="256"/>
        <v>8</v>
      </c>
      <c r="J906" s="111" t="str">
        <f ca="1">+'Tabla III.3.'!$C$9</f>
        <v>Tabla III.3.</v>
      </c>
      <c r="K906" s="111" t="str">
        <f t="shared" si="252"/>
        <v>B</v>
      </c>
      <c r="L906" s="412"/>
    </row>
    <row r="907" spans="1:12" s="103" customFormat="1">
      <c r="A907" s="412" t="s">
        <v>2944</v>
      </c>
      <c r="B907" s="412" t="str">
        <f t="shared" si="230"/>
        <v>202503</v>
      </c>
      <c r="C907" s="412" t="str">
        <f t="shared" ca="1" si="253"/>
        <v>v1</v>
      </c>
      <c r="D907" s="413" t="str">
        <f t="shared" ca="1" si="254"/>
        <v>08.01.03.</v>
      </c>
      <c r="E907" s="412">
        <f t="shared" si="231"/>
        <v>0</v>
      </c>
      <c r="F907" s="414">
        <f ca="1">OFFSET('Tabla III.3.'!$H$37,H907-1,I907-1)</f>
        <v>0</v>
      </c>
      <c r="G907" s="412" t="str">
        <f ca="1">OFFSET('Tabla III.3.'!$H$1,0,I907-1)</f>
        <v>09</v>
      </c>
      <c r="H907" s="111">
        <f t="shared" si="255"/>
        <v>8</v>
      </c>
      <c r="I907" s="111">
        <f t="shared" si="256"/>
        <v>9</v>
      </c>
      <c r="J907" s="111" t="str">
        <f ca="1">+'Tabla III.3.'!$C$9</f>
        <v>Tabla III.3.</v>
      </c>
      <c r="K907" s="111" t="str">
        <f t="shared" si="252"/>
        <v>B</v>
      </c>
      <c r="L907" s="412"/>
    </row>
    <row r="908" spans="1:12" s="103" customFormat="1">
      <c r="A908" s="412" t="s">
        <v>2944</v>
      </c>
      <c r="B908" s="412" t="str">
        <f t="shared" si="230"/>
        <v>202503</v>
      </c>
      <c r="C908" s="412" t="str">
        <f t="shared" ca="1" si="253"/>
        <v>v1</v>
      </c>
      <c r="D908" s="413" t="str">
        <f t="shared" ca="1" si="254"/>
        <v>08.01.03.</v>
      </c>
      <c r="E908" s="412">
        <f t="shared" si="231"/>
        <v>0</v>
      </c>
      <c r="F908" s="414">
        <f ca="1">OFFSET('Tabla III.3.'!$H$37,H908-1,I908-1)</f>
        <v>0</v>
      </c>
      <c r="G908" s="412" t="str">
        <f ca="1">OFFSET('Tabla III.3.'!$H$1,0,I908-1)</f>
        <v>10</v>
      </c>
      <c r="H908" s="111">
        <f t="shared" si="255"/>
        <v>8</v>
      </c>
      <c r="I908" s="111">
        <f t="shared" si="256"/>
        <v>10</v>
      </c>
      <c r="J908" s="111" t="str">
        <f ca="1">+'Tabla III.3.'!$C$9</f>
        <v>Tabla III.3.</v>
      </c>
      <c r="K908" s="111" t="str">
        <f t="shared" si="252"/>
        <v>B</v>
      </c>
      <c r="L908" s="412"/>
    </row>
    <row r="909" spans="1:12" s="103" customFormat="1">
      <c r="A909" s="412" t="s">
        <v>2944</v>
      </c>
      <c r="B909" s="412" t="str">
        <f t="shared" si="230"/>
        <v>202503</v>
      </c>
      <c r="C909" s="412" t="str">
        <f t="shared" ca="1" si="253"/>
        <v>v1</v>
      </c>
      <c r="D909" s="413" t="str">
        <f t="shared" ca="1" si="254"/>
        <v>08.01.03.</v>
      </c>
      <c r="E909" s="412">
        <f t="shared" si="231"/>
        <v>0</v>
      </c>
      <c r="F909" s="414">
        <f ca="1">OFFSET('Tabla III.3.'!$H$37,H909-1,I909-1)</f>
        <v>0</v>
      </c>
      <c r="G909" s="412" t="str">
        <f ca="1">OFFSET('Tabla III.3.'!$H$1,0,I909-1)</f>
        <v>11</v>
      </c>
      <c r="H909" s="111">
        <f t="shared" si="255"/>
        <v>8</v>
      </c>
      <c r="I909" s="111">
        <f t="shared" si="256"/>
        <v>11</v>
      </c>
      <c r="J909" s="111" t="str">
        <f ca="1">+'Tabla III.3.'!$C$9</f>
        <v>Tabla III.3.</v>
      </c>
      <c r="K909" s="111" t="str">
        <f t="shared" si="252"/>
        <v>B</v>
      </c>
      <c r="L909" s="412"/>
    </row>
    <row r="910" spans="1:12" s="103" customFormat="1">
      <c r="A910" s="412" t="s">
        <v>2944</v>
      </c>
      <c r="B910" s="412" t="str">
        <f t="shared" si="230"/>
        <v>202503</v>
      </c>
      <c r="C910" s="412" t="str">
        <f t="shared" ca="1" si="253"/>
        <v>v1</v>
      </c>
      <c r="D910" s="413" t="str">
        <f t="shared" ca="1" si="254"/>
        <v>08.01.03.</v>
      </c>
      <c r="E910" s="412">
        <f t="shared" si="231"/>
        <v>0</v>
      </c>
      <c r="F910" s="414">
        <f ca="1">OFFSET('Tabla III.3.'!$H$37,H910-1,I910-1)</f>
        <v>0</v>
      </c>
      <c r="G910" s="412" t="str">
        <f ca="1">OFFSET('Tabla III.3.'!$H$1,0,I910-1)</f>
        <v>12</v>
      </c>
      <c r="H910" s="111">
        <f t="shared" si="255"/>
        <v>8</v>
      </c>
      <c r="I910" s="111">
        <f t="shared" si="256"/>
        <v>12</v>
      </c>
      <c r="J910" s="111" t="str">
        <f ca="1">+'Tabla III.3.'!$C$9</f>
        <v>Tabla III.3.</v>
      </c>
      <c r="K910" s="111" t="str">
        <f t="shared" si="252"/>
        <v>B</v>
      </c>
      <c r="L910" s="412"/>
    </row>
    <row r="911" spans="1:12" s="103" customFormat="1">
      <c r="A911" s="107" t="s">
        <v>2944</v>
      </c>
      <c r="B911" s="107" t="str">
        <f t="shared" si="230"/>
        <v>202503</v>
      </c>
      <c r="C911" s="107" t="s">
        <v>2945</v>
      </c>
      <c r="D911" s="399" t="str">
        <f ca="1">OFFSET('Tabla III.3.'!$F$37,H911-1,0)</f>
        <v>08.01.03.01.</v>
      </c>
      <c r="E911" s="107">
        <f t="shared" si="231"/>
        <v>0</v>
      </c>
      <c r="F911" s="108">
        <f ca="1">OFFSET('Tabla III.3.'!$H$37,H911-1,I911-1)</f>
        <v>0</v>
      </c>
      <c r="G911" s="107" t="str">
        <f ca="1">OFFSET('Tabla III.3.'!$H$1,0,I911-1)</f>
        <v>01</v>
      </c>
      <c r="H911" s="110">
        <f>+H899+1</f>
        <v>9</v>
      </c>
      <c r="I911" s="110">
        <v>1</v>
      </c>
      <c r="J911" s="110" t="str">
        <f ca="1">+'Tabla III.3.'!$C$9</f>
        <v>Tabla III.3.</v>
      </c>
      <c r="K911" s="110" t="s">
        <v>2267</v>
      </c>
      <c r="L911" s="107">
        <f>+L899+1</f>
        <v>9</v>
      </c>
    </row>
    <row r="912" spans="1:12" s="103" customFormat="1">
      <c r="A912" s="107" t="s">
        <v>2944</v>
      </c>
      <c r="B912" s="107" t="str">
        <f t="shared" si="230"/>
        <v>202503</v>
      </c>
      <c r="C912" s="107" t="str">
        <f ca="1">IF(G912="01","v2","v1")</f>
        <v>v1</v>
      </c>
      <c r="D912" s="399" t="str">
        <f ca="1">+D911</f>
        <v>08.01.03.01.</v>
      </c>
      <c r="E912" s="107">
        <f t="shared" si="231"/>
        <v>0</v>
      </c>
      <c r="F912" s="108">
        <f ca="1">OFFSET('Tabla III.3.'!$H$37,H912-1,I912-1)</f>
        <v>0</v>
      </c>
      <c r="G912" s="107" t="str">
        <f ca="1">OFFSET('Tabla III.3.'!$H$1,0,I912-1)</f>
        <v>02</v>
      </c>
      <c r="H912" s="110">
        <f>+H911</f>
        <v>9</v>
      </c>
      <c r="I912" s="110">
        <f>+I911+1</f>
        <v>2</v>
      </c>
      <c r="J912" s="110" t="str">
        <f ca="1">+'Tabla III.3.'!$C$9</f>
        <v>Tabla III.3.</v>
      </c>
      <c r="K912" s="110" t="str">
        <f t="shared" ref="K912:K922" si="257">+K911</f>
        <v>B</v>
      </c>
      <c r="L912" s="107"/>
    </row>
    <row r="913" spans="1:12" s="103" customFormat="1">
      <c r="A913" s="107" t="s">
        <v>2944</v>
      </c>
      <c r="B913" s="107" t="str">
        <f t="shared" si="230"/>
        <v>202503</v>
      </c>
      <c r="C913" s="107" t="str">
        <f t="shared" ref="C913:C922" ca="1" si="258">IF(G913="01","v2","v1")</f>
        <v>v1</v>
      </c>
      <c r="D913" s="399" t="str">
        <f t="shared" ref="D913:D922" ca="1" si="259">+D912</f>
        <v>08.01.03.01.</v>
      </c>
      <c r="E913" s="107">
        <f t="shared" si="231"/>
        <v>0</v>
      </c>
      <c r="F913" s="108">
        <f ca="1">OFFSET('Tabla III.3.'!$H$37,H913-1,I913-1)</f>
        <v>0</v>
      </c>
      <c r="G913" s="107" t="str">
        <f ca="1">OFFSET('Tabla III.3.'!$H$1,0,I913-1)</f>
        <v>03</v>
      </c>
      <c r="H913" s="110">
        <f t="shared" ref="H913:H922" si="260">+H912</f>
        <v>9</v>
      </c>
      <c r="I913" s="110">
        <f t="shared" ref="I913:I922" si="261">+I912+1</f>
        <v>3</v>
      </c>
      <c r="J913" s="110" t="str">
        <f ca="1">+'Tabla III.3.'!$C$9</f>
        <v>Tabla III.3.</v>
      </c>
      <c r="K913" s="110" t="str">
        <f t="shared" si="257"/>
        <v>B</v>
      </c>
      <c r="L913" s="107"/>
    </row>
    <row r="914" spans="1:12" s="103" customFormat="1">
      <c r="A914" s="107" t="s">
        <v>2944</v>
      </c>
      <c r="B914" s="107" t="str">
        <f t="shared" si="230"/>
        <v>202503</v>
      </c>
      <c r="C914" s="107" t="str">
        <f t="shared" ca="1" si="258"/>
        <v>v1</v>
      </c>
      <c r="D914" s="399" t="str">
        <f t="shared" ca="1" si="259"/>
        <v>08.01.03.01.</v>
      </c>
      <c r="E914" s="107">
        <f t="shared" si="231"/>
        <v>0</v>
      </c>
      <c r="F914" s="108">
        <f ca="1">OFFSET('Tabla III.3.'!$H$37,H914-1,I914-1)</f>
        <v>0</v>
      </c>
      <c r="G914" s="107" t="str">
        <f ca="1">OFFSET('Tabla III.3.'!$H$1,0,I914-1)</f>
        <v>04</v>
      </c>
      <c r="H914" s="110">
        <f t="shared" si="260"/>
        <v>9</v>
      </c>
      <c r="I914" s="110">
        <f t="shared" si="261"/>
        <v>4</v>
      </c>
      <c r="J914" s="110" t="str">
        <f ca="1">+'Tabla III.3.'!$C$9</f>
        <v>Tabla III.3.</v>
      </c>
      <c r="K914" s="110" t="str">
        <f t="shared" si="257"/>
        <v>B</v>
      </c>
      <c r="L914" s="107"/>
    </row>
    <row r="915" spans="1:12" s="103" customFormat="1">
      <c r="A915" s="107" t="s">
        <v>2944</v>
      </c>
      <c r="B915" s="107" t="str">
        <f t="shared" ref="B915:B978" si="262">PERIODO</f>
        <v>202503</v>
      </c>
      <c r="C915" s="107" t="str">
        <f t="shared" ca="1" si="258"/>
        <v>v1</v>
      </c>
      <c r="D915" s="399" t="str">
        <f t="shared" ca="1" si="259"/>
        <v>08.01.03.01.</v>
      </c>
      <c r="E915" s="107">
        <f t="shared" si="231"/>
        <v>0</v>
      </c>
      <c r="F915" s="108">
        <f ca="1">OFFSET('Tabla III.3.'!$H$37,H915-1,I915-1)</f>
        <v>0</v>
      </c>
      <c r="G915" s="107" t="str">
        <f ca="1">OFFSET('Tabla III.3.'!$H$1,0,I915-1)</f>
        <v>05</v>
      </c>
      <c r="H915" s="110">
        <f t="shared" si="260"/>
        <v>9</v>
      </c>
      <c r="I915" s="110">
        <f t="shared" si="261"/>
        <v>5</v>
      </c>
      <c r="J915" s="110" t="str">
        <f ca="1">+'Tabla III.3.'!$C$9</f>
        <v>Tabla III.3.</v>
      </c>
      <c r="K915" s="110" t="str">
        <f t="shared" si="257"/>
        <v>B</v>
      </c>
      <c r="L915" s="107"/>
    </row>
    <row r="916" spans="1:12" s="103" customFormat="1">
      <c r="A916" s="107" t="s">
        <v>2944</v>
      </c>
      <c r="B916" s="107" t="str">
        <f t="shared" si="262"/>
        <v>202503</v>
      </c>
      <c r="C916" s="107" t="str">
        <f t="shared" ca="1" si="258"/>
        <v>v1</v>
      </c>
      <c r="D916" s="399" t="str">
        <f t="shared" ca="1" si="259"/>
        <v>08.01.03.01.</v>
      </c>
      <c r="E916" s="107">
        <f t="shared" ref="E916:E979" si="263">RUC</f>
        <v>0</v>
      </c>
      <c r="F916" s="108">
        <f ca="1">OFFSET('Tabla III.3.'!$H$37,H916-1,I916-1)</f>
        <v>0</v>
      </c>
      <c r="G916" s="107" t="str">
        <f ca="1">OFFSET('Tabla III.3.'!$H$1,0,I916-1)</f>
        <v>06</v>
      </c>
      <c r="H916" s="110">
        <f t="shared" si="260"/>
        <v>9</v>
      </c>
      <c r="I916" s="110">
        <f t="shared" si="261"/>
        <v>6</v>
      </c>
      <c r="J916" s="110" t="str">
        <f ca="1">+'Tabla III.3.'!$C$9</f>
        <v>Tabla III.3.</v>
      </c>
      <c r="K916" s="110" t="str">
        <f t="shared" si="257"/>
        <v>B</v>
      </c>
      <c r="L916" s="107"/>
    </row>
    <row r="917" spans="1:12" s="103" customFormat="1">
      <c r="A917" s="107" t="s">
        <v>2944</v>
      </c>
      <c r="B917" s="107" t="str">
        <f t="shared" si="262"/>
        <v>202503</v>
      </c>
      <c r="C917" s="107" t="str">
        <f t="shared" ca="1" si="258"/>
        <v>v1</v>
      </c>
      <c r="D917" s="399" t="str">
        <f t="shared" ca="1" si="259"/>
        <v>08.01.03.01.</v>
      </c>
      <c r="E917" s="107">
        <f t="shared" si="263"/>
        <v>0</v>
      </c>
      <c r="F917" s="108">
        <f ca="1">OFFSET('Tabla III.3.'!$H$37,H917-1,I917-1)</f>
        <v>0</v>
      </c>
      <c r="G917" s="107" t="str">
        <f ca="1">OFFSET('Tabla III.3.'!$H$1,0,I917-1)</f>
        <v>07</v>
      </c>
      <c r="H917" s="110">
        <f t="shared" si="260"/>
        <v>9</v>
      </c>
      <c r="I917" s="110">
        <f t="shared" si="261"/>
        <v>7</v>
      </c>
      <c r="J917" s="110" t="str">
        <f ca="1">+'Tabla III.3.'!$C$9</f>
        <v>Tabla III.3.</v>
      </c>
      <c r="K917" s="110" t="str">
        <f t="shared" si="257"/>
        <v>B</v>
      </c>
      <c r="L917" s="107"/>
    </row>
    <row r="918" spans="1:12" s="103" customFormat="1">
      <c r="A918" s="107" t="s">
        <v>2944</v>
      </c>
      <c r="B918" s="107" t="str">
        <f t="shared" si="262"/>
        <v>202503</v>
      </c>
      <c r="C918" s="107" t="str">
        <f t="shared" ca="1" si="258"/>
        <v>v1</v>
      </c>
      <c r="D918" s="399" t="str">
        <f t="shared" ca="1" si="259"/>
        <v>08.01.03.01.</v>
      </c>
      <c r="E918" s="107">
        <f t="shared" si="263"/>
        <v>0</v>
      </c>
      <c r="F918" s="108">
        <f ca="1">OFFSET('Tabla III.3.'!$H$37,H918-1,I918-1)</f>
        <v>0</v>
      </c>
      <c r="G918" s="107" t="str">
        <f ca="1">OFFSET('Tabla III.3.'!$H$1,0,I918-1)</f>
        <v>08</v>
      </c>
      <c r="H918" s="110">
        <f t="shared" si="260"/>
        <v>9</v>
      </c>
      <c r="I918" s="110">
        <f t="shared" si="261"/>
        <v>8</v>
      </c>
      <c r="J918" s="110" t="str">
        <f ca="1">+'Tabla III.3.'!$C$9</f>
        <v>Tabla III.3.</v>
      </c>
      <c r="K918" s="110" t="str">
        <f t="shared" si="257"/>
        <v>B</v>
      </c>
      <c r="L918" s="107"/>
    </row>
    <row r="919" spans="1:12" s="103" customFormat="1">
      <c r="A919" s="107" t="s">
        <v>2944</v>
      </c>
      <c r="B919" s="107" t="str">
        <f t="shared" si="262"/>
        <v>202503</v>
      </c>
      <c r="C919" s="107" t="str">
        <f t="shared" ca="1" si="258"/>
        <v>v1</v>
      </c>
      <c r="D919" s="399" t="str">
        <f t="shared" ca="1" si="259"/>
        <v>08.01.03.01.</v>
      </c>
      <c r="E919" s="107">
        <f t="shared" si="263"/>
        <v>0</v>
      </c>
      <c r="F919" s="108">
        <f ca="1">OFFSET('Tabla III.3.'!$H$37,H919-1,I919-1)</f>
        <v>0</v>
      </c>
      <c r="G919" s="107" t="str">
        <f ca="1">OFFSET('Tabla III.3.'!$H$1,0,I919-1)</f>
        <v>09</v>
      </c>
      <c r="H919" s="110">
        <f t="shared" si="260"/>
        <v>9</v>
      </c>
      <c r="I919" s="110">
        <f t="shared" si="261"/>
        <v>9</v>
      </c>
      <c r="J919" s="110" t="str">
        <f ca="1">+'Tabla III.3.'!$C$9</f>
        <v>Tabla III.3.</v>
      </c>
      <c r="K919" s="110" t="str">
        <f t="shared" si="257"/>
        <v>B</v>
      </c>
      <c r="L919" s="107"/>
    </row>
    <row r="920" spans="1:12" s="103" customFormat="1">
      <c r="A920" s="107" t="s">
        <v>2944</v>
      </c>
      <c r="B920" s="107" t="str">
        <f t="shared" si="262"/>
        <v>202503</v>
      </c>
      <c r="C920" s="107" t="str">
        <f t="shared" ca="1" si="258"/>
        <v>v1</v>
      </c>
      <c r="D920" s="399" t="str">
        <f t="shared" ca="1" si="259"/>
        <v>08.01.03.01.</v>
      </c>
      <c r="E920" s="107">
        <f t="shared" si="263"/>
        <v>0</v>
      </c>
      <c r="F920" s="108">
        <f ca="1">OFFSET('Tabla III.3.'!$H$37,H920-1,I920-1)</f>
        <v>0</v>
      </c>
      <c r="G920" s="107" t="str">
        <f ca="1">OFFSET('Tabla III.3.'!$H$1,0,I920-1)</f>
        <v>10</v>
      </c>
      <c r="H920" s="110">
        <f t="shared" si="260"/>
        <v>9</v>
      </c>
      <c r="I920" s="110">
        <f t="shared" si="261"/>
        <v>10</v>
      </c>
      <c r="J920" s="110" t="str">
        <f ca="1">+'Tabla III.3.'!$C$9</f>
        <v>Tabla III.3.</v>
      </c>
      <c r="K920" s="110" t="str">
        <f t="shared" si="257"/>
        <v>B</v>
      </c>
      <c r="L920" s="107"/>
    </row>
    <row r="921" spans="1:12" s="103" customFormat="1">
      <c r="A921" s="107" t="s">
        <v>2944</v>
      </c>
      <c r="B921" s="107" t="str">
        <f t="shared" si="262"/>
        <v>202503</v>
      </c>
      <c r="C921" s="107" t="str">
        <f t="shared" ca="1" si="258"/>
        <v>v1</v>
      </c>
      <c r="D921" s="399" t="str">
        <f t="shared" ca="1" si="259"/>
        <v>08.01.03.01.</v>
      </c>
      <c r="E921" s="107">
        <f t="shared" si="263"/>
        <v>0</v>
      </c>
      <c r="F921" s="108">
        <f ca="1">OFFSET('Tabla III.3.'!$H$37,H921-1,I921-1)</f>
        <v>0</v>
      </c>
      <c r="G921" s="107" t="str">
        <f ca="1">OFFSET('Tabla III.3.'!$H$1,0,I921-1)</f>
        <v>11</v>
      </c>
      <c r="H921" s="110">
        <f t="shared" si="260"/>
        <v>9</v>
      </c>
      <c r="I921" s="110">
        <f t="shared" si="261"/>
        <v>11</v>
      </c>
      <c r="J921" s="110" t="str">
        <f ca="1">+'Tabla III.3.'!$C$9</f>
        <v>Tabla III.3.</v>
      </c>
      <c r="K921" s="110" t="str">
        <f t="shared" si="257"/>
        <v>B</v>
      </c>
      <c r="L921" s="107"/>
    </row>
    <row r="922" spans="1:12" s="103" customFormat="1">
      <c r="A922" s="107" t="s">
        <v>2944</v>
      </c>
      <c r="B922" s="107" t="str">
        <f t="shared" si="262"/>
        <v>202503</v>
      </c>
      <c r="C922" s="107" t="str">
        <f t="shared" ca="1" si="258"/>
        <v>v1</v>
      </c>
      <c r="D922" s="399" t="str">
        <f t="shared" ca="1" si="259"/>
        <v>08.01.03.01.</v>
      </c>
      <c r="E922" s="107">
        <f t="shared" si="263"/>
        <v>0</v>
      </c>
      <c r="F922" s="108">
        <f ca="1">OFFSET('Tabla III.3.'!$H$37,H922-1,I922-1)</f>
        <v>0</v>
      </c>
      <c r="G922" s="107" t="str">
        <f ca="1">OFFSET('Tabla III.3.'!$H$1,0,I922-1)</f>
        <v>12</v>
      </c>
      <c r="H922" s="110">
        <f t="shared" si="260"/>
        <v>9</v>
      </c>
      <c r="I922" s="110">
        <f t="shared" si="261"/>
        <v>12</v>
      </c>
      <c r="J922" s="110" t="str">
        <f ca="1">+'Tabla III.3.'!$C$9</f>
        <v>Tabla III.3.</v>
      </c>
      <c r="K922" s="110" t="str">
        <f t="shared" si="257"/>
        <v>B</v>
      </c>
      <c r="L922" s="107"/>
    </row>
    <row r="923" spans="1:12" s="103" customFormat="1">
      <c r="A923" s="412" t="s">
        <v>2944</v>
      </c>
      <c r="B923" s="412" t="str">
        <f t="shared" si="262"/>
        <v>202503</v>
      </c>
      <c r="C923" s="412" t="s">
        <v>2945</v>
      </c>
      <c r="D923" s="413" t="str">
        <f ca="1">OFFSET('Tabla III.3.'!$F$37,H923-1,0)</f>
        <v>08.01.03.02.</v>
      </c>
      <c r="E923" s="412">
        <f t="shared" si="263"/>
        <v>0</v>
      </c>
      <c r="F923" s="414">
        <f ca="1">OFFSET('Tabla III.3.'!$H$37,H923-1,I923-1)</f>
        <v>0</v>
      </c>
      <c r="G923" s="412" t="str">
        <f ca="1">OFFSET('Tabla III.3.'!$H$1,0,I923-1)</f>
        <v>01</v>
      </c>
      <c r="H923" s="111">
        <f>+H911+1</f>
        <v>10</v>
      </c>
      <c r="I923" s="111">
        <v>1</v>
      </c>
      <c r="J923" s="111" t="str">
        <f ca="1">+'Tabla III.3.'!$C$9</f>
        <v>Tabla III.3.</v>
      </c>
      <c r="K923" s="111" t="s">
        <v>2267</v>
      </c>
      <c r="L923" s="412">
        <f>+L911+1</f>
        <v>10</v>
      </c>
    </row>
    <row r="924" spans="1:12" s="103" customFormat="1">
      <c r="A924" s="412" t="s">
        <v>2944</v>
      </c>
      <c r="B924" s="412" t="str">
        <f t="shared" si="262"/>
        <v>202503</v>
      </c>
      <c r="C924" s="412" t="str">
        <f ca="1">IF(G924="01","v2","v1")</f>
        <v>v1</v>
      </c>
      <c r="D924" s="413" t="str">
        <f ca="1">+D923</f>
        <v>08.01.03.02.</v>
      </c>
      <c r="E924" s="412">
        <f t="shared" si="263"/>
        <v>0</v>
      </c>
      <c r="F924" s="414">
        <f ca="1">OFFSET('Tabla III.3.'!$H$37,H924-1,I924-1)</f>
        <v>0</v>
      </c>
      <c r="G924" s="412" t="str">
        <f ca="1">OFFSET('Tabla III.3.'!$H$1,0,I924-1)</f>
        <v>02</v>
      </c>
      <c r="H924" s="111">
        <f>+H923</f>
        <v>10</v>
      </c>
      <c r="I924" s="111">
        <f>+I923+1</f>
        <v>2</v>
      </c>
      <c r="J924" s="111" t="str">
        <f ca="1">+'Tabla III.3.'!$C$9</f>
        <v>Tabla III.3.</v>
      </c>
      <c r="K924" s="111" t="str">
        <f t="shared" ref="K924:K934" si="264">+K923</f>
        <v>B</v>
      </c>
      <c r="L924" s="412"/>
    </row>
    <row r="925" spans="1:12" s="103" customFormat="1">
      <c r="A925" s="412" t="s">
        <v>2944</v>
      </c>
      <c r="B925" s="412" t="str">
        <f t="shared" si="262"/>
        <v>202503</v>
      </c>
      <c r="C925" s="412" t="str">
        <f t="shared" ref="C925:C934" ca="1" si="265">IF(G925="01","v2","v1")</f>
        <v>v1</v>
      </c>
      <c r="D925" s="413" t="str">
        <f t="shared" ref="D925:D934" ca="1" si="266">+D924</f>
        <v>08.01.03.02.</v>
      </c>
      <c r="E925" s="412">
        <f t="shared" si="263"/>
        <v>0</v>
      </c>
      <c r="F925" s="414">
        <f ca="1">OFFSET('Tabla III.3.'!$H$37,H925-1,I925-1)</f>
        <v>0</v>
      </c>
      <c r="G925" s="412" t="str">
        <f ca="1">OFFSET('Tabla III.3.'!$H$1,0,I925-1)</f>
        <v>03</v>
      </c>
      <c r="H925" s="111">
        <f t="shared" ref="H925:H934" si="267">+H924</f>
        <v>10</v>
      </c>
      <c r="I925" s="111">
        <f t="shared" ref="I925:I934" si="268">+I924+1</f>
        <v>3</v>
      </c>
      <c r="J925" s="111" t="str">
        <f ca="1">+'Tabla III.3.'!$C$9</f>
        <v>Tabla III.3.</v>
      </c>
      <c r="K925" s="111" t="str">
        <f t="shared" si="264"/>
        <v>B</v>
      </c>
      <c r="L925" s="412"/>
    </row>
    <row r="926" spans="1:12" s="103" customFormat="1">
      <c r="A926" s="412" t="s">
        <v>2944</v>
      </c>
      <c r="B926" s="412" t="str">
        <f t="shared" si="262"/>
        <v>202503</v>
      </c>
      <c r="C926" s="412" t="str">
        <f t="shared" ca="1" si="265"/>
        <v>v1</v>
      </c>
      <c r="D926" s="413" t="str">
        <f t="shared" ca="1" si="266"/>
        <v>08.01.03.02.</v>
      </c>
      <c r="E926" s="412">
        <f t="shared" si="263"/>
        <v>0</v>
      </c>
      <c r="F926" s="414">
        <f ca="1">OFFSET('Tabla III.3.'!$H$37,H926-1,I926-1)</f>
        <v>0</v>
      </c>
      <c r="G926" s="412" t="str">
        <f ca="1">OFFSET('Tabla III.3.'!$H$1,0,I926-1)</f>
        <v>04</v>
      </c>
      <c r="H926" s="111">
        <f t="shared" si="267"/>
        <v>10</v>
      </c>
      <c r="I926" s="111">
        <f t="shared" si="268"/>
        <v>4</v>
      </c>
      <c r="J926" s="111" t="str">
        <f ca="1">+'Tabla III.3.'!$C$9</f>
        <v>Tabla III.3.</v>
      </c>
      <c r="K926" s="111" t="str">
        <f t="shared" si="264"/>
        <v>B</v>
      </c>
      <c r="L926" s="412"/>
    </row>
    <row r="927" spans="1:12" s="103" customFormat="1">
      <c r="A927" s="412" t="s">
        <v>2944</v>
      </c>
      <c r="B927" s="412" t="str">
        <f t="shared" si="262"/>
        <v>202503</v>
      </c>
      <c r="C927" s="412" t="str">
        <f t="shared" ca="1" si="265"/>
        <v>v1</v>
      </c>
      <c r="D927" s="413" t="str">
        <f t="shared" ca="1" si="266"/>
        <v>08.01.03.02.</v>
      </c>
      <c r="E927" s="412">
        <f t="shared" si="263"/>
        <v>0</v>
      </c>
      <c r="F927" s="414">
        <f ca="1">OFFSET('Tabla III.3.'!$H$37,H927-1,I927-1)</f>
        <v>0</v>
      </c>
      <c r="G927" s="412" t="str">
        <f ca="1">OFFSET('Tabla III.3.'!$H$1,0,I927-1)</f>
        <v>05</v>
      </c>
      <c r="H927" s="111">
        <f t="shared" si="267"/>
        <v>10</v>
      </c>
      <c r="I927" s="111">
        <f t="shared" si="268"/>
        <v>5</v>
      </c>
      <c r="J927" s="111" t="str">
        <f ca="1">+'Tabla III.3.'!$C$9</f>
        <v>Tabla III.3.</v>
      </c>
      <c r="K927" s="111" t="str">
        <f t="shared" si="264"/>
        <v>B</v>
      </c>
      <c r="L927" s="412"/>
    </row>
    <row r="928" spans="1:12" s="103" customFormat="1">
      <c r="A928" s="412" t="s">
        <v>2944</v>
      </c>
      <c r="B928" s="412" t="str">
        <f t="shared" si="262"/>
        <v>202503</v>
      </c>
      <c r="C928" s="412" t="str">
        <f t="shared" ca="1" si="265"/>
        <v>v1</v>
      </c>
      <c r="D928" s="413" t="str">
        <f t="shared" ca="1" si="266"/>
        <v>08.01.03.02.</v>
      </c>
      <c r="E928" s="412">
        <f t="shared" si="263"/>
        <v>0</v>
      </c>
      <c r="F928" s="414">
        <f ca="1">OFFSET('Tabla III.3.'!$H$37,H928-1,I928-1)</f>
        <v>0</v>
      </c>
      <c r="G928" s="412" t="str">
        <f ca="1">OFFSET('Tabla III.3.'!$H$1,0,I928-1)</f>
        <v>06</v>
      </c>
      <c r="H928" s="111">
        <f t="shared" si="267"/>
        <v>10</v>
      </c>
      <c r="I928" s="111">
        <f t="shared" si="268"/>
        <v>6</v>
      </c>
      <c r="J928" s="111" t="str">
        <f ca="1">+'Tabla III.3.'!$C$9</f>
        <v>Tabla III.3.</v>
      </c>
      <c r="K928" s="111" t="str">
        <f t="shared" si="264"/>
        <v>B</v>
      </c>
      <c r="L928" s="412"/>
    </row>
    <row r="929" spans="1:12" s="103" customFormat="1">
      <c r="A929" s="412" t="s">
        <v>2944</v>
      </c>
      <c r="B929" s="412" t="str">
        <f t="shared" si="262"/>
        <v>202503</v>
      </c>
      <c r="C929" s="412" t="str">
        <f t="shared" ca="1" si="265"/>
        <v>v1</v>
      </c>
      <c r="D929" s="413" t="str">
        <f t="shared" ca="1" si="266"/>
        <v>08.01.03.02.</v>
      </c>
      <c r="E929" s="412">
        <f t="shared" si="263"/>
        <v>0</v>
      </c>
      <c r="F929" s="414">
        <f ca="1">OFFSET('Tabla III.3.'!$H$37,H929-1,I929-1)</f>
        <v>0</v>
      </c>
      <c r="G929" s="412" t="str">
        <f ca="1">OFFSET('Tabla III.3.'!$H$1,0,I929-1)</f>
        <v>07</v>
      </c>
      <c r="H929" s="111">
        <f t="shared" si="267"/>
        <v>10</v>
      </c>
      <c r="I929" s="111">
        <f t="shared" si="268"/>
        <v>7</v>
      </c>
      <c r="J929" s="111" t="str">
        <f ca="1">+'Tabla III.3.'!$C$9</f>
        <v>Tabla III.3.</v>
      </c>
      <c r="K929" s="111" t="str">
        <f t="shared" si="264"/>
        <v>B</v>
      </c>
      <c r="L929" s="412"/>
    </row>
    <row r="930" spans="1:12" s="103" customFormat="1">
      <c r="A930" s="412" t="s">
        <v>2944</v>
      </c>
      <c r="B930" s="412" t="str">
        <f t="shared" si="262"/>
        <v>202503</v>
      </c>
      <c r="C930" s="412" t="str">
        <f t="shared" ca="1" si="265"/>
        <v>v1</v>
      </c>
      <c r="D930" s="413" t="str">
        <f t="shared" ca="1" si="266"/>
        <v>08.01.03.02.</v>
      </c>
      <c r="E930" s="412">
        <f t="shared" si="263"/>
        <v>0</v>
      </c>
      <c r="F930" s="414">
        <f ca="1">OFFSET('Tabla III.3.'!$H$37,H930-1,I930-1)</f>
        <v>0</v>
      </c>
      <c r="G930" s="412" t="str">
        <f ca="1">OFFSET('Tabla III.3.'!$H$1,0,I930-1)</f>
        <v>08</v>
      </c>
      <c r="H930" s="111">
        <f t="shared" si="267"/>
        <v>10</v>
      </c>
      <c r="I930" s="111">
        <f t="shared" si="268"/>
        <v>8</v>
      </c>
      <c r="J930" s="111" t="str">
        <f ca="1">+'Tabla III.3.'!$C$9</f>
        <v>Tabla III.3.</v>
      </c>
      <c r="K930" s="111" t="str">
        <f t="shared" si="264"/>
        <v>B</v>
      </c>
      <c r="L930" s="412"/>
    </row>
    <row r="931" spans="1:12" s="103" customFormat="1">
      <c r="A931" s="412" t="s">
        <v>2944</v>
      </c>
      <c r="B931" s="412" t="str">
        <f t="shared" si="262"/>
        <v>202503</v>
      </c>
      <c r="C931" s="412" t="str">
        <f t="shared" ca="1" si="265"/>
        <v>v1</v>
      </c>
      <c r="D931" s="413" t="str">
        <f t="shared" ca="1" si="266"/>
        <v>08.01.03.02.</v>
      </c>
      <c r="E931" s="412">
        <f t="shared" si="263"/>
        <v>0</v>
      </c>
      <c r="F931" s="414">
        <f ca="1">OFFSET('Tabla III.3.'!$H$37,H931-1,I931-1)</f>
        <v>0</v>
      </c>
      <c r="G931" s="412" t="str">
        <f ca="1">OFFSET('Tabla III.3.'!$H$1,0,I931-1)</f>
        <v>09</v>
      </c>
      <c r="H931" s="111">
        <f t="shared" si="267"/>
        <v>10</v>
      </c>
      <c r="I931" s="111">
        <f t="shared" si="268"/>
        <v>9</v>
      </c>
      <c r="J931" s="111" t="str">
        <f ca="1">+'Tabla III.3.'!$C$9</f>
        <v>Tabla III.3.</v>
      </c>
      <c r="K931" s="111" t="str">
        <f t="shared" si="264"/>
        <v>B</v>
      </c>
      <c r="L931" s="412"/>
    </row>
    <row r="932" spans="1:12" s="103" customFormat="1">
      <c r="A932" s="412" t="s">
        <v>2944</v>
      </c>
      <c r="B932" s="412" t="str">
        <f t="shared" si="262"/>
        <v>202503</v>
      </c>
      <c r="C932" s="412" t="str">
        <f t="shared" ca="1" si="265"/>
        <v>v1</v>
      </c>
      <c r="D932" s="413" t="str">
        <f t="shared" ca="1" si="266"/>
        <v>08.01.03.02.</v>
      </c>
      <c r="E932" s="412">
        <f t="shared" si="263"/>
        <v>0</v>
      </c>
      <c r="F932" s="414">
        <f ca="1">OFFSET('Tabla III.3.'!$H$37,H932-1,I932-1)</f>
        <v>0</v>
      </c>
      <c r="G932" s="412" t="str">
        <f ca="1">OFFSET('Tabla III.3.'!$H$1,0,I932-1)</f>
        <v>10</v>
      </c>
      <c r="H932" s="111">
        <f t="shared" si="267"/>
        <v>10</v>
      </c>
      <c r="I932" s="111">
        <f t="shared" si="268"/>
        <v>10</v>
      </c>
      <c r="J932" s="111" t="str">
        <f ca="1">+'Tabla III.3.'!$C$9</f>
        <v>Tabla III.3.</v>
      </c>
      <c r="K932" s="111" t="str">
        <f t="shared" si="264"/>
        <v>B</v>
      </c>
      <c r="L932" s="412"/>
    </row>
    <row r="933" spans="1:12" s="103" customFormat="1">
      <c r="A933" s="412" t="s">
        <v>2944</v>
      </c>
      <c r="B933" s="412" t="str">
        <f t="shared" si="262"/>
        <v>202503</v>
      </c>
      <c r="C933" s="412" t="str">
        <f t="shared" ca="1" si="265"/>
        <v>v1</v>
      </c>
      <c r="D933" s="413" t="str">
        <f t="shared" ca="1" si="266"/>
        <v>08.01.03.02.</v>
      </c>
      <c r="E933" s="412">
        <f t="shared" si="263"/>
        <v>0</v>
      </c>
      <c r="F933" s="414">
        <f ca="1">OFFSET('Tabla III.3.'!$H$37,H933-1,I933-1)</f>
        <v>0</v>
      </c>
      <c r="G933" s="412" t="str">
        <f ca="1">OFFSET('Tabla III.3.'!$H$1,0,I933-1)</f>
        <v>11</v>
      </c>
      <c r="H933" s="111">
        <f t="shared" si="267"/>
        <v>10</v>
      </c>
      <c r="I933" s="111">
        <f t="shared" si="268"/>
        <v>11</v>
      </c>
      <c r="J933" s="111" t="str">
        <f ca="1">+'Tabla III.3.'!$C$9</f>
        <v>Tabla III.3.</v>
      </c>
      <c r="K933" s="111" t="str">
        <f t="shared" si="264"/>
        <v>B</v>
      </c>
      <c r="L933" s="412"/>
    </row>
    <row r="934" spans="1:12" s="103" customFormat="1">
      <c r="A934" s="412" t="s">
        <v>2944</v>
      </c>
      <c r="B934" s="412" t="str">
        <f t="shared" si="262"/>
        <v>202503</v>
      </c>
      <c r="C934" s="412" t="str">
        <f t="shared" ca="1" si="265"/>
        <v>v1</v>
      </c>
      <c r="D934" s="413" t="str">
        <f t="shared" ca="1" si="266"/>
        <v>08.01.03.02.</v>
      </c>
      <c r="E934" s="412">
        <f t="shared" si="263"/>
        <v>0</v>
      </c>
      <c r="F934" s="414">
        <f ca="1">OFFSET('Tabla III.3.'!$H$37,H934-1,I934-1)</f>
        <v>0</v>
      </c>
      <c r="G934" s="412" t="str">
        <f ca="1">OFFSET('Tabla III.3.'!$H$1,0,I934-1)</f>
        <v>12</v>
      </c>
      <c r="H934" s="111">
        <f t="shared" si="267"/>
        <v>10</v>
      </c>
      <c r="I934" s="111">
        <f t="shared" si="268"/>
        <v>12</v>
      </c>
      <c r="J934" s="111" t="str">
        <f ca="1">+'Tabla III.3.'!$C$9</f>
        <v>Tabla III.3.</v>
      </c>
      <c r="K934" s="111" t="str">
        <f t="shared" si="264"/>
        <v>B</v>
      </c>
      <c r="L934" s="412"/>
    </row>
    <row r="935" spans="1:12" s="103" customFormat="1">
      <c r="A935" s="107" t="s">
        <v>2944</v>
      </c>
      <c r="B935" s="107" t="str">
        <f t="shared" si="262"/>
        <v>202503</v>
      </c>
      <c r="C935" s="107" t="s">
        <v>2945</v>
      </c>
      <c r="D935" s="399" t="str">
        <f ca="1">OFFSET('Tabla III.3.'!$F$37,H935-1,0)</f>
        <v>08.02.</v>
      </c>
      <c r="E935" s="107">
        <f t="shared" si="263"/>
        <v>0</v>
      </c>
      <c r="F935" s="108">
        <f ca="1">OFFSET('Tabla III.3.'!$H$37,H935-1,I935-1)</f>
        <v>0</v>
      </c>
      <c r="G935" s="107" t="str">
        <f ca="1">OFFSET('Tabla III.3.'!$H$1,0,I935-1)</f>
        <v>01</v>
      </c>
      <c r="H935" s="110">
        <f>+H923+1</f>
        <v>11</v>
      </c>
      <c r="I935" s="110">
        <v>1</v>
      </c>
      <c r="J935" s="110" t="str">
        <f ca="1">+'Tabla III.3.'!$C$9</f>
        <v>Tabla III.3.</v>
      </c>
      <c r="K935" s="110" t="s">
        <v>2267</v>
      </c>
      <c r="L935" s="107">
        <f>+L923+1</f>
        <v>11</v>
      </c>
    </row>
    <row r="936" spans="1:12" s="103" customFormat="1">
      <c r="A936" s="107" t="s">
        <v>2944</v>
      </c>
      <c r="B936" s="107" t="str">
        <f t="shared" si="262"/>
        <v>202503</v>
      </c>
      <c r="C936" s="107" t="str">
        <f ca="1">IF(G936="01","v2","v1")</f>
        <v>v1</v>
      </c>
      <c r="D936" s="399" t="str">
        <f ca="1">+D935</f>
        <v>08.02.</v>
      </c>
      <c r="E936" s="107">
        <f t="shared" si="263"/>
        <v>0</v>
      </c>
      <c r="F936" s="108">
        <f ca="1">OFFSET('Tabla III.3.'!$H$37,H936-1,I936-1)</f>
        <v>0</v>
      </c>
      <c r="G936" s="107" t="str">
        <f ca="1">OFFSET('Tabla III.3.'!$H$1,0,I936-1)</f>
        <v>02</v>
      </c>
      <c r="H936" s="110">
        <f>+H935</f>
        <v>11</v>
      </c>
      <c r="I936" s="110">
        <f>+I935+1</f>
        <v>2</v>
      </c>
      <c r="J936" s="110" t="str">
        <f ca="1">+'Tabla III.3.'!$C$9</f>
        <v>Tabla III.3.</v>
      </c>
      <c r="K936" s="110" t="str">
        <f t="shared" ref="K936:K946" si="269">+K935</f>
        <v>B</v>
      </c>
      <c r="L936" s="107"/>
    </row>
    <row r="937" spans="1:12" s="103" customFormat="1">
      <c r="A937" s="107" t="s">
        <v>2944</v>
      </c>
      <c r="B937" s="107" t="str">
        <f t="shared" si="262"/>
        <v>202503</v>
      </c>
      <c r="C937" s="107" t="str">
        <f t="shared" ref="C937:C946" ca="1" si="270">IF(G937="01","v2","v1")</f>
        <v>v1</v>
      </c>
      <c r="D937" s="399" t="str">
        <f t="shared" ref="D937:D946" ca="1" si="271">+D936</f>
        <v>08.02.</v>
      </c>
      <c r="E937" s="107">
        <f t="shared" si="263"/>
        <v>0</v>
      </c>
      <c r="F937" s="108">
        <f ca="1">OFFSET('Tabla III.3.'!$H$37,H937-1,I937-1)</f>
        <v>0</v>
      </c>
      <c r="G937" s="107" t="str">
        <f ca="1">OFFSET('Tabla III.3.'!$H$1,0,I937-1)</f>
        <v>03</v>
      </c>
      <c r="H937" s="110">
        <f t="shared" ref="H937:H946" si="272">+H936</f>
        <v>11</v>
      </c>
      <c r="I937" s="110">
        <f t="shared" ref="I937:I946" si="273">+I936+1</f>
        <v>3</v>
      </c>
      <c r="J937" s="110" t="str">
        <f ca="1">+'Tabla III.3.'!$C$9</f>
        <v>Tabla III.3.</v>
      </c>
      <c r="K937" s="110" t="str">
        <f t="shared" si="269"/>
        <v>B</v>
      </c>
      <c r="L937" s="107"/>
    </row>
    <row r="938" spans="1:12" s="103" customFormat="1">
      <c r="A938" s="107" t="s">
        <v>2944</v>
      </c>
      <c r="B938" s="107" t="str">
        <f t="shared" si="262"/>
        <v>202503</v>
      </c>
      <c r="C938" s="107" t="str">
        <f t="shared" ca="1" si="270"/>
        <v>v1</v>
      </c>
      <c r="D938" s="399" t="str">
        <f t="shared" ca="1" si="271"/>
        <v>08.02.</v>
      </c>
      <c r="E938" s="107">
        <f t="shared" si="263"/>
        <v>0</v>
      </c>
      <c r="F938" s="108">
        <f ca="1">OFFSET('Tabla III.3.'!$H$37,H938-1,I938-1)</f>
        <v>0</v>
      </c>
      <c r="G938" s="107" t="str">
        <f ca="1">OFFSET('Tabla III.3.'!$H$1,0,I938-1)</f>
        <v>04</v>
      </c>
      <c r="H938" s="110">
        <f t="shared" si="272"/>
        <v>11</v>
      </c>
      <c r="I938" s="110">
        <f t="shared" si="273"/>
        <v>4</v>
      </c>
      <c r="J938" s="110" t="str">
        <f ca="1">+'Tabla III.3.'!$C$9</f>
        <v>Tabla III.3.</v>
      </c>
      <c r="K938" s="110" t="str">
        <f t="shared" si="269"/>
        <v>B</v>
      </c>
      <c r="L938" s="107"/>
    </row>
    <row r="939" spans="1:12" s="103" customFormat="1">
      <c r="A939" s="107" t="s">
        <v>2944</v>
      </c>
      <c r="B939" s="107" t="str">
        <f t="shared" si="262"/>
        <v>202503</v>
      </c>
      <c r="C939" s="107" t="str">
        <f t="shared" ca="1" si="270"/>
        <v>v1</v>
      </c>
      <c r="D939" s="399" t="str">
        <f t="shared" ca="1" si="271"/>
        <v>08.02.</v>
      </c>
      <c r="E939" s="107">
        <f t="shared" si="263"/>
        <v>0</v>
      </c>
      <c r="F939" s="108">
        <f ca="1">OFFSET('Tabla III.3.'!$H$37,H939-1,I939-1)</f>
        <v>0</v>
      </c>
      <c r="G939" s="107" t="str">
        <f ca="1">OFFSET('Tabla III.3.'!$H$1,0,I939-1)</f>
        <v>05</v>
      </c>
      <c r="H939" s="110">
        <f t="shared" si="272"/>
        <v>11</v>
      </c>
      <c r="I939" s="110">
        <f t="shared" si="273"/>
        <v>5</v>
      </c>
      <c r="J939" s="110" t="str">
        <f ca="1">+'Tabla III.3.'!$C$9</f>
        <v>Tabla III.3.</v>
      </c>
      <c r="K939" s="110" t="str">
        <f t="shared" si="269"/>
        <v>B</v>
      </c>
      <c r="L939" s="107"/>
    </row>
    <row r="940" spans="1:12" s="103" customFormat="1">
      <c r="A940" s="107" t="s">
        <v>2944</v>
      </c>
      <c r="B940" s="107" t="str">
        <f t="shared" si="262"/>
        <v>202503</v>
      </c>
      <c r="C940" s="107" t="str">
        <f t="shared" ca="1" si="270"/>
        <v>v1</v>
      </c>
      <c r="D940" s="399" t="str">
        <f t="shared" ca="1" si="271"/>
        <v>08.02.</v>
      </c>
      <c r="E940" s="107">
        <f t="shared" si="263"/>
        <v>0</v>
      </c>
      <c r="F940" s="108">
        <f ca="1">OFFSET('Tabla III.3.'!$H$37,H940-1,I940-1)</f>
        <v>0</v>
      </c>
      <c r="G940" s="107" t="str">
        <f ca="1">OFFSET('Tabla III.3.'!$H$1,0,I940-1)</f>
        <v>06</v>
      </c>
      <c r="H940" s="110">
        <f t="shared" si="272"/>
        <v>11</v>
      </c>
      <c r="I940" s="110">
        <f t="shared" si="273"/>
        <v>6</v>
      </c>
      <c r="J940" s="110" t="str">
        <f ca="1">+'Tabla III.3.'!$C$9</f>
        <v>Tabla III.3.</v>
      </c>
      <c r="K940" s="110" t="str">
        <f t="shared" si="269"/>
        <v>B</v>
      </c>
      <c r="L940" s="107"/>
    </row>
    <row r="941" spans="1:12" s="103" customFormat="1">
      <c r="A941" s="107" t="s">
        <v>2944</v>
      </c>
      <c r="B941" s="107" t="str">
        <f t="shared" si="262"/>
        <v>202503</v>
      </c>
      <c r="C941" s="107" t="str">
        <f t="shared" ca="1" si="270"/>
        <v>v1</v>
      </c>
      <c r="D941" s="399" t="str">
        <f t="shared" ca="1" si="271"/>
        <v>08.02.</v>
      </c>
      <c r="E941" s="107">
        <f t="shared" si="263"/>
        <v>0</v>
      </c>
      <c r="F941" s="108">
        <f ca="1">OFFSET('Tabla III.3.'!$H$37,H941-1,I941-1)</f>
        <v>0</v>
      </c>
      <c r="G941" s="107" t="str">
        <f ca="1">OFFSET('Tabla III.3.'!$H$1,0,I941-1)</f>
        <v>07</v>
      </c>
      <c r="H941" s="110">
        <f t="shared" si="272"/>
        <v>11</v>
      </c>
      <c r="I941" s="110">
        <f t="shared" si="273"/>
        <v>7</v>
      </c>
      <c r="J941" s="110" t="str">
        <f ca="1">+'Tabla III.3.'!$C$9</f>
        <v>Tabla III.3.</v>
      </c>
      <c r="K941" s="110" t="str">
        <f t="shared" si="269"/>
        <v>B</v>
      </c>
      <c r="L941" s="107"/>
    </row>
    <row r="942" spans="1:12" s="103" customFormat="1">
      <c r="A942" s="107" t="s">
        <v>2944</v>
      </c>
      <c r="B942" s="107" t="str">
        <f t="shared" si="262"/>
        <v>202503</v>
      </c>
      <c r="C942" s="107" t="str">
        <f t="shared" ca="1" si="270"/>
        <v>v1</v>
      </c>
      <c r="D942" s="399" t="str">
        <f t="shared" ca="1" si="271"/>
        <v>08.02.</v>
      </c>
      <c r="E942" s="107">
        <f t="shared" si="263"/>
        <v>0</v>
      </c>
      <c r="F942" s="108">
        <f ca="1">OFFSET('Tabla III.3.'!$H$37,H942-1,I942-1)</f>
        <v>0</v>
      </c>
      <c r="G942" s="107" t="str">
        <f ca="1">OFFSET('Tabla III.3.'!$H$1,0,I942-1)</f>
        <v>08</v>
      </c>
      <c r="H942" s="110">
        <f t="shared" si="272"/>
        <v>11</v>
      </c>
      <c r="I942" s="110">
        <f t="shared" si="273"/>
        <v>8</v>
      </c>
      <c r="J942" s="110" t="str">
        <f ca="1">+'Tabla III.3.'!$C$9</f>
        <v>Tabla III.3.</v>
      </c>
      <c r="K942" s="110" t="str">
        <f t="shared" si="269"/>
        <v>B</v>
      </c>
      <c r="L942" s="107"/>
    </row>
    <row r="943" spans="1:12" s="103" customFormat="1">
      <c r="A943" s="107" t="s">
        <v>2944</v>
      </c>
      <c r="B943" s="107" t="str">
        <f t="shared" si="262"/>
        <v>202503</v>
      </c>
      <c r="C943" s="107" t="str">
        <f t="shared" ca="1" si="270"/>
        <v>v1</v>
      </c>
      <c r="D943" s="399" t="str">
        <f t="shared" ca="1" si="271"/>
        <v>08.02.</v>
      </c>
      <c r="E943" s="107">
        <f t="shared" si="263"/>
        <v>0</v>
      </c>
      <c r="F943" s="108">
        <f ca="1">OFFSET('Tabla III.3.'!$H$37,H943-1,I943-1)</f>
        <v>0</v>
      </c>
      <c r="G943" s="107" t="str">
        <f ca="1">OFFSET('Tabla III.3.'!$H$1,0,I943-1)</f>
        <v>09</v>
      </c>
      <c r="H943" s="110">
        <f t="shared" si="272"/>
        <v>11</v>
      </c>
      <c r="I943" s="110">
        <f t="shared" si="273"/>
        <v>9</v>
      </c>
      <c r="J943" s="110" t="str">
        <f ca="1">+'Tabla III.3.'!$C$9</f>
        <v>Tabla III.3.</v>
      </c>
      <c r="K943" s="110" t="str">
        <f t="shared" si="269"/>
        <v>B</v>
      </c>
      <c r="L943" s="107"/>
    </row>
    <row r="944" spans="1:12" s="103" customFormat="1">
      <c r="A944" s="107" t="s">
        <v>2944</v>
      </c>
      <c r="B944" s="107" t="str">
        <f t="shared" si="262"/>
        <v>202503</v>
      </c>
      <c r="C944" s="107" t="str">
        <f t="shared" ca="1" si="270"/>
        <v>v1</v>
      </c>
      <c r="D944" s="399" t="str">
        <f t="shared" ca="1" si="271"/>
        <v>08.02.</v>
      </c>
      <c r="E944" s="107">
        <f t="shared" si="263"/>
        <v>0</v>
      </c>
      <c r="F944" s="108">
        <f ca="1">OFFSET('Tabla III.3.'!$H$37,H944-1,I944-1)</f>
        <v>0</v>
      </c>
      <c r="G944" s="107" t="str">
        <f ca="1">OFFSET('Tabla III.3.'!$H$1,0,I944-1)</f>
        <v>10</v>
      </c>
      <c r="H944" s="110">
        <f t="shared" si="272"/>
        <v>11</v>
      </c>
      <c r="I944" s="110">
        <f t="shared" si="273"/>
        <v>10</v>
      </c>
      <c r="J944" s="110" t="str">
        <f ca="1">+'Tabla III.3.'!$C$9</f>
        <v>Tabla III.3.</v>
      </c>
      <c r="K944" s="110" t="str">
        <f t="shared" si="269"/>
        <v>B</v>
      </c>
      <c r="L944" s="107"/>
    </row>
    <row r="945" spans="1:12" s="103" customFormat="1">
      <c r="A945" s="107" t="s">
        <v>2944</v>
      </c>
      <c r="B945" s="107" t="str">
        <f t="shared" si="262"/>
        <v>202503</v>
      </c>
      <c r="C945" s="107" t="str">
        <f t="shared" ca="1" si="270"/>
        <v>v1</v>
      </c>
      <c r="D945" s="399" t="str">
        <f t="shared" ca="1" si="271"/>
        <v>08.02.</v>
      </c>
      <c r="E945" s="107">
        <f t="shared" si="263"/>
        <v>0</v>
      </c>
      <c r="F945" s="108">
        <f ca="1">OFFSET('Tabla III.3.'!$H$37,H945-1,I945-1)</f>
        <v>0</v>
      </c>
      <c r="G945" s="107" t="str">
        <f ca="1">OFFSET('Tabla III.3.'!$H$1,0,I945-1)</f>
        <v>11</v>
      </c>
      <c r="H945" s="110">
        <f t="shared" si="272"/>
        <v>11</v>
      </c>
      <c r="I945" s="110">
        <f t="shared" si="273"/>
        <v>11</v>
      </c>
      <c r="J945" s="110" t="str">
        <f ca="1">+'Tabla III.3.'!$C$9</f>
        <v>Tabla III.3.</v>
      </c>
      <c r="K945" s="110" t="str">
        <f t="shared" si="269"/>
        <v>B</v>
      </c>
      <c r="L945" s="107"/>
    </row>
    <row r="946" spans="1:12" s="103" customFormat="1">
      <c r="A946" s="107" t="s">
        <v>2944</v>
      </c>
      <c r="B946" s="107" t="str">
        <f t="shared" si="262"/>
        <v>202503</v>
      </c>
      <c r="C946" s="107" t="str">
        <f t="shared" ca="1" si="270"/>
        <v>v1</v>
      </c>
      <c r="D946" s="399" t="str">
        <f t="shared" ca="1" si="271"/>
        <v>08.02.</v>
      </c>
      <c r="E946" s="107">
        <f t="shared" si="263"/>
        <v>0</v>
      </c>
      <c r="F946" s="108">
        <f ca="1">OFFSET('Tabla III.3.'!$H$37,H946-1,I946-1)</f>
        <v>0</v>
      </c>
      <c r="G946" s="107" t="str">
        <f ca="1">OFFSET('Tabla III.3.'!$H$1,0,I946-1)</f>
        <v>12</v>
      </c>
      <c r="H946" s="110">
        <f t="shared" si="272"/>
        <v>11</v>
      </c>
      <c r="I946" s="110">
        <f t="shared" si="273"/>
        <v>12</v>
      </c>
      <c r="J946" s="110" t="str">
        <f ca="1">+'Tabla III.3.'!$C$9</f>
        <v>Tabla III.3.</v>
      </c>
      <c r="K946" s="110" t="str">
        <f t="shared" si="269"/>
        <v>B</v>
      </c>
      <c r="L946" s="107"/>
    </row>
    <row r="947" spans="1:12" s="103" customFormat="1">
      <c r="A947" s="412" t="s">
        <v>2944</v>
      </c>
      <c r="B947" s="412" t="str">
        <f t="shared" si="262"/>
        <v>202503</v>
      </c>
      <c r="C947" s="412" t="s">
        <v>2945</v>
      </c>
      <c r="D947" s="413" t="str">
        <f ca="1">OFFSET('Tabla III.3.'!$F$37,H947-1,0)</f>
        <v>08.02.00.01.</v>
      </c>
      <c r="E947" s="412">
        <f t="shared" si="263"/>
        <v>0</v>
      </c>
      <c r="F947" s="414">
        <f ca="1">OFFSET('Tabla III.3.'!$H$37,H947-1,I947-1)</f>
        <v>0</v>
      </c>
      <c r="G947" s="412" t="str">
        <f ca="1">OFFSET('Tabla III.3.'!$H$1,0,I947-1)</f>
        <v>01</v>
      </c>
      <c r="H947" s="111">
        <f>+H935+1</f>
        <v>12</v>
      </c>
      <c r="I947" s="111">
        <v>1</v>
      </c>
      <c r="J947" s="111" t="str">
        <f ca="1">+'Tabla III.3.'!$C$9</f>
        <v>Tabla III.3.</v>
      </c>
      <c r="K947" s="111" t="s">
        <v>2267</v>
      </c>
      <c r="L947" s="412">
        <f>+L935+1</f>
        <v>12</v>
      </c>
    </row>
    <row r="948" spans="1:12" s="103" customFormat="1">
      <c r="A948" s="412" t="s">
        <v>2944</v>
      </c>
      <c r="B948" s="412" t="str">
        <f t="shared" si="262"/>
        <v>202503</v>
      </c>
      <c r="C948" s="412" t="str">
        <f ca="1">IF(G948="01","v2","v1")</f>
        <v>v1</v>
      </c>
      <c r="D948" s="413" t="str">
        <f ca="1">+D947</f>
        <v>08.02.00.01.</v>
      </c>
      <c r="E948" s="412">
        <f t="shared" si="263"/>
        <v>0</v>
      </c>
      <c r="F948" s="414">
        <f ca="1">OFFSET('Tabla III.3.'!$H$37,H948-1,I948-1)</f>
        <v>0</v>
      </c>
      <c r="G948" s="412" t="str">
        <f ca="1">OFFSET('Tabla III.3.'!$H$1,0,I948-1)</f>
        <v>02</v>
      </c>
      <c r="H948" s="111">
        <f>+H947</f>
        <v>12</v>
      </c>
      <c r="I948" s="111">
        <f>+I947+1</f>
        <v>2</v>
      </c>
      <c r="J948" s="111" t="str">
        <f ca="1">+'Tabla III.3.'!$C$9</f>
        <v>Tabla III.3.</v>
      </c>
      <c r="K948" s="111" t="str">
        <f t="shared" ref="K948:K958" si="274">+K947</f>
        <v>B</v>
      </c>
      <c r="L948" s="412"/>
    </row>
    <row r="949" spans="1:12" s="103" customFormat="1">
      <c r="A949" s="412" t="s">
        <v>2944</v>
      </c>
      <c r="B949" s="412" t="str">
        <f t="shared" si="262"/>
        <v>202503</v>
      </c>
      <c r="C949" s="412" t="str">
        <f t="shared" ref="C949:C958" ca="1" si="275">IF(G949="01","v2","v1")</f>
        <v>v1</v>
      </c>
      <c r="D949" s="413" t="str">
        <f t="shared" ref="D949:D958" ca="1" si="276">+D948</f>
        <v>08.02.00.01.</v>
      </c>
      <c r="E949" s="412">
        <f t="shared" si="263"/>
        <v>0</v>
      </c>
      <c r="F949" s="414">
        <f ca="1">OFFSET('Tabla III.3.'!$H$37,H949-1,I949-1)</f>
        <v>0</v>
      </c>
      <c r="G949" s="412" t="str">
        <f ca="1">OFFSET('Tabla III.3.'!$H$1,0,I949-1)</f>
        <v>03</v>
      </c>
      <c r="H949" s="111">
        <f t="shared" ref="H949:H958" si="277">+H948</f>
        <v>12</v>
      </c>
      <c r="I949" s="111">
        <f t="shared" ref="I949:I958" si="278">+I948+1</f>
        <v>3</v>
      </c>
      <c r="J949" s="111" t="str">
        <f ca="1">+'Tabla III.3.'!$C$9</f>
        <v>Tabla III.3.</v>
      </c>
      <c r="K949" s="111" t="str">
        <f t="shared" si="274"/>
        <v>B</v>
      </c>
      <c r="L949" s="412"/>
    </row>
    <row r="950" spans="1:12" s="103" customFormat="1">
      <c r="A950" s="412" t="s">
        <v>2944</v>
      </c>
      <c r="B950" s="412" t="str">
        <f t="shared" si="262"/>
        <v>202503</v>
      </c>
      <c r="C950" s="412" t="str">
        <f t="shared" ca="1" si="275"/>
        <v>v1</v>
      </c>
      <c r="D950" s="413" t="str">
        <f t="shared" ca="1" si="276"/>
        <v>08.02.00.01.</v>
      </c>
      <c r="E950" s="412">
        <f t="shared" si="263"/>
        <v>0</v>
      </c>
      <c r="F950" s="414">
        <f ca="1">OFFSET('Tabla III.3.'!$H$37,H950-1,I950-1)</f>
        <v>0</v>
      </c>
      <c r="G950" s="412" t="str">
        <f ca="1">OFFSET('Tabla III.3.'!$H$1,0,I950-1)</f>
        <v>04</v>
      </c>
      <c r="H950" s="111">
        <f t="shared" si="277"/>
        <v>12</v>
      </c>
      <c r="I950" s="111">
        <f t="shared" si="278"/>
        <v>4</v>
      </c>
      <c r="J950" s="111" t="str">
        <f ca="1">+'Tabla III.3.'!$C$9</f>
        <v>Tabla III.3.</v>
      </c>
      <c r="K950" s="111" t="str">
        <f t="shared" si="274"/>
        <v>B</v>
      </c>
      <c r="L950" s="412"/>
    </row>
    <row r="951" spans="1:12" s="103" customFormat="1">
      <c r="A951" s="412" t="s">
        <v>2944</v>
      </c>
      <c r="B951" s="412" t="str">
        <f t="shared" si="262"/>
        <v>202503</v>
      </c>
      <c r="C951" s="412" t="str">
        <f t="shared" ca="1" si="275"/>
        <v>v1</v>
      </c>
      <c r="D951" s="413" t="str">
        <f t="shared" ca="1" si="276"/>
        <v>08.02.00.01.</v>
      </c>
      <c r="E951" s="412">
        <f t="shared" si="263"/>
        <v>0</v>
      </c>
      <c r="F951" s="414">
        <f ca="1">OFFSET('Tabla III.3.'!$H$37,H951-1,I951-1)</f>
        <v>0</v>
      </c>
      <c r="G951" s="412" t="str">
        <f ca="1">OFFSET('Tabla III.3.'!$H$1,0,I951-1)</f>
        <v>05</v>
      </c>
      <c r="H951" s="111">
        <f t="shared" si="277"/>
        <v>12</v>
      </c>
      <c r="I951" s="111">
        <f t="shared" si="278"/>
        <v>5</v>
      </c>
      <c r="J951" s="111" t="str">
        <f ca="1">+'Tabla III.3.'!$C$9</f>
        <v>Tabla III.3.</v>
      </c>
      <c r="K951" s="111" t="str">
        <f t="shared" si="274"/>
        <v>B</v>
      </c>
      <c r="L951" s="412"/>
    </row>
    <row r="952" spans="1:12" s="103" customFormat="1">
      <c r="A952" s="412" t="s">
        <v>2944</v>
      </c>
      <c r="B952" s="412" t="str">
        <f t="shared" si="262"/>
        <v>202503</v>
      </c>
      <c r="C952" s="412" t="str">
        <f t="shared" ca="1" si="275"/>
        <v>v1</v>
      </c>
      <c r="D952" s="413" t="str">
        <f t="shared" ca="1" si="276"/>
        <v>08.02.00.01.</v>
      </c>
      <c r="E952" s="412">
        <f t="shared" si="263"/>
        <v>0</v>
      </c>
      <c r="F952" s="414">
        <f ca="1">OFFSET('Tabla III.3.'!$H$37,H952-1,I952-1)</f>
        <v>0</v>
      </c>
      <c r="G952" s="412" t="str">
        <f ca="1">OFFSET('Tabla III.3.'!$H$1,0,I952-1)</f>
        <v>06</v>
      </c>
      <c r="H952" s="111">
        <f t="shared" si="277"/>
        <v>12</v>
      </c>
      <c r="I952" s="111">
        <f t="shared" si="278"/>
        <v>6</v>
      </c>
      <c r="J952" s="111" t="str">
        <f ca="1">+'Tabla III.3.'!$C$9</f>
        <v>Tabla III.3.</v>
      </c>
      <c r="K952" s="111" t="str">
        <f t="shared" si="274"/>
        <v>B</v>
      </c>
      <c r="L952" s="412"/>
    </row>
    <row r="953" spans="1:12" s="103" customFormat="1">
      <c r="A953" s="412" t="s">
        <v>2944</v>
      </c>
      <c r="B953" s="412" t="str">
        <f t="shared" si="262"/>
        <v>202503</v>
      </c>
      <c r="C953" s="412" t="str">
        <f t="shared" ca="1" si="275"/>
        <v>v1</v>
      </c>
      <c r="D953" s="413" t="str">
        <f t="shared" ca="1" si="276"/>
        <v>08.02.00.01.</v>
      </c>
      <c r="E953" s="412">
        <f t="shared" si="263"/>
        <v>0</v>
      </c>
      <c r="F953" s="414">
        <f ca="1">OFFSET('Tabla III.3.'!$H$37,H953-1,I953-1)</f>
        <v>0</v>
      </c>
      <c r="G953" s="412" t="str">
        <f ca="1">OFFSET('Tabla III.3.'!$H$1,0,I953-1)</f>
        <v>07</v>
      </c>
      <c r="H953" s="111">
        <f t="shared" si="277"/>
        <v>12</v>
      </c>
      <c r="I953" s="111">
        <f t="shared" si="278"/>
        <v>7</v>
      </c>
      <c r="J953" s="111" t="str">
        <f ca="1">+'Tabla III.3.'!$C$9</f>
        <v>Tabla III.3.</v>
      </c>
      <c r="K953" s="111" t="str">
        <f t="shared" si="274"/>
        <v>B</v>
      </c>
      <c r="L953" s="412"/>
    </row>
    <row r="954" spans="1:12" s="103" customFormat="1">
      <c r="A954" s="412" t="s">
        <v>2944</v>
      </c>
      <c r="B954" s="412" t="str">
        <f t="shared" si="262"/>
        <v>202503</v>
      </c>
      <c r="C954" s="412" t="str">
        <f t="shared" ca="1" si="275"/>
        <v>v1</v>
      </c>
      <c r="D954" s="413" t="str">
        <f t="shared" ca="1" si="276"/>
        <v>08.02.00.01.</v>
      </c>
      <c r="E954" s="412">
        <f t="shared" si="263"/>
        <v>0</v>
      </c>
      <c r="F954" s="414">
        <f ca="1">OFFSET('Tabla III.3.'!$H$37,H954-1,I954-1)</f>
        <v>0</v>
      </c>
      <c r="G954" s="412" t="str">
        <f ca="1">OFFSET('Tabla III.3.'!$H$1,0,I954-1)</f>
        <v>08</v>
      </c>
      <c r="H954" s="111">
        <f t="shared" si="277"/>
        <v>12</v>
      </c>
      <c r="I954" s="111">
        <f t="shared" si="278"/>
        <v>8</v>
      </c>
      <c r="J954" s="111" t="str">
        <f ca="1">+'Tabla III.3.'!$C$9</f>
        <v>Tabla III.3.</v>
      </c>
      <c r="K954" s="111" t="str">
        <f t="shared" si="274"/>
        <v>B</v>
      </c>
      <c r="L954" s="412"/>
    </row>
    <row r="955" spans="1:12" s="103" customFormat="1">
      <c r="A955" s="412" t="s">
        <v>2944</v>
      </c>
      <c r="B955" s="412" t="str">
        <f t="shared" si="262"/>
        <v>202503</v>
      </c>
      <c r="C955" s="412" t="str">
        <f t="shared" ca="1" si="275"/>
        <v>v1</v>
      </c>
      <c r="D955" s="413" t="str">
        <f t="shared" ca="1" si="276"/>
        <v>08.02.00.01.</v>
      </c>
      <c r="E955" s="412">
        <f t="shared" si="263"/>
        <v>0</v>
      </c>
      <c r="F955" s="414">
        <f ca="1">OFFSET('Tabla III.3.'!$H$37,H955-1,I955-1)</f>
        <v>0</v>
      </c>
      <c r="G955" s="412" t="str">
        <f ca="1">OFFSET('Tabla III.3.'!$H$1,0,I955-1)</f>
        <v>09</v>
      </c>
      <c r="H955" s="111">
        <f t="shared" si="277"/>
        <v>12</v>
      </c>
      <c r="I955" s="111">
        <f t="shared" si="278"/>
        <v>9</v>
      </c>
      <c r="J955" s="111" t="str">
        <f ca="1">+'Tabla III.3.'!$C$9</f>
        <v>Tabla III.3.</v>
      </c>
      <c r="K955" s="111" t="str">
        <f t="shared" si="274"/>
        <v>B</v>
      </c>
      <c r="L955" s="412"/>
    </row>
    <row r="956" spans="1:12" s="103" customFormat="1">
      <c r="A956" s="412" t="s">
        <v>2944</v>
      </c>
      <c r="B956" s="412" t="str">
        <f t="shared" si="262"/>
        <v>202503</v>
      </c>
      <c r="C956" s="412" t="str">
        <f t="shared" ca="1" si="275"/>
        <v>v1</v>
      </c>
      <c r="D956" s="413" t="str">
        <f t="shared" ca="1" si="276"/>
        <v>08.02.00.01.</v>
      </c>
      <c r="E956" s="412">
        <f t="shared" si="263"/>
        <v>0</v>
      </c>
      <c r="F956" s="414">
        <f ca="1">OFFSET('Tabla III.3.'!$H$37,H956-1,I956-1)</f>
        <v>0</v>
      </c>
      <c r="G956" s="412" t="str">
        <f ca="1">OFFSET('Tabla III.3.'!$H$1,0,I956-1)</f>
        <v>10</v>
      </c>
      <c r="H956" s="111">
        <f t="shared" si="277"/>
        <v>12</v>
      </c>
      <c r="I956" s="111">
        <f t="shared" si="278"/>
        <v>10</v>
      </c>
      <c r="J956" s="111" t="str">
        <f ca="1">+'Tabla III.3.'!$C$9</f>
        <v>Tabla III.3.</v>
      </c>
      <c r="K956" s="111" t="str">
        <f t="shared" si="274"/>
        <v>B</v>
      </c>
      <c r="L956" s="412"/>
    </row>
    <row r="957" spans="1:12" s="103" customFormat="1">
      <c r="A957" s="412" t="s">
        <v>2944</v>
      </c>
      <c r="B957" s="412" t="str">
        <f t="shared" si="262"/>
        <v>202503</v>
      </c>
      <c r="C957" s="412" t="str">
        <f t="shared" ca="1" si="275"/>
        <v>v1</v>
      </c>
      <c r="D957" s="413" t="str">
        <f t="shared" ca="1" si="276"/>
        <v>08.02.00.01.</v>
      </c>
      <c r="E957" s="412">
        <f t="shared" si="263"/>
        <v>0</v>
      </c>
      <c r="F957" s="414">
        <f ca="1">OFFSET('Tabla III.3.'!$H$37,H957-1,I957-1)</f>
        <v>0</v>
      </c>
      <c r="G957" s="412" t="str">
        <f ca="1">OFFSET('Tabla III.3.'!$H$1,0,I957-1)</f>
        <v>11</v>
      </c>
      <c r="H957" s="111">
        <f t="shared" si="277"/>
        <v>12</v>
      </c>
      <c r="I957" s="111">
        <f t="shared" si="278"/>
        <v>11</v>
      </c>
      <c r="J957" s="111" t="str">
        <f ca="1">+'Tabla III.3.'!$C$9</f>
        <v>Tabla III.3.</v>
      </c>
      <c r="K957" s="111" t="str">
        <f t="shared" si="274"/>
        <v>B</v>
      </c>
      <c r="L957" s="412"/>
    </row>
    <row r="958" spans="1:12" s="103" customFormat="1">
      <c r="A958" s="412" t="s">
        <v>2944</v>
      </c>
      <c r="B958" s="412" t="str">
        <f t="shared" si="262"/>
        <v>202503</v>
      </c>
      <c r="C958" s="412" t="str">
        <f t="shared" ca="1" si="275"/>
        <v>v1</v>
      </c>
      <c r="D958" s="413" t="str">
        <f t="shared" ca="1" si="276"/>
        <v>08.02.00.01.</v>
      </c>
      <c r="E958" s="412">
        <f t="shared" si="263"/>
        <v>0</v>
      </c>
      <c r="F958" s="414">
        <f ca="1">OFFSET('Tabla III.3.'!$H$37,H958-1,I958-1)</f>
        <v>0</v>
      </c>
      <c r="G958" s="412" t="str">
        <f ca="1">OFFSET('Tabla III.3.'!$H$1,0,I958-1)</f>
        <v>12</v>
      </c>
      <c r="H958" s="111">
        <f t="shared" si="277"/>
        <v>12</v>
      </c>
      <c r="I958" s="111">
        <f t="shared" si="278"/>
        <v>12</v>
      </c>
      <c r="J958" s="111" t="str">
        <f ca="1">+'Tabla III.3.'!$C$9</f>
        <v>Tabla III.3.</v>
      </c>
      <c r="K958" s="111" t="str">
        <f t="shared" si="274"/>
        <v>B</v>
      </c>
      <c r="L958" s="412"/>
    </row>
    <row r="959" spans="1:12" s="103" customFormat="1">
      <c r="A959" s="107" t="s">
        <v>2944</v>
      </c>
      <c r="B959" s="107" t="str">
        <f t="shared" si="262"/>
        <v>202503</v>
      </c>
      <c r="C959" s="107" t="s">
        <v>2945</v>
      </c>
      <c r="D959" s="399" t="str">
        <f ca="1">OFFSET('Tabla III.3.'!$F$37,H959-1,0)</f>
        <v>08.02.00.02.</v>
      </c>
      <c r="E959" s="107">
        <f t="shared" si="263"/>
        <v>0</v>
      </c>
      <c r="F959" s="108">
        <f ca="1">OFFSET('Tabla III.3.'!$H$37,H959-1,I959-1)</f>
        <v>0</v>
      </c>
      <c r="G959" s="107" t="str">
        <f ca="1">OFFSET('Tabla III.3.'!$H$1,0,I959-1)</f>
        <v>01</v>
      </c>
      <c r="H959" s="110">
        <f>+H947+1</f>
        <v>13</v>
      </c>
      <c r="I959" s="110">
        <v>1</v>
      </c>
      <c r="J959" s="110" t="str">
        <f ca="1">+'Tabla III.3.'!$C$9</f>
        <v>Tabla III.3.</v>
      </c>
      <c r="K959" s="110" t="s">
        <v>2267</v>
      </c>
      <c r="L959" s="107">
        <f>+L947+1</f>
        <v>13</v>
      </c>
    </row>
    <row r="960" spans="1:12" s="103" customFormat="1">
      <c r="A960" s="107" t="s">
        <v>2944</v>
      </c>
      <c r="B960" s="107" t="str">
        <f t="shared" si="262"/>
        <v>202503</v>
      </c>
      <c r="C960" s="107" t="str">
        <f ca="1">IF(G960="01","v2","v1")</f>
        <v>v1</v>
      </c>
      <c r="D960" s="399" t="str">
        <f ca="1">+D959</f>
        <v>08.02.00.02.</v>
      </c>
      <c r="E960" s="107">
        <f t="shared" si="263"/>
        <v>0</v>
      </c>
      <c r="F960" s="108">
        <f ca="1">OFFSET('Tabla III.3.'!$H$37,H960-1,I960-1)</f>
        <v>0</v>
      </c>
      <c r="G960" s="107" t="str">
        <f ca="1">OFFSET('Tabla III.3.'!$H$1,0,I960-1)</f>
        <v>02</v>
      </c>
      <c r="H960" s="110">
        <f>+H959</f>
        <v>13</v>
      </c>
      <c r="I960" s="110">
        <f>+I959+1</f>
        <v>2</v>
      </c>
      <c r="J960" s="110" t="str">
        <f ca="1">+'Tabla III.3.'!$C$9</f>
        <v>Tabla III.3.</v>
      </c>
      <c r="K960" s="110" t="str">
        <f t="shared" ref="K960:K970" si="279">+K959</f>
        <v>B</v>
      </c>
      <c r="L960" s="107"/>
    </row>
    <row r="961" spans="1:12" s="103" customFormat="1">
      <c r="A961" s="107" t="s">
        <v>2944</v>
      </c>
      <c r="B961" s="107" t="str">
        <f t="shared" si="262"/>
        <v>202503</v>
      </c>
      <c r="C961" s="107" t="str">
        <f t="shared" ref="C961:C970" ca="1" si="280">IF(G961="01","v2","v1")</f>
        <v>v1</v>
      </c>
      <c r="D961" s="399" t="str">
        <f t="shared" ref="D961:D970" ca="1" si="281">+D960</f>
        <v>08.02.00.02.</v>
      </c>
      <c r="E961" s="107">
        <f t="shared" si="263"/>
        <v>0</v>
      </c>
      <c r="F961" s="108">
        <f ca="1">OFFSET('Tabla III.3.'!$H$37,H961-1,I961-1)</f>
        <v>0</v>
      </c>
      <c r="G961" s="107" t="str">
        <f ca="1">OFFSET('Tabla III.3.'!$H$1,0,I961-1)</f>
        <v>03</v>
      </c>
      <c r="H961" s="110">
        <f t="shared" ref="H961:H970" si="282">+H960</f>
        <v>13</v>
      </c>
      <c r="I961" s="110">
        <f t="shared" ref="I961:I970" si="283">+I960+1</f>
        <v>3</v>
      </c>
      <c r="J961" s="110" t="str">
        <f ca="1">+'Tabla III.3.'!$C$9</f>
        <v>Tabla III.3.</v>
      </c>
      <c r="K961" s="110" t="str">
        <f t="shared" si="279"/>
        <v>B</v>
      </c>
      <c r="L961" s="107"/>
    </row>
    <row r="962" spans="1:12" s="103" customFormat="1">
      <c r="A962" s="107" t="s">
        <v>2944</v>
      </c>
      <c r="B962" s="107" t="str">
        <f t="shared" si="262"/>
        <v>202503</v>
      </c>
      <c r="C962" s="107" t="str">
        <f t="shared" ca="1" si="280"/>
        <v>v1</v>
      </c>
      <c r="D962" s="399" t="str">
        <f t="shared" ca="1" si="281"/>
        <v>08.02.00.02.</v>
      </c>
      <c r="E962" s="107">
        <f t="shared" si="263"/>
        <v>0</v>
      </c>
      <c r="F962" s="108">
        <f ca="1">OFFSET('Tabla III.3.'!$H$37,H962-1,I962-1)</f>
        <v>0</v>
      </c>
      <c r="G962" s="107" t="str">
        <f ca="1">OFFSET('Tabla III.3.'!$H$1,0,I962-1)</f>
        <v>04</v>
      </c>
      <c r="H962" s="110">
        <f t="shared" si="282"/>
        <v>13</v>
      </c>
      <c r="I962" s="110">
        <f t="shared" si="283"/>
        <v>4</v>
      </c>
      <c r="J962" s="110" t="str">
        <f ca="1">+'Tabla III.3.'!$C$9</f>
        <v>Tabla III.3.</v>
      </c>
      <c r="K962" s="110" t="str">
        <f t="shared" si="279"/>
        <v>B</v>
      </c>
      <c r="L962" s="107"/>
    </row>
    <row r="963" spans="1:12" s="103" customFormat="1">
      <c r="A963" s="107" t="s">
        <v>2944</v>
      </c>
      <c r="B963" s="107" t="str">
        <f t="shared" si="262"/>
        <v>202503</v>
      </c>
      <c r="C963" s="107" t="str">
        <f t="shared" ca="1" si="280"/>
        <v>v1</v>
      </c>
      <c r="D963" s="399" t="str">
        <f t="shared" ca="1" si="281"/>
        <v>08.02.00.02.</v>
      </c>
      <c r="E963" s="107">
        <f t="shared" si="263"/>
        <v>0</v>
      </c>
      <c r="F963" s="108">
        <f ca="1">OFFSET('Tabla III.3.'!$H$37,H963-1,I963-1)</f>
        <v>0</v>
      </c>
      <c r="G963" s="107" t="str">
        <f ca="1">OFFSET('Tabla III.3.'!$H$1,0,I963-1)</f>
        <v>05</v>
      </c>
      <c r="H963" s="110">
        <f t="shared" si="282"/>
        <v>13</v>
      </c>
      <c r="I963" s="110">
        <f t="shared" si="283"/>
        <v>5</v>
      </c>
      <c r="J963" s="110" t="str">
        <f ca="1">+'Tabla III.3.'!$C$9</f>
        <v>Tabla III.3.</v>
      </c>
      <c r="K963" s="110" t="str">
        <f t="shared" si="279"/>
        <v>B</v>
      </c>
      <c r="L963" s="107"/>
    </row>
    <row r="964" spans="1:12" s="103" customFormat="1">
      <c r="A964" s="107" t="s">
        <v>2944</v>
      </c>
      <c r="B964" s="107" t="str">
        <f t="shared" si="262"/>
        <v>202503</v>
      </c>
      <c r="C964" s="107" t="str">
        <f t="shared" ca="1" si="280"/>
        <v>v1</v>
      </c>
      <c r="D964" s="399" t="str">
        <f t="shared" ca="1" si="281"/>
        <v>08.02.00.02.</v>
      </c>
      <c r="E964" s="107">
        <f t="shared" si="263"/>
        <v>0</v>
      </c>
      <c r="F964" s="108">
        <f ca="1">OFFSET('Tabla III.3.'!$H$37,H964-1,I964-1)</f>
        <v>0</v>
      </c>
      <c r="G964" s="107" t="str">
        <f ca="1">OFFSET('Tabla III.3.'!$H$1,0,I964-1)</f>
        <v>06</v>
      </c>
      <c r="H964" s="110">
        <f t="shared" si="282"/>
        <v>13</v>
      </c>
      <c r="I964" s="110">
        <f t="shared" si="283"/>
        <v>6</v>
      </c>
      <c r="J964" s="110" t="str">
        <f ca="1">+'Tabla III.3.'!$C$9</f>
        <v>Tabla III.3.</v>
      </c>
      <c r="K964" s="110" t="str">
        <f t="shared" si="279"/>
        <v>B</v>
      </c>
      <c r="L964" s="107"/>
    </row>
    <row r="965" spans="1:12" s="103" customFormat="1">
      <c r="A965" s="107" t="s">
        <v>2944</v>
      </c>
      <c r="B965" s="107" t="str">
        <f t="shared" si="262"/>
        <v>202503</v>
      </c>
      <c r="C965" s="107" t="str">
        <f t="shared" ca="1" si="280"/>
        <v>v1</v>
      </c>
      <c r="D965" s="399" t="str">
        <f t="shared" ca="1" si="281"/>
        <v>08.02.00.02.</v>
      </c>
      <c r="E965" s="107">
        <f t="shared" si="263"/>
        <v>0</v>
      </c>
      <c r="F965" s="108">
        <f ca="1">OFFSET('Tabla III.3.'!$H$37,H965-1,I965-1)</f>
        <v>0</v>
      </c>
      <c r="G965" s="107" t="str">
        <f ca="1">OFFSET('Tabla III.3.'!$H$1,0,I965-1)</f>
        <v>07</v>
      </c>
      <c r="H965" s="110">
        <f t="shared" si="282"/>
        <v>13</v>
      </c>
      <c r="I965" s="110">
        <f t="shared" si="283"/>
        <v>7</v>
      </c>
      <c r="J965" s="110" t="str">
        <f ca="1">+'Tabla III.3.'!$C$9</f>
        <v>Tabla III.3.</v>
      </c>
      <c r="K965" s="110" t="str">
        <f t="shared" si="279"/>
        <v>B</v>
      </c>
      <c r="L965" s="107"/>
    </row>
    <row r="966" spans="1:12" s="103" customFormat="1">
      <c r="A966" s="107" t="s">
        <v>2944</v>
      </c>
      <c r="B966" s="107" t="str">
        <f t="shared" si="262"/>
        <v>202503</v>
      </c>
      <c r="C966" s="107" t="str">
        <f t="shared" ca="1" si="280"/>
        <v>v1</v>
      </c>
      <c r="D966" s="399" t="str">
        <f t="shared" ca="1" si="281"/>
        <v>08.02.00.02.</v>
      </c>
      <c r="E966" s="107">
        <f t="shared" si="263"/>
        <v>0</v>
      </c>
      <c r="F966" s="108">
        <f ca="1">OFFSET('Tabla III.3.'!$H$37,H966-1,I966-1)</f>
        <v>0</v>
      </c>
      <c r="G966" s="107" t="str">
        <f ca="1">OFFSET('Tabla III.3.'!$H$1,0,I966-1)</f>
        <v>08</v>
      </c>
      <c r="H966" s="110">
        <f t="shared" si="282"/>
        <v>13</v>
      </c>
      <c r="I966" s="110">
        <f t="shared" si="283"/>
        <v>8</v>
      </c>
      <c r="J966" s="110" t="str">
        <f ca="1">+'Tabla III.3.'!$C$9</f>
        <v>Tabla III.3.</v>
      </c>
      <c r="K966" s="110" t="str">
        <f t="shared" si="279"/>
        <v>B</v>
      </c>
      <c r="L966" s="107"/>
    </row>
    <row r="967" spans="1:12" s="103" customFormat="1">
      <c r="A967" s="107" t="s">
        <v>2944</v>
      </c>
      <c r="B967" s="107" t="str">
        <f t="shared" si="262"/>
        <v>202503</v>
      </c>
      <c r="C967" s="107" t="str">
        <f t="shared" ca="1" si="280"/>
        <v>v1</v>
      </c>
      <c r="D967" s="399" t="str">
        <f t="shared" ca="1" si="281"/>
        <v>08.02.00.02.</v>
      </c>
      <c r="E967" s="107">
        <f t="shared" si="263"/>
        <v>0</v>
      </c>
      <c r="F967" s="108">
        <f ca="1">OFFSET('Tabla III.3.'!$H$37,H967-1,I967-1)</f>
        <v>0</v>
      </c>
      <c r="G967" s="107" t="str">
        <f ca="1">OFFSET('Tabla III.3.'!$H$1,0,I967-1)</f>
        <v>09</v>
      </c>
      <c r="H967" s="110">
        <f t="shared" si="282"/>
        <v>13</v>
      </c>
      <c r="I967" s="110">
        <f t="shared" si="283"/>
        <v>9</v>
      </c>
      <c r="J967" s="110" t="str">
        <f ca="1">+'Tabla III.3.'!$C$9</f>
        <v>Tabla III.3.</v>
      </c>
      <c r="K967" s="110" t="str">
        <f t="shared" si="279"/>
        <v>B</v>
      </c>
      <c r="L967" s="107"/>
    </row>
    <row r="968" spans="1:12" s="103" customFormat="1">
      <c r="A968" s="107" t="s">
        <v>2944</v>
      </c>
      <c r="B968" s="107" t="str">
        <f t="shared" si="262"/>
        <v>202503</v>
      </c>
      <c r="C968" s="107" t="str">
        <f t="shared" ca="1" si="280"/>
        <v>v1</v>
      </c>
      <c r="D968" s="399" t="str">
        <f t="shared" ca="1" si="281"/>
        <v>08.02.00.02.</v>
      </c>
      <c r="E968" s="107">
        <f t="shared" si="263"/>
        <v>0</v>
      </c>
      <c r="F968" s="108">
        <f ca="1">OFFSET('Tabla III.3.'!$H$37,H968-1,I968-1)</f>
        <v>0</v>
      </c>
      <c r="G968" s="107" t="str">
        <f ca="1">OFFSET('Tabla III.3.'!$H$1,0,I968-1)</f>
        <v>10</v>
      </c>
      <c r="H968" s="110">
        <f t="shared" si="282"/>
        <v>13</v>
      </c>
      <c r="I968" s="110">
        <f t="shared" si="283"/>
        <v>10</v>
      </c>
      <c r="J968" s="110" t="str">
        <f ca="1">+'Tabla III.3.'!$C$9</f>
        <v>Tabla III.3.</v>
      </c>
      <c r="K968" s="110" t="str">
        <f t="shared" si="279"/>
        <v>B</v>
      </c>
      <c r="L968" s="107"/>
    </row>
    <row r="969" spans="1:12" s="103" customFormat="1">
      <c r="A969" s="107" t="s">
        <v>2944</v>
      </c>
      <c r="B969" s="107" t="str">
        <f t="shared" si="262"/>
        <v>202503</v>
      </c>
      <c r="C969" s="107" t="str">
        <f t="shared" ca="1" si="280"/>
        <v>v1</v>
      </c>
      <c r="D969" s="399" t="str">
        <f t="shared" ca="1" si="281"/>
        <v>08.02.00.02.</v>
      </c>
      <c r="E969" s="107">
        <f t="shared" si="263"/>
        <v>0</v>
      </c>
      <c r="F969" s="108">
        <f ca="1">OFFSET('Tabla III.3.'!$H$37,H969-1,I969-1)</f>
        <v>0</v>
      </c>
      <c r="G969" s="107" t="str">
        <f ca="1">OFFSET('Tabla III.3.'!$H$1,0,I969-1)</f>
        <v>11</v>
      </c>
      <c r="H969" s="110">
        <f t="shared" si="282"/>
        <v>13</v>
      </c>
      <c r="I969" s="110">
        <f t="shared" si="283"/>
        <v>11</v>
      </c>
      <c r="J969" s="110" t="str">
        <f ca="1">+'Tabla III.3.'!$C$9</f>
        <v>Tabla III.3.</v>
      </c>
      <c r="K969" s="110" t="str">
        <f t="shared" si="279"/>
        <v>B</v>
      </c>
      <c r="L969" s="107"/>
    </row>
    <row r="970" spans="1:12" s="103" customFormat="1">
      <c r="A970" s="107" t="s">
        <v>2944</v>
      </c>
      <c r="B970" s="107" t="str">
        <f t="shared" si="262"/>
        <v>202503</v>
      </c>
      <c r="C970" s="107" t="str">
        <f t="shared" ca="1" si="280"/>
        <v>v1</v>
      </c>
      <c r="D970" s="399" t="str">
        <f t="shared" ca="1" si="281"/>
        <v>08.02.00.02.</v>
      </c>
      <c r="E970" s="107">
        <f t="shared" si="263"/>
        <v>0</v>
      </c>
      <c r="F970" s="108">
        <f ca="1">OFFSET('Tabla III.3.'!$H$37,H970-1,I970-1)</f>
        <v>0</v>
      </c>
      <c r="G970" s="107" t="str">
        <f ca="1">OFFSET('Tabla III.3.'!$H$1,0,I970-1)</f>
        <v>12</v>
      </c>
      <c r="H970" s="110">
        <f t="shared" si="282"/>
        <v>13</v>
      </c>
      <c r="I970" s="110">
        <f t="shared" si="283"/>
        <v>12</v>
      </c>
      <c r="J970" s="110" t="str">
        <f ca="1">+'Tabla III.3.'!$C$9</f>
        <v>Tabla III.3.</v>
      </c>
      <c r="K970" s="110" t="str">
        <f t="shared" si="279"/>
        <v>B</v>
      </c>
      <c r="L970" s="107"/>
    </row>
    <row r="971" spans="1:12" s="103" customFormat="1">
      <c r="A971" s="412" t="s">
        <v>2944</v>
      </c>
      <c r="B971" s="412" t="str">
        <f t="shared" si="262"/>
        <v>202503</v>
      </c>
      <c r="C971" s="412" t="s">
        <v>2945</v>
      </c>
      <c r="D971" s="413" t="str">
        <f ca="1">OFFSET('Tabla III.3.'!$F$37,H971-1,0)</f>
        <v>08.03.</v>
      </c>
      <c r="E971" s="412">
        <f t="shared" si="263"/>
        <v>0</v>
      </c>
      <c r="F971" s="414">
        <f ca="1">OFFSET('Tabla III.3.'!$H$37,H971-1,I971-1)</f>
        <v>0</v>
      </c>
      <c r="G971" s="412" t="str">
        <f ca="1">OFFSET('Tabla III.3.'!$H$1,0,I971-1)</f>
        <v>01</v>
      </c>
      <c r="H971" s="111">
        <f>+H959+1</f>
        <v>14</v>
      </c>
      <c r="I971" s="111">
        <v>1</v>
      </c>
      <c r="J971" s="111" t="str">
        <f ca="1">+'Tabla III.3.'!$C$9</f>
        <v>Tabla III.3.</v>
      </c>
      <c r="K971" s="111" t="s">
        <v>2267</v>
      </c>
      <c r="L971" s="412">
        <f>+L959+1</f>
        <v>14</v>
      </c>
    </row>
    <row r="972" spans="1:12" s="103" customFormat="1">
      <c r="A972" s="412" t="s">
        <v>2944</v>
      </c>
      <c r="B972" s="412" t="str">
        <f t="shared" si="262"/>
        <v>202503</v>
      </c>
      <c r="C972" s="412" t="str">
        <f ca="1">IF(G972="01","v2","v1")</f>
        <v>v1</v>
      </c>
      <c r="D972" s="413" t="str">
        <f ca="1">+D971</f>
        <v>08.03.</v>
      </c>
      <c r="E972" s="412">
        <f t="shared" si="263"/>
        <v>0</v>
      </c>
      <c r="F972" s="414">
        <f ca="1">OFFSET('Tabla III.3.'!$H$37,H972-1,I972-1)</f>
        <v>0</v>
      </c>
      <c r="G972" s="412" t="str">
        <f ca="1">OFFSET('Tabla III.3.'!$H$1,0,I972-1)</f>
        <v>02</v>
      </c>
      <c r="H972" s="111">
        <f>+H971</f>
        <v>14</v>
      </c>
      <c r="I972" s="111">
        <f>+I971+1</f>
        <v>2</v>
      </c>
      <c r="J972" s="111" t="str">
        <f ca="1">+'Tabla III.3.'!$C$9</f>
        <v>Tabla III.3.</v>
      </c>
      <c r="K972" s="111" t="str">
        <f t="shared" ref="K972:K982" si="284">+K971</f>
        <v>B</v>
      </c>
      <c r="L972" s="412"/>
    </row>
    <row r="973" spans="1:12" s="103" customFormat="1">
      <c r="A973" s="412" t="s">
        <v>2944</v>
      </c>
      <c r="B973" s="412" t="str">
        <f t="shared" si="262"/>
        <v>202503</v>
      </c>
      <c r="C973" s="412" t="str">
        <f t="shared" ref="C973:C982" ca="1" si="285">IF(G973="01","v2","v1")</f>
        <v>v1</v>
      </c>
      <c r="D973" s="413" t="str">
        <f t="shared" ref="D973:D982" ca="1" si="286">+D972</f>
        <v>08.03.</v>
      </c>
      <c r="E973" s="412">
        <f t="shared" si="263"/>
        <v>0</v>
      </c>
      <c r="F973" s="414">
        <f ca="1">OFFSET('Tabla III.3.'!$H$37,H973-1,I973-1)</f>
        <v>0</v>
      </c>
      <c r="G973" s="412" t="str">
        <f ca="1">OFFSET('Tabla III.3.'!$H$1,0,I973-1)</f>
        <v>03</v>
      </c>
      <c r="H973" s="111">
        <f t="shared" ref="H973:H982" si="287">+H972</f>
        <v>14</v>
      </c>
      <c r="I973" s="111">
        <f t="shared" ref="I973:I982" si="288">+I972+1</f>
        <v>3</v>
      </c>
      <c r="J973" s="111" t="str">
        <f ca="1">+'Tabla III.3.'!$C$9</f>
        <v>Tabla III.3.</v>
      </c>
      <c r="K973" s="111" t="str">
        <f t="shared" si="284"/>
        <v>B</v>
      </c>
      <c r="L973" s="412"/>
    </row>
    <row r="974" spans="1:12" s="103" customFormat="1">
      <c r="A974" s="412" t="s">
        <v>2944</v>
      </c>
      <c r="B974" s="412" t="str">
        <f t="shared" si="262"/>
        <v>202503</v>
      </c>
      <c r="C974" s="412" t="str">
        <f t="shared" ca="1" si="285"/>
        <v>v1</v>
      </c>
      <c r="D974" s="413" t="str">
        <f t="shared" ca="1" si="286"/>
        <v>08.03.</v>
      </c>
      <c r="E974" s="412">
        <f t="shared" si="263"/>
        <v>0</v>
      </c>
      <c r="F974" s="414">
        <f ca="1">OFFSET('Tabla III.3.'!$H$37,H974-1,I974-1)</f>
        <v>0</v>
      </c>
      <c r="G974" s="412" t="str">
        <f ca="1">OFFSET('Tabla III.3.'!$H$1,0,I974-1)</f>
        <v>04</v>
      </c>
      <c r="H974" s="111">
        <f t="shared" si="287"/>
        <v>14</v>
      </c>
      <c r="I974" s="111">
        <f t="shared" si="288"/>
        <v>4</v>
      </c>
      <c r="J974" s="111" t="str">
        <f ca="1">+'Tabla III.3.'!$C$9</f>
        <v>Tabla III.3.</v>
      </c>
      <c r="K974" s="111" t="str">
        <f t="shared" si="284"/>
        <v>B</v>
      </c>
      <c r="L974" s="412"/>
    </row>
    <row r="975" spans="1:12" s="103" customFormat="1">
      <c r="A975" s="412" t="s">
        <v>2944</v>
      </c>
      <c r="B975" s="412" t="str">
        <f t="shared" si="262"/>
        <v>202503</v>
      </c>
      <c r="C975" s="412" t="str">
        <f t="shared" ca="1" si="285"/>
        <v>v1</v>
      </c>
      <c r="D975" s="413" t="str">
        <f t="shared" ca="1" si="286"/>
        <v>08.03.</v>
      </c>
      <c r="E975" s="412">
        <f t="shared" si="263"/>
        <v>0</v>
      </c>
      <c r="F975" s="414">
        <f ca="1">OFFSET('Tabla III.3.'!$H$37,H975-1,I975-1)</f>
        <v>0</v>
      </c>
      <c r="G975" s="412" t="str">
        <f ca="1">OFFSET('Tabla III.3.'!$H$1,0,I975-1)</f>
        <v>05</v>
      </c>
      <c r="H975" s="111">
        <f t="shared" si="287"/>
        <v>14</v>
      </c>
      <c r="I975" s="111">
        <f t="shared" si="288"/>
        <v>5</v>
      </c>
      <c r="J975" s="111" t="str">
        <f ca="1">+'Tabla III.3.'!$C$9</f>
        <v>Tabla III.3.</v>
      </c>
      <c r="K975" s="111" t="str">
        <f t="shared" si="284"/>
        <v>B</v>
      </c>
      <c r="L975" s="412"/>
    </row>
    <row r="976" spans="1:12" s="103" customFormat="1">
      <c r="A976" s="412" t="s">
        <v>2944</v>
      </c>
      <c r="B976" s="412" t="str">
        <f t="shared" si="262"/>
        <v>202503</v>
      </c>
      <c r="C976" s="412" t="str">
        <f t="shared" ca="1" si="285"/>
        <v>v1</v>
      </c>
      <c r="D976" s="413" t="str">
        <f t="shared" ca="1" si="286"/>
        <v>08.03.</v>
      </c>
      <c r="E976" s="412">
        <f t="shared" si="263"/>
        <v>0</v>
      </c>
      <c r="F976" s="414">
        <f ca="1">OFFSET('Tabla III.3.'!$H$37,H976-1,I976-1)</f>
        <v>0</v>
      </c>
      <c r="G976" s="412" t="str">
        <f ca="1">OFFSET('Tabla III.3.'!$H$1,0,I976-1)</f>
        <v>06</v>
      </c>
      <c r="H976" s="111">
        <f t="shared" si="287"/>
        <v>14</v>
      </c>
      <c r="I976" s="111">
        <f t="shared" si="288"/>
        <v>6</v>
      </c>
      <c r="J976" s="111" t="str">
        <f ca="1">+'Tabla III.3.'!$C$9</f>
        <v>Tabla III.3.</v>
      </c>
      <c r="K976" s="111" t="str">
        <f t="shared" si="284"/>
        <v>B</v>
      </c>
      <c r="L976" s="412"/>
    </row>
    <row r="977" spans="1:12" s="103" customFormat="1">
      <c r="A977" s="412" t="s">
        <v>2944</v>
      </c>
      <c r="B977" s="412" t="str">
        <f t="shared" si="262"/>
        <v>202503</v>
      </c>
      <c r="C977" s="412" t="str">
        <f t="shared" ca="1" si="285"/>
        <v>v1</v>
      </c>
      <c r="D977" s="413" t="str">
        <f t="shared" ca="1" si="286"/>
        <v>08.03.</v>
      </c>
      <c r="E977" s="412">
        <f t="shared" si="263"/>
        <v>0</v>
      </c>
      <c r="F977" s="414">
        <f ca="1">OFFSET('Tabla III.3.'!$H$37,H977-1,I977-1)</f>
        <v>0</v>
      </c>
      <c r="G977" s="412" t="str">
        <f ca="1">OFFSET('Tabla III.3.'!$H$1,0,I977-1)</f>
        <v>07</v>
      </c>
      <c r="H977" s="111">
        <f t="shared" si="287"/>
        <v>14</v>
      </c>
      <c r="I977" s="111">
        <f t="shared" si="288"/>
        <v>7</v>
      </c>
      <c r="J977" s="111" t="str">
        <f ca="1">+'Tabla III.3.'!$C$9</f>
        <v>Tabla III.3.</v>
      </c>
      <c r="K977" s="111" t="str">
        <f t="shared" si="284"/>
        <v>B</v>
      </c>
      <c r="L977" s="412"/>
    </row>
    <row r="978" spans="1:12" s="103" customFormat="1">
      <c r="A978" s="412" t="s">
        <v>2944</v>
      </c>
      <c r="B978" s="412" t="str">
        <f t="shared" si="262"/>
        <v>202503</v>
      </c>
      <c r="C978" s="412" t="str">
        <f t="shared" ca="1" si="285"/>
        <v>v1</v>
      </c>
      <c r="D978" s="413" t="str">
        <f t="shared" ca="1" si="286"/>
        <v>08.03.</v>
      </c>
      <c r="E978" s="412">
        <f t="shared" si="263"/>
        <v>0</v>
      </c>
      <c r="F978" s="414">
        <f ca="1">OFFSET('Tabla III.3.'!$H$37,H978-1,I978-1)</f>
        <v>0</v>
      </c>
      <c r="G978" s="412" t="str">
        <f ca="1">OFFSET('Tabla III.3.'!$H$1,0,I978-1)</f>
        <v>08</v>
      </c>
      <c r="H978" s="111">
        <f t="shared" si="287"/>
        <v>14</v>
      </c>
      <c r="I978" s="111">
        <f t="shared" si="288"/>
        <v>8</v>
      </c>
      <c r="J978" s="111" t="str">
        <f ca="1">+'Tabla III.3.'!$C$9</f>
        <v>Tabla III.3.</v>
      </c>
      <c r="K978" s="111" t="str">
        <f t="shared" si="284"/>
        <v>B</v>
      </c>
      <c r="L978" s="412"/>
    </row>
    <row r="979" spans="1:12" s="103" customFormat="1">
      <c r="A979" s="412" t="s">
        <v>2944</v>
      </c>
      <c r="B979" s="412" t="str">
        <f t="shared" ref="B979:B1042" si="289">PERIODO</f>
        <v>202503</v>
      </c>
      <c r="C979" s="412" t="str">
        <f t="shared" ca="1" si="285"/>
        <v>v1</v>
      </c>
      <c r="D979" s="413" t="str">
        <f t="shared" ca="1" si="286"/>
        <v>08.03.</v>
      </c>
      <c r="E979" s="412">
        <f t="shared" si="263"/>
        <v>0</v>
      </c>
      <c r="F979" s="414">
        <f ca="1">OFFSET('Tabla III.3.'!$H$37,H979-1,I979-1)</f>
        <v>0</v>
      </c>
      <c r="G979" s="412" t="str">
        <f ca="1">OFFSET('Tabla III.3.'!$H$1,0,I979-1)</f>
        <v>09</v>
      </c>
      <c r="H979" s="111">
        <f t="shared" si="287"/>
        <v>14</v>
      </c>
      <c r="I979" s="111">
        <f t="shared" si="288"/>
        <v>9</v>
      </c>
      <c r="J979" s="111" t="str">
        <f ca="1">+'Tabla III.3.'!$C$9</f>
        <v>Tabla III.3.</v>
      </c>
      <c r="K979" s="111" t="str">
        <f t="shared" si="284"/>
        <v>B</v>
      </c>
      <c r="L979" s="412"/>
    </row>
    <row r="980" spans="1:12" s="103" customFormat="1">
      <c r="A980" s="412" t="s">
        <v>2944</v>
      </c>
      <c r="B980" s="412" t="str">
        <f t="shared" si="289"/>
        <v>202503</v>
      </c>
      <c r="C980" s="412" t="str">
        <f t="shared" ca="1" si="285"/>
        <v>v1</v>
      </c>
      <c r="D980" s="413" t="str">
        <f t="shared" ca="1" si="286"/>
        <v>08.03.</v>
      </c>
      <c r="E980" s="412">
        <f t="shared" ref="E980:E1030" si="290">RUC</f>
        <v>0</v>
      </c>
      <c r="F980" s="414">
        <f ca="1">OFFSET('Tabla III.3.'!$H$37,H980-1,I980-1)</f>
        <v>0</v>
      </c>
      <c r="G980" s="412" t="str">
        <f ca="1">OFFSET('Tabla III.3.'!$H$1,0,I980-1)</f>
        <v>10</v>
      </c>
      <c r="H980" s="111">
        <f t="shared" si="287"/>
        <v>14</v>
      </c>
      <c r="I980" s="111">
        <f t="shared" si="288"/>
        <v>10</v>
      </c>
      <c r="J980" s="111" t="str">
        <f ca="1">+'Tabla III.3.'!$C$9</f>
        <v>Tabla III.3.</v>
      </c>
      <c r="K980" s="111" t="str">
        <f t="shared" si="284"/>
        <v>B</v>
      </c>
      <c r="L980" s="412"/>
    </row>
    <row r="981" spans="1:12" s="103" customFormat="1">
      <c r="A981" s="412" t="s">
        <v>2944</v>
      </c>
      <c r="B981" s="412" t="str">
        <f t="shared" si="289"/>
        <v>202503</v>
      </c>
      <c r="C981" s="412" t="str">
        <f t="shared" ca="1" si="285"/>
        <v>v1</v>
      </c>
      <c r="D981" s="413" t="str">
        <f t="shared" ca="1" si="286"/>
        <v>08.03.</v>
      </c>
      <c r="E981" s="412">
        <f t="shared" si="290"/>
        <v>0</v>
      </c>
      <c r="F981" s="414">
        <f ca="1">OFFSET('Tabla III.3.'!$H$37,H981-1,I981-1)</f>
        <v>0</v>
      </c>
      <c r="G981" s="412" t="str">
        <f ca="1">OFFSET('Tabla III.3.'!$H$1,0,I981-1)</f>
        <v>11</v>
      </c>
      <c r="H981" s="111">
        <f t="shared" si="287"/>
        <v>14</v>
      </c>
      <c r="I981" s="111">
        <f t="shared" si="288"/>
        <v>11</v>
      </c>
      <c r="J981" s="111" t="str">
        <f ca="1">+'Tabla III.3.'!$C$9</f>
        <v>Tabla III.3.</v>
      </c>
      <c r="K981" s="111" t="str">
        <f t="shared" si="284"/>
        <v>B</v>
      </c>
      <c r="L981" s="412"/>
    </row>
    <row r="982" spans="1:12" s="103" customFormat="1">
      <c r="A982" s="412" t="s">
        <v>2944</v>
      </c>
      <c r="B982" s="412" t="str">
        <f t="shared" si="289"/>
        <v>202503</v>
      </c>
      <c r="C982" s="412" t="str">
        <f t="shared" ca="1" si="285"/>
        <v>v1</v>
      </c>
      <c r="D982" s="413" t="str">
        <f t="shared" ca="1" si="286"/>
        <v>08.03.</v>
      </c>
      <c r="E982" s="412">
        <f t="shared" si="290"/>
        <v>0</v>
      </c>
      <c r="F982" s="414">
        <f ca="1">OFFSET('Tabla III.3.'!$H$37,H982-1,I982-1)</f>
        <v>0</v>
      </c>
      <c r="G982" s="412" t="str">
        <f ca="1">OFFSET('Tabla III.3.'!$H$1,0,I982-1)</f>
        <v>12</v>
      </c>
      <c r="H982" s="111">
        <f t="shared" si="287"/>
        <v>14</v>
      </c>
      <c r="I982" s="111">
        <f t="shared" si="288"/>
        <v>12</v>
      </c>
      <c r="J982" s="111" t="str">
        <f ca="1">+'Tabla III.3.'!$C$9</f>
        <v>Tabla III.3.</v>
      </c>
      <c r="K982" s="111" t="str">
        <f t="shared" si="284"/>
        <v>B</v>
      </c>
      <c r="L982" s="412"/>
    </row>
    <row r="983" spans="1:12" s="103" customFormat="1">
      <c r="A983" s="107" t="s">
        <v>2944</v>
      </c>
      <c r="B983" s="107" t="str">
        <f t="shared" si="289"/>
        <v>202503</v>
      </c>
      <c r="C983" s="107" t="s">
        <v>2945</v>
      </c>
      <c r="D983" s="399" t="str">
        <f ca="1">OFFSET('Tabla III.3.'!$F$37,H983-1,0)</f>
        <v>08.03.00.01.</v>
      </c>
      <c r="E983" s="107">
        <f t="shared" si="290"/>
        <v>0</v>
      </c>
      <c r="F983" s="108">
        <f ca="1">OFFSET('Tabla III.3.'!$H$37,H983-1,I983-1)</f>
        <v>0</v>
      </c>
      <c r="G983" s="107" t="str">
        <f ca="1">OFFSET('Tabla III.3.'!$H$1,0,I983-1)</f>
        <v>01</v>
      </c>
      <c r="H983" s="110">
        <f>+H971+1</f>
        <v>15</v>
      </c>
      <c r="I983" s="110">
        <v>1</v>
      </c>
      <c r="J983" s="110" t="str">
        <f ca="1">+'Tabla III.3.'!$C$9</f>
        <v>Tabla III.3.</v>
      </c>
      <c r="K983" s="110" t="s">
        <v>2267</v>
      </c>
      <c r="L983" s="107">
        <f>+L971+1</f>
        <v>15</v>
      </c>
    </row>
    <row r="984" spans="1:12" s="103" customFormat="1">
      <c r="A984" s="107" t="s">
        <v>2944</v>
      </c>
      <c r="B984" s="107" t="str">
        <f t="shared" si="289"/>
        <v>202503</v>
      </c>
      <c r="C984" s="107" t="str">
        <f ca="1">IF(G984="01","v2","v1")</f>
        <v>v1</v>
      </c>
      <c r="D984" s="399" t="str">
        <f ca="1">+D983</f>
        <v>08.03.00.01.</v>
      </c>
      <c r="E984" s="107">
        <f t="shared" si="290"/>
        <v>0</v>
      </c>
      <c r="F984" s="108">
        <f ca="1">OFFSET('Tabla III.3.'!$H$37,H984-1,I984-1)</f>
        <v>0</v>
      </c>
      <c r="G984" s="107" t="str">
        <f ca="1">OFFSET('Tabla III.3.'!$H$1,0,I984-1)</f>
        <v>02</v>
      </c>
      <c r="H984" s="110">
        <f>+H983</f>
        <v>15</v>
      </c>
      <c r="I984" s="110">
        <f>+I983+1</f>
        <v>2</v>
      </c>
      <c r="J984" s="110" t="str">
        <f ca="1">+'Tabla III.3.'!$C$9</f>
        <v>Tabla III.3.</v>
      </c>
      <c r="K984" s="110" t="str">
        <f t="shared" ref="K984:K994" si="291">+K983</f>
        <v>B</v>
      </c>
      <c r="L984" s="107"/>
    </row>
    <row r="985" spans="1:12" s="103" customFormat="1">
      <c r="A985" s="107" t="s">
        <v>2944</v>
      </c>
      <c r="B985" s="107" t="str">
        <f t="shared" si="289"/>
        <v>202503</v>
      </c>
      <c r="C985" s="107" t="str">
        <f t="shared" ref="C985:C994" ca="1" si="292">IF(G985="01","v2","v1")</f>
        <v>v1</v>
      </c>
      <c r="D985" s="399" t="str">
        <f t="shared" ref="D985:D994" ca="1" si="293">+D984</f>
        <v>08.03.00.01.</v>
      </c>
      <c r="E985" s="107">
        <f t="shared" si="290"/>
        <v>0</v>
      </c>
      <c r="F985" s="108">
        <f ca="1">OFFSET('Tabla III.3.'!$H$37,H985-1,I985-1)</f>
        <v>0</v>
      </c>
      <c r="G985" s="107" t="str">
        <f ca="1">OFFSET('Tabla III.3.'!$H$1,0,I985-1)</f>
        <v>03</v>
      </c>
      <c r="H985" s="110">
        <f t="shared" ref="H985:H994" si="294">+H984</f>
        <v>15</v>
      </c>
      <c r="I985" s="110">
        <f t="shared" ref="I985:I994" si="295">+I984+1</f>
        <v>3</v>
      </c>
      <c r="J985" s="110" t="str">
        <f ca="1">+'Tabla III.3.'!$C$9</f>
        <v>Tabla III.3.</v>
      </c>
      <c r="K985" s="110" t="str">
        <f t="shared" si="291"/>
        <v>B</v>
      </c>
      <c r="L985" s="107"/>
    </row>
    <row r="986" spans="1:12" s="103" customFormat="1">
      <c r="A986" s="107" t="s">
        <v>2944</v>
      </c>
      <c r="B986" s="107" t="str">
        <f t="shared" si="289"/>
        <v>202503</v>
      </c>
      <c r="C986" s="107" t="str">
        <f t="shared" ca="1" si="292"/>
        <v>v1</v>
      </c>
      <c r="D986" s="399" t="str">
        <f t="shared" ca="1" si="293"/>
        <v>08.03.00.01.</v>
      </c>
      <c r="E986" s="107">
        <f t="shared" si="290"/>
        <v>0</v>
      </c>
      <c r="F986" s="108">
        <f ca="1">OFFSET('Tabla III.3.'!$H$37,H986-1,I986-1)</f>
        <v>0</v>
      </c>
      <c r="G986" s="107" t="str">
        <f ca="1">OFFSET('Tabla III.3.'!$H$1,0,I986-1)</f>
        <v>04</v>
      </c>
      <c r="H986" s="110">
        <f t="shared" si="294"/>
        <v>15</v>
      </c>
      <c r="I986" s="110">
        <f t="shared" si="295"/>
        <v>4</v>
      </c>
      <c r="J986" s="110" t="str">
        <f ca="1">+'Tabla III.3.'!$C$9</f>
        <v>Tabla III.3.</v>
      </c>
      <c r="K986" s="110" t="str">
        <f t="shared" si="291"/>
        <v>B</v>
      </c>
      <c r="L986" s="107"/>
    </row>
    <row r="987" spans="1:12" s="103" customFormat="1">
      <c r="A987" s="107" t="s">
        <v>2944</v>
      </c>
      <c r="B987" s="107" t="str">
        <f t="shared" si="289"/>
        <v>202503</v>
      </c>
      <c r="C987" s="107" t="str">
        <f t="shared" ca="1" si="292"/>
        <v>v1</v>
      </c>
      <c r="D987" s="399" t="str">
        <f t="shared" ca="1" si="293"/>
        <v>08.03.00.01.</v>
      </c>
      <c r="E987" s="107">
        <f t="shared" si="290"/>
        <v>0</v>
      </c>
      <c r="F987" s="108">
        <f ca="1">OFFSET('Tabla III.3.'!$H$37,H987-1,I987-1)</f>
        <v>0</v>
      </c>
      <c r="G987" s="107" t="str">
        <f ca="1">OFFSET('Tabla III.3.'!$H$1,0,I987-1)</f>
        <v>05</v>
      </c>
      <c r="H987" s="110">
        <f t="shared" si="294"/>
        <v>15</v>
      </c>
      <c r="I987" s="110">
        <f t="shared" si="295"/>
        <v>5</v>
      </c>
      <c r="J987" s="110" t="str">
        <f ca="1">+'Tabla III.3.'!$C$9</f>
        <v>Tabla III.3.</v>
      </c>
      <c r="K987" s="110" t="str">
        <f t="shared" si="291"/>
        <v>B</v>
      </c>
      <c r="L987" s="107"/>
    </row>
    <row r="988" spans="1:12" s="103" customFormat="1">
      <c r="A988" s="107" t="s">
        <v>2944</v>
      </c>
      <c r="B988" s="107" t="str">
        <f t="shared" si="289"/>
        <v>202503</v>
      </c>
      <c r="C988" s="107" t="str">
        <f t="shared" ca="1" si="292"/>
        <v>v1</v>
      </c>
      <c r="D988" s="399" t="str">
        <f t="shared" ca="1" si="293"/>
        <v>08.03.00.01.</v>
      </c>
      <c r="E988" s="107">
        <f t="shared" si="290"/>
        <v>0</v>
      </c>
      <c r="F988" s="108">
        <f ca="1">OFFSET('Tabla III.3.'!$H$37,H988-1,I988-1)</f>
        <v>0</v>
      </c>
      <c r="G988" s="107" t="str">
        <f ca="1">OFFSET('Tabla III.3.'!$H$1,0,I988-1)</f>
        <v>06</v>
      </c>
      <c r="H988" s="110">
        <f t="shared" si="294"/>
        <v>15</v>
      </c>
      <c r="I988" s="110">
        <f t="shared" si="295"/>
        <v>6</v>
      </c>
      <c r="J988" s="110" t="str">
        <f ca="1">+'Tabla III.3.'!$C$9</f>
        <v>Tabla III.3.</v>
      </c>
      <c r="K988" s="110" t="str">
        <f t="shared" si="291"/>
        <v>B</v>
      </c>
      <c r="L988" s="107"/>
    </row>
    <row r="989" spans="1:12" s="103" customFormat="1">
      <c r="A989" s="107" t="s">
        <v>2944</v>
      </c>
      <c r="B989" s="107" t="str">
        <f t="shared" si="289"/>
        <v>202503</v>
      </c>
      <c r="C989" s="107" t="str">
        <f t="shared" ca="1" si="292"/>
        <v>v1</v>
      </c>
      <c r="D989" s="399" t="str">
        <f t="shared" ca="1" si="293"/>
        <v>08.03.00.01.</v>
      </c>
      <c r="E989" s="107">
        <f t="shared" si="290"/>
        <v>0</v>
      </c>
      <c r="F989" s="108">
        <f ca="1">OFFSET('Tabla III.3.'!$H$37,H989-1,I989-1)</f>
        <v>0</v>
      </c>
      <c r="G989" s="107" t="str">
        <f ca="1">OFFSET('Tabla III.3.'!$H$1,0,I989-1)</f>
        <v>07</v>
      </c>
      <c r="H989" s="110">
        <f t="shared" si="294"/>
        <v>15</v>
      </c>
      <c r="I989" s="110">
        <f t="shared" si="295"/>
        <v>7</v>
      </c>
      <c r="J989" s="110" t="str">
        <f ca="1">+'Tabla III.3.'!$C$9</f>
        <v>Tabla III.3.</v>
      </c>
      <c r="K989" s="110" t="str">
        <f t="shared" si="291"/>
        <v>B</v>
      </c>
      <c r="L989" s="107"/>
    </row>
    <row r="990" spans="1:12" s="103" customFormat="1">
      <c r="A990" s="107" t="s">
        <v>2944</v>
      </c>
      <c r="B990" s="107" t="str">
        <f t="shared" si="289"/>
        <v>202503</v>
      </c>
      <c r="C990" s="107" t="str">
        <f t="shared" ca="1" si="292"/>
        <v>v1</v>
      </c>
      <c r="D990" s="399" t="str">
        <f t="shared" ca="1" si="293"/>
        <v>08.03.00.01.</v>
      </c>
      <c r="E990" s="107">
        <f t="shared" si="290"/>
        <v>0</v>
      </c>
      <c r="F990" s="108">
        <f ca="1">OFFSET('Tabla III.3.'!$H$37,H990-1,I990-1)</f>
        <v>0</v>
      </c>
      <c r="G990" s="107" t="str">
        <f ca="1">OFFSET('Tabla III.3.'!$H$1,0,I990-1)</f>
        <v>08</v>
      </c>
      <c r="H990" s="110">
        <f t="shared" si="294"/>
        <v>15</v>
      </c>
      <c r="I990" s="110">
        <f t="shared" si="295"/>
        <v>8</v>
      </c>
      <c r="J990" s="110" t="str">
        <f ca="1">+'Tabla III.3.'!$C$9</f>
        <v>Tabla III.3.</v>
      </c>
      <c r="K990" s="110" t="str">
        <f t="shared" si="291"/>
        <v>B</v>
      </c>
      <c r="L990" s="107"/>
    </row>
    <row r="991" spans="1:12" s="103" customFormat="1">
      <c r="A991" s="107" t="s">
        <v>2944</v>
      </c>
      <c r="B991" s="107" t="str">
        <f t="shared" si="289"/>
        <v>202503</v>
      </c>
      <c r="C991" s="107" t="str">
        <f t="shared" ca="1" si="292"/>
        <v>v1</v>
      </c>
      <c r="D991" s="399" t="str">
        <f t="shared" ca="1" si="293"/>
        <v>08.03.00.01.</v>
      </c>
      <c r="E991" s="107">
        <f t="shared" si="290"/>
        <v>0</v>
      </c>
      <c r="F991" s="108">
        <f ca="1">OFFSET('Tabla III.3.'!$H$37,H991-1,I991-1)</f>
        <v>0</v>
      </c>
      <c r="G991" s="107" t="str">
        <f ca="1">OFFSET('Tabla III.3.'!$H$1,0,I991-1)</f>
        <v>09</v>
      </c>
      <c r="H991" s="110">
        <f t="shared" si="294"/>
        <v>15</v>
      </c>
      <c r="I991" s="110">
        <f t="shared" si="295"/>
        <v>9</v>
      </c>
      <c r="J991" s="110" t="str">
        <f ca="1">+'Tabla III.3.'!$C$9</f>
        <v>Tabla III.3.</v>
      </c>
      <c r="K991" s="110" t="str">
        <f t="shared" si="291"/>
        <v>B</v>
      </c>
      <c r="L991" s="107"/>
    </row>
    <row r="992" spans="1:12" s="103" customFormat="1">
      <c r="A992" s="107" t="s">
        <v>2944</v>
      </c>
      <c r="B992" s="107" t="str">
        <f t="shared" si="289"/>
        <v>202503</v>
      </c>
      <c r="C992" s="107" t="str">
        <f t="shared" ca="1" si="292"/>
        <v>v1</v>
      </c>
      <c r="D992" s="399" t="str">
        <f t="shared" ca="1" si="293"/>
        <v>08.03.00.01.</v>
      </c>
      <c r="E992" s="107">
        <f t="shared" si="290"/>
        <v>0</v>
      </c>
      <c r="F992" s="108">
        <f ca="1">OFFSET('Tabla III.3.'!$H$37,H992-1,I992-1)</f>
        <v>0</v>
      </c>
      <c r="G992" s="107" t="str">
        <f ca="1">OFFSET('Tabla III.3.'!$H$1,0,I992-1)</f>
        <v>10</v>
      </c>
      <c r="H992" s="110">
        <f t="shared" si="294"/>
        <v>15</v>
      </c>
      <c r="I992" s="110">
        <f t="shared" si="295"/>
        <v>10</v>
      </c>
      <c r="J992" s="110" t="str">
        <f ca="1">+'Tabla III.3.'!$C$9</f>
        <v>Tabla III.3.</v>
      </c>
      <c r="K992" s="110" t="str">
        <f t="shared" si="291"/>
        <v>B</v>
      </c>
      <c r="L992" s="107"/>
    </row>
    <row r="993" spans="1:12" s="103" customFormat="1">
      <c r="A993" s="107" t="s">
        <v>2944</v>
      </c>
      <c r="B993" s="107" t="str">
        <f t="shared" si="289"/>
        <v>202503</v>
      </c>
      <c r="C993" s="107" t="str">
        <f t="shared" ca="1" si="292"/>
        <v>v1</v>
      </c>
      <c r="D993" s="399" t="str">
        <f t="shared" ca="1" si="293"/>
        <v>08.03.00.01.</v>
      </c>
      <c r="E993" s="107">
        <f t="shared" si="290"/>
        <v>0</v>
      </c>
      <c r="F993" s="108">
        <f ca="1">OFFSET('Tabla III.3.'!$H$37,H993-1,I993-1)</f>
        <v>0</v>
      </c>
      <c r="G993" s="107" t="str">
        <f ca="1">OFFSET('Tabla III.3.'!$H$1,0,I993-1)</f>
        <v>11</v>
      </c>
      <c r="H993" s="110">
        <f t="shared" si="294"/>
        <v>15</v>
      </c>
      <c r="I993" s="110">
        <f t="shared" si="295"/>
        <v>11</v>
      </c>
      <c r="J993" s="110" t="str">
        <f ca="1">+'Tabla III.3.'!$C$9</f>
        <v>Tabla III.3.</v>
      </c>
      <c r="K993" s="110" t="str">
        <f t="shared" si="291"/>
        <v>B</v>
      </c>
      <c r="L993" s="107"/>
    </row>
    <row r="994" spans="1:12" s="103" customFormat="1">
      <c r="A994" s="107" t="s">
        <v>2944</v>
      </c>
      <c r="B994" s="107" t="str">
        <f t="shared" si="289"/>
        <v>202503</v>
      </c>
      <c r="C994" s="107" t="str">
        <f t="shared" ca="1" si="292"/>
        <v>v1</v>
      </c>
      <c r="D994" s="399" t="str">
        <f t="shared" ca="1" si="293"/>
        <v>08.03.00.01.</v>
      </c>
      <c r="E994" s="107">
        <f t="shared" si="290"/>
        <v>0</v>
      </c>
      <c r="F994" s="108">
        <f ca="1">OFFSET('Tabla III.3.'!$H$37,H994-1,I994-1)</f>
        <v>0</v>
      </c>
      <c r="G994" s="107" t="str">
        <f ca="1">OFFSET('Tabla III.3.'!$H$1,0,I994-1)</f>
        <v>12</v>
      </c>
      <c r="H994" s="110">
        <f t="shared" si="294"/>
        <v>15</v>
      </c>
      <c r="I994" s="110">
        <f t="shared" si="295"/>
        <v>12</v>
      </c>
      <c r="J994" s="110" t="str">
        <f ca="1">+'Tabla III.3.'!$C$9</f>
        <v>Tabla III.3.</v>
      </c>
      <c r="K994" s="110" t="str">
        <f t="shared" si="291"/>
        <v>B</v>
      </c>
      <c r="L994" s="107"/>
    </row>
    <row r="995" spans="1:12" s="103" customFormat="1">
      <c r="A995" s="412" t="s">
        <v>2944</v>
      </c>
      <c r="B995" s="412" t="str">
        <f t="shared" si="289"/>
        <v>202503</v>
      </c>
      <c r="C995" s="412" t="s">
        <v>2945</v>
      </c>
      <c r="D995" s="413" t="str">
        <f ca="1">OFFSET('Tabla III.3.'!$F$37,H995-1,0)</f>
        <v>08.03.00.02.</v>
      </c>
      <c r="E995" s="412">
        <f t="shared" si="290"/>
        <v>0</v>
      </c>
      <c r="F995" s="414">
        <f ca="1">OFFSET('Tabla III.3.'!$H$37,H995-1,I995-1)</f>
        <v>0</v>
      </c>
      <c r="G995" s="412" t="str">
        <f ca="1">OFFSET('Tabla III.3.'!$H$1,0,I995-1)</f>
        <v>01</v>
      </c>
      <c r="H995" s="111">
        <f>+H983+1</f>
        <v>16</v>
      </c>
      <c r="I995" s="111">
        <v>1</v>
      </c>
      <c r="J995" s="111" t="str">
        <f ca="1">+'Tabla III.3.'!$C$9</f>
        <v>Tabla III.3.</v>
      </c>
      <c r="K995" s="111" t="s">
        <v>2267</v>
      </c>
      <c r="L995" s="412">
        <f>+L983+1</f>
        <v>16</v>
      </c>
    </row>
    <row r="996" spans="1:12" s="103" customFormat="1">
      <c r="A996" s="412" t="s">
        <v>2944</v>
      </c>
      <c r="B996" s="412" t="str">
        <f t="shared" si="289"/>
        <v>202503</v>
      </c>
      <c r="C996" s="412" t="str">
        <f ca="1">IF(G996="01","v2","v1")</f>
        <v>v1</v>
      </c>
      <c r="D996" s="413" t="str">
        <f ca="1">+D995</f>
        <v>08.03.00.02.</v>
      </c>
      <c r="E996" s="412">
        <f t="shared" si="290"/>
        <v>0</v>
      </c>
      <c r="F996" s="414">
        <f ca="1">OFFSET('Tabla III.3.'!$H$37,H996-1,I996-1)</f>
        <v>0</v>
      </c>
      <c r="G996" s="412" t="str">
        <f ca="1">OFFSET('Tabla III.3.'!$H$1,0,I996-1)</f>
        <v>02</v>
      </c>
      <c r="H996" s="111">
        <f>+H995</f>
        <v>16</v>
      </c>
      <c r="I996" s="111">
        <f>+I995+1</f>
        <v>2</v>
      </c>
      <c r="J996" s="111" t="str">
        <f ca="1">+'Tabla III.3.'!$C$9</f>
        <v>Tabla III.3.</v>
      </c>
      <c r="K996" s="111" t="str">
        <f t="shared" ref="K996:K1006" si="296">+K995</f>
        <v>B</v>
      </c>
      <c r="L996" s="412"/>
    </row>
    <row r="997" spans="1:12" s="103" customFormat="1">
      <c r="A997" s="412" t="s">
        <v>2944</v>
      </c>
      <c r="B997" s="412" t="str">
        <f t="shared" si="289"/>
        <v>202503</v>
      </c>
      <c r="C997" s="412" t="str">
        <f t="shared" ref="C997:C1006" ca="1" si="297">IF(G997="01","v2","v1")</f>
        <v>v1</v>
      </c>
      <c r="D997" s="413" t="str">
        <f t="shared" ref="D997:D1006" ca="1" si="298">+D996</f>
        <v>08.03.00.02.</v>
      </c>
      <c r="E997" s="412">
        <f t="shared" si="290"/>
        <v>0</v>
      </c>
      <c r="F997" s="414">
        <f ca="1">OFFSET('Tabla III.3.'!$H$37,H997-1,I997-1)</f>
        <v>0</v>
      </c>
      <c r="G997" s="412" t="str">
        <f ca="1">OFFSET('Tabla III.3.'!$H$1,0,I997-1)</f>
        <v>03</v>
      </c>
      <c r="H997" s="111">
        <f t="shared" ref="H997:H1006" si="299">+H996</f>
        <v>16</v>
      </c>
      <c r="I997" s="111">
        <f t="shared" ref="I997:I1006" si="300">+I996+1</f>
        <v>3</v>
      </c>
      <c r="J997" s="111" t="str">
        <f ca="1">+'Tabla III.3.'!$C$9</f>
        <v>Tabla III.3.</v>
      </c>
      <c r="K997" s="111" t="str">
        <f t="shared" si="296"/>
        <v>B</v>
      </c>
      <c r="L997" s="412"/>
    </row>
    <row r="998" spans="1:12" s="103" customFormat="1">
      <c r="A998" s="412" t="s">
        <v>2944</v>
      </c>
      <c r="B998" s="412" t="str">
        <f t="shared" si="289"/>
        <v>202503</v>
      </c>
      <c r="C998" s="412" t="str">
        <f t="shared" ca="1" si="297"/>
        <v>v1</v>
      </c>
      <c r="D998" s="413" t="str">
        <f t="shared" ca="1" si="298"/>
        <v>08.03.00.02.</v>
      </c>
      <c r="E998" s="412">
        <f t="shared" si="290"/>
        <v>0</v>
      </c>
      <c r="F998" s="414">
        <f ca="1">OFFSET('Tabla III.3.'!$H$37,H998-1,I998-1)</f>
        <v>0</v>
      </c>
      <c r="G998" s="412" t="str">
        <f ca="1">OFFSET('Tabla III.3.'!$H$1,0,I998-1)</f>
        <v>04</v>
      </c>
      <c r="H998" s="111">
        <f t="shared" si="299"/>
        <v>16</v>
      </c>
      <c r="I998" s="111">
        <f t="shared" si="300"/>
        <v>4</v>
      </c>
      <c r="J998" s="111" t="str">
        <f ca="1">+'Tabla III.3.'!$C$9</f>
        <v>Tabla III.3.</v>
      </c>
      <c r="K998" s="111" t="str">
        <f t="shared" si="296"/>
        <v>B</v>
      </c>
      <c r="L998" s="412"/>
    </row>
    <row r="999" spans="1:12" s="103" customFormat="1">
      <c r="A999" s="412" t="s">
        <v>2944</v>
      </c>
      <c r="B999" s="412" t="str">
        <f t="shared" si="289"/>
        <v>202503</v>
      </c>
      <c r="C999" s="412" t="str">
        <f t="shared" ca="1" si="297"/>
        <v>v1</v>
      </c>
      <c r="D999" s="413" t="str">
        <f t="shared" ca="1" si="298"/>
        <v>08.03.00.02.</v>
      </c>
      <c r="E999" s="412">
        <f t="shared" si="290"/>
        <v>0</v>
      </c>
      <c r="F999" s="414">
        <f ca="1">OFFSET('Tabla III.3.'!$H$37,H999-1,I999-1)</f>
        <v>0</v>
      </c>
      <c r="G999" s="412" t="str">
        <f ca="1">OFFSET('Tabla III.3.'!$H$1,0,I999-1)</f>
        <v>05</v>
      </c>
      <c r="H999" s="111">
        <f t="shared" si="299"/>
        <v>16</v>
      </c>
      <c r="I999" s="111">
        <f t="shared" si="300"/>
        <v>5</v>
      </c>
      <c r="J999" s="111" t="str">
        <f ca="1">+'Tabla III.3.'!$C$9</f>
        <v>Tabla III.3.</v>
      </c>
      <c r="K999" s="111" t="str">
        <f t="shared" si="296"/>
        <v>B</v>
      </c>
      <c r="L999" s="412"/>
    </row>
    <row r="1000" spans="1:12" s="103" customFormat="1">
      <c r="A1000" s="412" t="s">
        <v>2944</v>
      </c>
      <c r="B1000" s="412" t="str">
        <f t="shared" si="289"/>
        <v>202503</v>
      </c>
      <c r="C1000" s="412" t="str">
        <f t="shared" ca="1" si="297"/>
        <v>v1</v>
      </c>
      <c r="D1000" s="413" t="str">
        <f t="shared" ca="1" si="298"/>
        <v>08.03.00.02.</v>
      </c>
      <c r="E1000" s="412">
        <f t="shared" si="290"/>
        <v>0</v>
      </c>
      <c r="F1000" s="414">
        <f ca="1">OFFSET('Tabla III.3.'!$H$37,H1000-1,I1000-1)</f>
        <v>0</v>
      </c>
      <c r="G1000" s="412" t="str">
        <f ca="1">OFFSET('Tabla III.3.'!$H$1,0,I1000-1)</f>
        <v>06</v>
      </c>
      <c r="H1000" s="111">
        <f t="shared" si="299"/>
        <v>16</v>
      </c>
      <c r="I1000" s="111">
        <f t="shared" si="300"/>
        <v>6</v>
      </c>
      <c r="J1000" s="111" t="str">
        <f ca="1">+'Tabla III.3.'!$C$9</f>
        <v>Tabla III.3.</v>
      </c>
      <c r="K1000" s="111" t="str">
        <f t="shared" si="296"/>
        <v>B</v>
      </c>
      <c r="L1000" s="412"/>
    </row>
    <row r="1001" spans="1:12" s="103" customFormat="1">
      <c r="A1001" s="412" t="s">
        <v>2944</v>
      </c>
      <c r="B1001" s="412" t="str">
        <f t="shared" si="289"/>
        <v>202503</v>
      </c>
      <c r="C1001" s="412" t="str">
        <f t="shared" ca="1" si="297"/>
        <v>v1</v>
      </c>
      <c r="D1001" s="413" t="str">
        <f t="shared" ca="1" si="298"/>
        <v>08.03.00.02.</v>
      </c>
      <c r="E1001" s="412">
        <f t="shared" si="290"/>
        <v>0</v>
      </c>
      <c r="F1001" s="414">
        <f ca="1">OFFSET('Tabla III.3.'!$H$37,H1001-1,I1001-1)</f>
        <v>0</v>
      </c>
      <c r="G1001" s="412" t="str">
        <f ca="1">OFFSET('Tabla III.3.'!$H$1,0,I1001-1)</f>
        <v>07</v>
      </c>
      <c r="H1001" s="111">
        <f t="shared" si="299"/>
        <v>16</v>
      </c>
      <c r="I1001" s="111">
        <f t="shared" si="300"/>
        <v>7</v>
      </c>
      <c r="J1001" s="111" t="str">
        <f ca="1">+'Tabla III.3.'!$C$9</f>
        <v>Tabla III.3.</v>
      </c>
      <c r="K1001" s="111" t="str">
        <f t="shared" si="296"/>
        <v>B</v>
      </c>
      <c r="L1001" s="412"/>
    </row>
    <row r="1002" spans="1:12" s="103" customFormat="1">
      <c r="A1002" s="412" t="s">
        <v>2944</v>
      </c>
      <c r="B1002" s="412" t="str">
        <f t="shared" si="289"/>
        <v>202503</v>
      </c>
      <c r="C1002" s="412" t="str">
        <f t="shared" ca="1" si="297"/>
        <v>v1</v>
      </c>
      <c r="D1002" s="413" t="str">
        <f t="shared" ca="1" si="298"/>
        <v>08.03.00.02.</v>
      </c>
      <c r="E1002" s="412">
        <f t="shared" si="290"/>
        <v>0</v>
      </c>
      <c r="F1002" s="414">
        <f ca="1">OFFSET('Tabla III.3.'!$H$37,H1002-1,I1002-1)</f>
        <v>0</v>
      </c>
      <c r="G1002" s="412" t="str">
        <f ca="1">OFFSET('Tabla III.3.'!$H$1,0,I1002-1)</f>
        <v>08</v>
      </c>
      <c r="H1002" s="111">
        <f t="shared" si="299"/>
        <v>16</v>
      </c>
      <c r="I1002" s="111">
        <f t="shared" si="300"/>
        <v>8</v>
      </c>
      <c r="J1002" s="111" t="str">
        <f ca="1">+'Tabla III.3.'!$C$9</f>
        <v>Tabla III.3.</v>
      </c>
      <c r="K1002" s="111" t="str">
        <f t="shared" si="296"/>
        <v>B</v>
      </c>
      <c r="L1002" s="412"/>
    </row>
    <row r="1003" spans="1:12" s="103" customFormat="1">
      <c r="A1003" s="412" t="s">
        <v>2944</v>
      </c>
      <c r="B1003" s="412" t="str">
        <f t="shared" si="289"/>
        <v>202503</v>
      </c>
      <c r="C1003" s="412" t="str">
        <f t="shared" ca="1" si="297"/>
        <v>v1</v>
      </c>
      <c r="D1003" s="413" t="str">
        <f t="shared" ca="1" si="298"/>
        <v>08.03.00.02.</v>
      </c>
      <c r="E1003" s="412">
        <f t="shared" si="290"/>
        <v>0</v>
      </c>
      <c r="F1003" s="414">
        <f ca="1">OFFSET('Tabla III.3.'!$H$37,H1003-1,I1003-1)</f>
        <v>0</v>
      </c>
      <c r="G1003" s="412" t="str">
        <f ca="1">OFFSET('Tabla III.3.'!$H$1,0,I1003-1)</f>
        <v>09</v>
      </c>
      <c r="H1003" s="111">
        <f t="shared" si="299"/>
        <v>16</v>
      </c>
      <c r="I1003" s="111">
        <f t="shared" si="300"/>
        <v>9</v>
      </c>
      <c r="J1003" s="111" t="str">
        <f ca="1">+'Tabla III.3.'!$C$9</f>
        <v>Tabla III.3.</v>
      </c>
      <c r="K1003" s="111" t="str">
        <f t="shared" si="296"/>
        <v>B</v>
      </c>
      <c r="L1003" s="412"/>
    </row>
    <row r="1004" spans="1:12" s="103" customFormat="1">
      <c r="A1004" s="412" t="s">
        <v>2944</v>
      </c>
      <c r="B1004" s="412" t="str">
        <f t="shared" si="289"/>
        <v>202503</v>
      </c>
      <c r="C1004" s="412" t="str">
        <f t="shared" ca="1" si="297"/>
        <v>v1</v>
      </c>
      <c r="D1004" s="413" t="str">
        <f t="shared" ca="1" si="298"/>
        <v>08.03.00.02.</v>
      </c>
      <c r="E1004" s="412">
        <f t="shared" si="290"/>
        <v>0</v>
      </c>
      <c r="F1004" s="414">
        <f ca="1">OFFSET('Tabla III.3.'!$H$37,H1004-1,I1004-1)</f>
        <v>0</v>
      </c>
      <c r="G1004" s="412" t="str">
        <f ca="1">OFFSET('Tabla III.3.'!$H$1,0,I1004-1)</f>
        <v>10</v>
      </c>
      <c r="H1004" s="111">
        <f t="shared" si="299"/>
        <v>16</v>
      </c>
      <c r="I1004" s="111">
        <f t="shared" si="300"/>
        <v>10</v>
      </c>
      <c r="J1004" s="111" t="str">
        <f ca="1">+'Tabla III.3.'!$C$9</f>
        <v>Tabla III.3.</v>
      </c>
      <c r="K1004" s="111" t="str">
        <f t="shared" si="296"/>
        <v>B</v>
      </c>
      <c r="L1004" s="412"/>
    </row>
    <row r="1005" spans="1:12" s="103" customFormat="1">
      <c r="A1005" s="412" t="s">
        <v>2944</v>
      </c>
      <c r="B1005" s="412" t="str">
        <f t="shared" si="289"/>
        <v>202503</v>
      </c>
      <c r="C1005" s="412" t="str">
        <f t="shared" ca="1" si="297"/>
        <v>v1</v>
      </c>
      <c r="D1005" s="413" t="str">
        <f t="shared" ca="1" si="298"/>
        <v>08.03.00.02.</v>
      </c>
      <c r="E1005" s="412">
        <f t="shared" si="290"/>
        <v>0</v>
      </c>
      <c r="F1005" s="414">
        <f ca="1">OFFSET('Tabla III.3.'!$H$37,H1005-1,I1005-1)</f>
        <v>0</v>
      </c>
      <c r="G1005" s="412" t="str">
        <f ca="1">OFFSET('Tabla III.3.'!$H$1,0,I1005-1)</f>
        <v>11</v>
      </c>
      <c r="H1005" s="111">
        <f t="shared" si="299"/>
        <v>16</v>
      </c>
      <c r="I1005" s="111">
        <f t="shared" si="300"/>
        <v>11</v>
      </c>
      <c r="J1005" s="111" t="str">
        <f ca="1">+'Tabla III.3.'!$C$9</f>
        <v>Tabla III.3.</v>
      </c>
      <c r="K1005" s="111" t="str">
        <f t="shared" si="296"/>
        <v>B</v>
      </c>
      <c r="L1005" s="412"/>
    </row>
    <row r="1006" spans="1:12" s="103" customFormat="1">
      <c r="A1006" s="412" t="s">
        <v>2944</v>
      </c>
      <c r="B1006" s="412" t="str">
        <f t="shared" si="289"/>
        <v>202503</v>
      </c>
      <c r="C1006" s="412" t="str">
        <f t="shared" ca="1" si="297"/>
        <v>v1</v>
      </c>
      <c r="D1006" s="413" t="str">
        <f t="shared" ca="1" si="298"/>
        <v>08.03.00.02.</v>
      </c>
      <c r="E1006" s="412">
        <f t="shared" si="290"/>
        <v>0</v>
      </c>
      <c r="F1006" s="414">
        <f ca="1">OFFSET('Tabla III.3.'!$H$37,H1006-1,I1006-1)</f>
        <v>0</v>
      </c>
      <c r="G1006" s="412" t="str">
        <f ca="1">OFFSET('Tabla III.3.'!$H$1,0,I1006-1)</f>
        <v>12</v>
      </c>
      <c r="H1006" s="111">
        <f t="shared" si="299"/>
        <v>16</v>
      </c>
      <c r="I1006" s="111">
        <f t="shared" si="300"/>
        <v>12</v>
      </c>
      <c r="J1006" s="111" t="str">
        <f ca="1">+'Tabla III.3.'!$C$9</f>
        <v>Tabla III.3.</v>
      </c>
      <c r="K1006" s="111" t="str">
        <f t="shared" si="296"/>
        <v>B</v>
      </c>
      <c r="L1006" s="412"/>
    </row>
    <row r="1007" spans="1:12" s="103" customFormat="1">
      <c r="A1007" s="107" t="s">
        <v>2944</v>
      </c>
      <c r="B1007" s="107" t="str">
        <f t="shared" si="289"/>
        <v>202503</v>
      </c>
      <c r="C1007" s="107" t="s">
        <v>2945</v>
      </c>
      <c r="D1007" s="399" t="str">
        <f ca="1">OFFSET('Tabla III.3.'!$F$37,H1007-1,0)</f>
        <v>08.04.</v>
      </c>
      <c r="E1007" s="107">
        <f t="shared" si="290"/>
        <v>0</v>
      </c>
      <c r="F1007" s="108">
        <f ca="1">OFFSET('Tabla III.3.'!$H$37,H1007-1,I1007-1)</f>
        <v>0</v>
      </c>
      <c r="G1007" s="107" t="str">
        <f ca="1">OFFSET('Tabla III.3.'!$H$1,0,I1007-1)</f>
        <v>01</v>
      </c>
      <c r="H1007" s="110">
        <f>+H995+1</f>
        <v>17</v>
      </c>
      <c r="I1007" s="110">
        <v>1</v>
      </c>
      <c r="J1007" s="110" t="str">
        <f ca="1">+'Tabla III.3.'!$C$9</f>
        <v>Tabla III.3.</v>
      </c>
      <c r="K1007" s="110" t="s">
        <v>2267</v>
      </c>
      <c r="L1007" s="107">
        <f>+L995+1</f>
        <v>17</v>
      </c>
    </row>
    <row r="1008" spans="1:12" s="103" customFormat="1">
      <c r="A1008" s="107" t="s">
        <v>2944</v>
      </c>
      <c r="B1008" s="107" t="str">
        <f t="shared" si="289"/>
        <v>202503</v>
      </c>
      <c r="C1008" s="107" t="str">
        <f ca="1">IF(G1008="01","v2","v1")</f>
        <v>v1</v>
      </c>
      <c r="D1008" s="399" t="str">
        <f ca="1">+D1007</f>
        <v>08.04.</v>
      </c>
      <c r="E1008" s="107">
        <f t="shared" si="290"/>
        <v>0</v>
      </c>
      <c r="F1008" s="108">
        <f ca="1">OFFSET('Tabla III.3.'!$H$37,H1008-1,I1008-1)</f>
        <v>0</v>
      </c>
      <c r="G1008" s="107" t="str">
        <f ca="1">OFFSET('Tabla III.3.'!$H$1,0,I1008-1)</f>
        <v>02</v>
      </c>
      <c r="H1008" s="110">
        <f>+H1007</f>
        <v>17</v>
      </c>
      <c r="I1008" s="110">
        <f>+I1007+1</f>
        <v>2</v>
      </c>
      <c r="J1008" s="110" t="str">
        <f ca="1">+'Tabla III.3.'!$C$9</f>
        <v>Tabla III.3.</v>
      </c>
      <c r="K1008" s="110" t="str">
        <f t="shared" ref="K1008:K1018" si="301">+K1007</f>
        <v>B</v>
      </c>
      <c r="L1008" s="107"/>
    </row>
    <row r="1009" spans="1:12" s="103" customFormat="1">
      <c r="A1009" s="107" t="s">
        <v>2944</v>
      </c>
      <c r="B1009" s="107" t="str">
        <f t="shared" si="289"/>
        <v>202503</v>
      </c>
      <c r="C1009" s="107" t="str">
        <f t="shared" ref="C1009:C1018" ca="1" si="302">IF(G1009="01","v2","v1")</f>
        <v>v1</v>
      </c>
      <c r="D1009" s="399" t="str">
        <f t="shared" ref="D1009:D1018" ca="1" si="303">+D1008</f>
        <v>08.04.</v>
      </c>
      <c r="E1009" s="107">
        <f t="shared" si="290"/>
        <v>0</v>
      </c>
      <c r="F1009" s="108">
        <f ca="1">OFFSET('Tabla III.3.'!$H$37,H1009-1,I1009-1)</f>
        <v>0</v>
      </c>
      <c r="G1009" s="107" t="str">
        <f ca="1">OFFSET('Tabla III.3.'!$H$1,0,I1009-1)</f>
        <v>03</v>
      </c>
      <c r="H1009" s="110">
        <f t="shared" ref="H1009:H1018" si="304">+H1008</f>
        <v>17</v>
      </c>
      <c r="I1009" s="110">
        <f t="shared" ref="I1009:I1018" si="305">+I1008+1</f>
        <v>3</v>
      </c>
      <c r="J1009" s="110" t="str">
        <f ca="1">+'Tabla III.3.'!$C$9</f>
        <v>Tabla III.3.</v>
      </c>
      <c r="K1009" s="110" t="str">
        <f t="shared" si="301"/>
        <v>B</v>
      </c>
      <c r="L1009" s="107"/>
    </row>
    <row r="1010" spans="1:12" s="103" customFormat="1">
      <c r="A1010" s="107" t="s">
        <v>2944</v>
      </c>
      <c r="B1010" s="107" t="str">
        <f t="shared" si="289"/>
        <v>202503</v>
      </c>
      <c r="C1010" s="107" t="str">
        <f t="shared" ca="1" si="302"/>
        <v>v1</v>
      </c>
      <c r="D1010" s="399" t="str">
        <f t="shared" ca="1" si="303"/>
        <v>08.04.</v>
      </c>
      <c r="E1010" s="107">
        <f t="shared" si="290"/>
        <v>0</v>
      </c>
      <c r="F1010" s="108">
        <f ca="1">OFFSET('Tabla III.3.'!$H$37,H1010-1,I1010-1)</f>
        <v>0</v>
      </c>
      <c r="G1010" s="107" t="str">
        <f ca="1">OFFSET('Tabla III.3.'!$H$1,0,I1010-1)</f>
        <v>04</v>
      </c>
      <c r="H1010" s="110">
        <f t="shared" si="304"/>
        <v>17</v>
      </c>
      <c r="I1010" s="110">
        <f t="shared" si="305"/>
        <v>4</v>
      </c>
      <c r="J1010" s="110" t="str">
        <f ca="1">+'Tabla III.3.'!$C$9</f>
        <v>Tabla III.3.</v>
      </c>
      <c r="K1010" s="110" t="str">
        <f t="shared" si="301"/>
        <v>B</v>
      </c>
      <c r="L1010" s="107"/>
    </row>
    <row r="1011" spans="1:12" s="103" customFormat="1">
      <c r="A1011" s="107" t="s">
        <v>2944</v>
      </c>
      <c r="B1011" s="107" t="str">
        <f t="shared" si="289"/>
        <v>202503</v>
      </c>
      <c r="C1011" s="107" t="str">
        <f t="shared" ca="1" si="302"/>
        <v>v1</v>
      </c>
      <c r="D1011" s="399" t="str">
        <f t="shared" ca="1" si="303"/>
        <v>08.04.</v>
      </c>
      <c r="E1011" s="107">
        <f t="shared" si="290"/>
        <v>0</v>
      </c>
      <c r="F1011" s="108">
        <f ca="1">OFFSET('Tabla III.3.'!$H$37,H1011-1,I1011-1)</f>
        <v>0</v>
      </c>
      <c r="G1011" s="107" t="str">
        <f ca="1">OFFSET('Tabla III.3.'!$H$1,0,I1011-1)</f>
        <v>05</v>
      </c>
      <c r="H1011" s="110">
        <f t="shared" si="304"/>
        <v>17</v>
      </c>
      <c r="I1011" s="110">
        <f t="shared" si="305"/>
        <v>5</v>
      </c>
      <c r="J1011" s="110" t="str">
        <f ca="1">+'Tabla III.3.'!$C$9</f>
        <v>Tabla III.3.</v>
      </c>
      <c r="K1011" s="110" t="str">
        <f t="shared" si="301"/>
        <v>B</v>
      </c>
      <c r="L1011" s="107"/>
    </row>
    <row r="1012" spans="1:12" s="103" customFormat="1">
      <c r="A1012" s="107" t="s">
        <v>2944</v>
      </c>
      <c r="B1012" s="107" t="str">
        <f t="shared" si="289"/>
        <v>202503</v>
      </c>
      <c r="C1012" s="107" t="str">
        <f t="shared" ca="1" si="302"/>
        <v>v1</v>
      </c>
      <c r="D1012" s="399" t="str">
        <f t="shared" ca="1" si="303"/>
        <v>08.04.</v>
      </c>
      <c r="E1012" s="107">
        <f t="shared" si="290"/>
        <v>0</v>
      </c>
      <c r="F1012" s="108">
        <f ca="1">OFFSET('Tabla III.3.'!$H$37,H1012-1,I1012-1)</f>
        <v>0</v>
      </c>
      <c r="G1012" s="107" t="str">
        <f ca="1">OFFSET('Tabla III.3.'!$H$1,0,I1012-1)</f>
        <v>06</v>
      </c>
      <c r="H1012" s="110">
        <f t="shared" si="304"/>
        <v>17</v>
      </c>
      <c r="I1012" s="110">
        <f t="shared" si="305"/>
        <v>6</v>
      </c>
      <c r="J1012" s="110" t="str">
        <f ca="1">+'Tabla III.3.'!$C$9</f>
        <v>Tabla III.3.</v>
      </c>
      <c r="K1012" s="110" t="str">
        <f t="shared" si="301"/>
        <v>B</v>
      </c>
      <c r="L1012" s="107"/>
    </row>
    <row r="1013" spans="1:12" s="103" customFormat="1">
      <c r="A1013" s="107" t="s">
        <v>2944</v>
      </c>
      <c r="B1013" s="107" t="str">
        <f t="shared" si="289"/>
        <v>202503</v>
      </c>
      <c r="C1013" s="107" t="str">
        <f t="shared" ca="1" si="302"/>
        <v>v1</v>
      </c>
      <c r="D1013" s="399" t="str">
        <f t="shared" ca="1" si="303"/>
        <v>08.04.</v>
      </c>
      <c r="E1013" s="107">
        <f t="shared" si="290"/>
        <v>0</v>
      </c>
      <c r="F1013" s="108">
        <f ca="1">OFFSET('Tabla III.3.'!$H$37,H1013-1,I1013-1)</f>
        <v>0</v>
      </c>
      <c r="G1013" s="107" t="str">
        <f ca="1">OFFSET('Tabla III.3.'!$H$1,0,I1013-1)</f>
        <v>07</v>
      </c>
      <c r="H1013" s="110">
        <f t="shared" si="304"/>
        <v>17</v>
      </c>
      <c r="I1013" s="110">
        <f t="shared" si="305"/>
        <v>7</v>
      </c>
      <c r="J1013" s="110" t="str">
        <f ca="1">+'Tabla III.3.'!$C$9</f>
        <v>Tabla III.3.</v>
      </c>
      <c r="K1013" s="110" t="str">
        <f t="shared" si="301"/>
        <v>B</v>
      </c>
      <c r="L1013" s="107"/>
    </row>
    <row r="1014" spans="1:12" s="103" customFormat="1">
      <c r="A1014" s="107" t="s">
        <v>2944</v>
      </c>
      <c r="B1014" s="107" t="str">
        <f t="shared" si="289"/>
        <v>202503</v>
      </c>
      <c r="C1014" s="107" t="str">
        <f t="shared" ca="1" si="302"/>
        <v>v1</v>
      </c>
      <c r="D1014" s="399" t="str">
        <f t="shared" ca="1" si="303"/>
        <v>08.04.</v>
      </c>
      <c r="E1014" s="107">
        <f t="shared" si="290"/>
        <v>0</v>
      </c>
      <c r="F1014" s="108">
        <f ca="1">OFFSET('Tabla III.3.'!$H$37,H1014-1,I1014-1)</f>
        <v>0</v>
      </c>
      <c r="G1014" s="107" t="str">
        <f ca="1">OFFSET('Tabla III.3.'!$H$1,0,I1014-1)</f>
        <v>08</v>
      </c>
      <c r="H1014" s="110">
        <f t="shared" si="304"/>
        <v>17</v>
      </c>
      <c r="I1014" s="110">
        <f t="shared" si="305"/>
        <v>8</v>
      </c>
      <c r="J1014" s="110" t="str">
        <f ca="1">+'Tabla III.3.'!$C$9</f>
        <v>Tabla III.3.</v>
      </c>
      <c r="K1014" s="110" t="str">
        <f t="shared" si="301"/>
        <v>B</v>
      </c>
      <c r="L1014" s="107"/>
    </row>
    <row r="1015" spans="1:12" s="103" customFormat="1">
      <c r="A1015" s="107" t="s">
        <v>2944</v>
      </c>
      <c r="B1015" s="107" t="str">
        <f t="shared" si="289"/>
        <v>202503</v>
      </c>
      <c r="C1015" s="107" t="str">
        <f t="shared" ca="1" si="302"/>
        <v>v1</v>
      </c>
      <c r="D1015" s="399" t="str">
        <f t="shared" ca="1" si="303"/>
        <v>08.04.</v>
      </c>
      <c r="E1015" s="107">
        <f t="shared" si="290"/>
        <v>0</v>
      </c>
      <c r="F1015" s="108">
        <f ca="1">OFFSET('Tabla III.3.'!$H$37,H1015-1,I1015-1)</f>
        <v>0</v>
      </c>
      <c r="G1015" s="107" t="str">
        <f ca="1">OFFSET('Tabla III.3.'!$H$1,0,I1015-1)</f>
        <v>09</v>
      </c>
      <c r="H1015" s="110">
        <f t="shared" si="304"/>
        <v>17</v>
      </c>
      <c r="I1015" s="110">
        <f t="shared" si="305"/>
        <v>9</v>
      </c>
      <c r="J1015" s="110" t="str">
        <f ca="1">+'Tabla III.3.'!$C$9</f>
        <v>Tabla III.3.</v>
      </c>
      <c r="K1015" s="110" t="str">
        <f t="shared" si="301"/>
        <v>B</v>
      </c>
      <c r="L1015" s="107"/>
    </row>
    <row r="1016" spans="1:12" s="103" customFormat="1">
      <c r="A1016" s="107" t="s">
        <v>2944</v>
      </c>
      <c r="B1016" s="107" t="str">
        <f t="shared" si="289"/>
        <v>202503</v>
      </c>
      <c r="C1016" s="107" t="str">
        <f t="shared" ca="1" si="302"/>
        <v>v1</v>
      </c>
      <c r="D1016" s="399" t="str">
        <f t="shared" ca="1" si="303"/>
        <v>08.04.</v>
      </c>
      <c r="E1016" s="107">
        <f t="shared" si="290"/>
        <v>0</v>
      </c>
      <c r="F1016" s="108">
        <f ca="1">OFFSET('Tabla III.3.'!$H$37,H1016-1,I1016-1)</f>
        <v>0</v>
      </c>
      <c r="G1016" s="107" t="str">
        <f ca="1">OFFSET('Tabla III.3.'!$H$1,0,I1016-1)</f>
        <v>10</v>
      </c>
      <c r="H1016" s="110">
        <f t="shared" si="304"/>
        <v>17</v>
      </c>
      <c r="I1016" s="110">
        <f t="shared" si="305"/>
        <v>10</v>
      </c>
      <c r="J1016" s="110" t="str">
        <f ca="1">+'Tabla III.3.'!$C$9</f>
        <v>Tabla III.3.</v>
      </c>
      <c r="K1016" s="110" t="str">
        <f t="shared" si="301"/>
        <v>B</v>
      </c>
      <c r="L1016" s="107"/>
    </row>
    <row r="1017" spans="1:12" s="103" customFormat="1">
      <c r="A1017" s="107" t="s">
        <v>2944</v>
      </c>
      <c r="B1017" s="107" t="str">
        <f t="shared" si="289"/>
        <v>202503</v>
      </c>
      <c r="C1017" s="107" t="str">
        <f t="shared" ca="1" si="302"/>
        <v>v1</v>
      </c>
      <c r="D1017" s="399" t="str">
        <f t="shared" ca="1" si="303"/>
        <v>08.04.</v>
      </c>
      <c r="E1017" s="107">
        <f t="shared" si="290"/>
        <v>0</v>
      </c>
      <c r="F1017" s="108">
        <f ca="1">OFFSET('Tabla III.3.'!$H$37,H1017-1,I1017-1)</f>
        <v>0</v>
      </c>
      <c r="G1017" s="107" t="str">
        <f ca="1">OFFSET('Tabla III.3.'!$H$1,0,I1017-1)</f>
        <v>11</v>
      </c>
      <c r="H1017" s="110">
        <f t="shared" si="304"/>
        <v>17</v>
      </c>
      <c r="I1017" s="110">
        <f t="shared" si="305"/>
        <v>11</v>
      </c>
      <c r="J1017" s="110" t="str">
        <f ca="1">+'Tabla III.3.'!$C$9</f>
        <v>Tabla III.3.</v>
      </c>
      <c r="K1017" s="110" t="str">
        <f t="shared" si="301"/>
        <v>B</v>
      </c>
      <c r="L1017" s="107"/>
    </row>
    <row r="1018" spans="1:12" s="103" customFormat="1">
      <c r="A1018" s="107" t="s">
        <v>2944</v>
      </c>
      <c r="B1018" s="107" t="str">
        <f t="shared" si="289"/>
        <v>202503</v>
      </c>
      <c r="C1018" s="107" t="str">
        <f t="shared" ca="1" si="302"/>
        <v>v1</v>
      </c>
      <c r="D1018" s="399" t="str">
        <f t="shared" ca="1" si="303"/>
        <v>08.04.</v>
      </c>
      <c r="E1018" s="107">
        <f t="shared" si="290"/>
        <v>0</v>
      </c>
      <c r="F1018" s="108">
        <f ca="1">OFFSET('Tabla III.3.'!$H$37,H1018-1,I1018-1)</f>
        <v>0</v>
      </c>
      <c r="G1018" s="107" t="str">
        <f ca="1">OFFSET('Tabla III.3.'!$H$1,0,I1018-1)</f>
        <v>12</v>
      </c>
      <c r="H1018" s="110">
        <f t="shared" si="304"/>
        <v>17</v>
      </c>
      <c r="I1018" s="110">
        <f t="shared" si="305"/>
        <v>12</v>
      </c>
      <c r="J1018" s="110" t="str">
        <f ca="1">+'Tabla III.3.'!$C$9</f>
        <v>Tabla III.3.</v>
      </c>
      <c r="K1018" s="110" t="str">
        <f t="shared" si="301"/>
        <v>B</v>
      </c>
      <c r="L1018" s="107"/>
    </row>
    <row r="1019" spans="1:12" s="103" customFormat="1">
      <c r="A1019" s="412" t="s">
        <v>2944</v>
      </c>
      <c r="B1019" s="412" t="str">
        <f t="shared" si="289"/>
        <v>202503</v>
      </c>
      <c r="C1019" s="412" t="s">
        <v>2945</v>
      </c>
      <c r="D1019" s="413" t="str">
        <f ca="1">OFFSET('Tabla III.3.'!$F$37,H1019-1,0)</f>
        <v>08.99.</v>
      </c>
      <c r="E1019" s="412">
        <f t="shared" si="290"/>
        <v>0</v>
      </c>
      <c r="F1019" s="414">
        <f ca="1">OFFSET('Tabla III.3.'!$H$37,H1019-1,I1019-1)</f>
        <v>0</v>
      </c>
      <c r="G1019" s="412" t="str">
        <f ca="1">OFFSET('Tabla III.3.'!$H$1,0,I1019-1)</f>
        <v>01</v>
      </c>
      <c r="H1019" s="111">
        <f>+H1007+1</f>
        <v>18</v>
      </c>
      <c r="I1019" s="111">
        <v>1</v>
      </c>
      <c r="J1019" s="111" t="str">
        <f ca="1">+'Tabla III.3.'!$C$9</f>
        <v>Tabla III.3.</v>
      </c>
      <c r="K1019" s="111" t="s">
        <v>2267</v>
      </c>
      <c r="L1019" s="412">
        <f>+L1007+1</f>
        <v>18</v>
      </c>
    </row>
    <row r="1020" spans="1:12" s="103" customFormat="1">
      <c r="A1020" s="412" t="s">
        <v>2944</v>
      </c>
      <c r="B1020" s="412" t="str">
        <f t="shared" si="289"/>
        <v>202503</v>
      </c>
      <c r="C1020" s="412" t="str">
        <f ca="1">IF(G1020="01","v2","v1")</f>
        <v>v1</v>
      </c>
      <c r="D1020" s="413" t="str">
        <f ca="1">+D1019</f>
        <v>08.99.</v>
      </c>
      <c r="E1020" s="412">
        <f t="shared" si="290"/>
        <v>0</v>
      </c>
      <c r="F1020" s="414">
        <f ca="1">OFFSET('Tabla III.3.'!$H$37,H1020-1,I1020-1)</f>
        <v>0</v>
      </c>
      <c r="G1020" s="412" t="str">
        <f ca="1">OFFSET('Tabla III.3.'!$H$1,0,I1020-1)</f>
        <v>02</v>
      </c>
      <c r="H1020" s="111">
        <f>+H1019</f>
        <v>18</v>
      </c>
      <c r="I1020" s="111">
        <f>+I1019+1</f>
        <v>2</v>
      </c>
      <c r="J1020" s="111" t="str">
        <f ca="1">+'Tabla III.3.'!$C$9</f>
        <v>Tabla III.3.</v>
      </c>
      <c r="K1020" s="111" t="str">
        <f t="shared" ref="K1020:K1030" si="306">+K1019</f>
        <v>B</v>
      </c>
      <c r="L1020" s="412"/>
    </row>
    <row r="1021" spans="1:12" s="103" customFormat="1">
      <c r="A1021" s="412" t="s">
        <v>2944</v>
      </c>
      <c r="B1021" s="412" t="str">
        <f t="shared" si="289"/>
        <v>202503</v>
      </c>
      <c r="C1021" s="412" t="str">
        <f t="shared" ref="C1021:C1030" ca="1" si="307">IF(G1021="01","v2","v1")</f>
        <v>v1</v>
      </c>
      <c r="D1021" s="413" t="str">
        <f t="shared" ref="D1021:D1030" ca="1" si="308">+D1020</f>
        <v>08.99.</v>
      </c>
      <c r="E1021" s="412">
        <f t="shared" si="290"/>
        <v>0</v>
      </c>
      <c r="F1021" s="414">
        <f ca="1">OFFSET('Tabla III.3.'!$H$37,H1021-1,I1021-1)</f>
        <v>0</v>
      </c>
      <c r="G1021" s="412" t="str">
        <f ca="1">OFFSET('Tabla III.3.'!$H$1,0,I1021-1)</f>
        <v>03</v>
      </c>
      <c r="H1021" s="111">
        <f t="shared" ref="H1021:H1030" si="309">+H1020</f>
        <v>18</v>
      </c>
      <c r="I1021" s="111">
        <f t="shared" ref="I1021:I1030" si="310">+I1020+1</f>
        <v>3</v>
      </c>
      <c r="J1021" s="111" t="str">
        <f ca="1">+'Tabla III.3.'!$C$9</f>
        <v>Tabla III.3.</v>
      </c>
      <c r="K1021" s="111" t="str">
        <f t="shared" si="306"/>
        <v>B</v>
      </c>
      <c r="L1021" s="412"/>
    </row>
    <row r="1022" spans="1:12" s="103" customFormat="1">
      <c r="A1022" s="412" t="s">
        <v>2944</v>
      </c>
      <c r="B1022" s="412" t="str">
        <f t="shared" si="289"/>
        <v>202503</v>
      </c>
      <c r="C1022" s="412" t="str">
        <f t="shared" ca="1" si="307"/>
        <v>v1</v>
      </c>
      <c r="D1022" s="413" t="str">
        <f t="shared" ca="1" si="308"/>
        <v>08.99.</v>
      </c>
      <c r="E1022" s="412">
        <f t="shared" si="290"/>
        <v>0</v>
      </c>
      <c r="F1022" s="414">
        <f ca="1">OFFSET('Tabla III.3.'!$H$37,H1022-1,I1022-1)</f>
        <v>0</v>
      </c>
      <c r="G1022" s="412" t="str">
        <f ca="1">OFFSET('Tabla III.3.'!$H$1,0,I1022-1)</f>
        <v>04</v>
      </c>
      <c r="H1022" s="111">
        <f t="shared" si="309"/>
        <v>18</v>
      </c>
      <c r="I1022" s="111">
        <f t="shared" si="310"/>
        <v>4</v>
      </c>
      <c r="J1022" s="111" t="str">
        <f ca="1">+'Tabla III.3.'!$C$9</f>
        <v>Tabla III.3.</v>
      </c>
      <c r="K1022" s="111" t="str">
        <f t="shared" si="306"/>
        <v>B</v>
      </c>
      <c r="L1022" s="412"/>
    </row>
    <row r="1023" spans="1:12" s="103" customFormat="1">
      <c r="A1023" s="412" t="s">
        <v>2944</v>
      </c>
      <c r="B1023" s="412" t="str">
        <f t="shared" si="289"/>
        <v>202503</v>
      </c>
      <c r="C1023" s="412" t="str">
        <f t="shared" ca="1" si="307"/>
        <v>v1</v>
      </c>
      <c r="D1023" s="413" t="str">
        <f t="shared" ca="1" si="308"/>
        <v>08.99.</v>
      </c>
      <c r="E1023" s="412">
        <f t="shared" si="290"/>
        <v>0</v>
      </c>
      <c r="F1023" s="414">
        <f ca="1">OFFSET('Tabla III.3.'!$H$37,H1023-1,I1023-1)</f>
        <v>0</v>
      </c>
      <c r="G1023" s="412" t="str">
        <f ca="1">OFFSET('Tabla III.3.'!$H$1,0,I1023-1)</f>
        <v>05</v>
      </c>
      <c r="H1023" s="111">
        <f t="shared" si="309"/>
        <v>18</v>
      </c>
      <c r="I1023" s="111">
        <f t="shared" si="310"/>
        <v>5</v>
      </c>
      <c r="J1023" s="111" t="str">
        <f ca="1">+'Tabla III.3.'!$C$9</f>
        <v>Tabla III.3.</v>
      </c>
      <c r="K1023" s="111" t="str">
        <f t="shared" si="306"/>
        <v>B</v>
      </c>
      <c r="L1023" s="412"/>
    </row>
    <row r="1024" spans="1:12" s="103" customFormat="1">
      <c r="A1024" s="412" t="s">
        <v>2944</v>
      </c>
      <c r="B1024" s="412" t="str">
        <f t="shared" si="289"/>
        <v>202503</v>
      </c>
      <c r="C1024" s="412" t="str">
        <f t="shared" ca="1" si="307"/>
        <v>v1</v>
      </c>
      <c r="D1024" s="413" t="str">
        <f t="shared" ca="1" si="308"/>
        <v>08.99.</v>
      </c>
      <c r="E1024" s="412">
        <f t="shared" si="290"/>
        <v>0</v>
      </c>
      <c r="F1024" s="414">
        <f ca="1">OFFSET('Tabla III.3.'!$H$37,H1024-1,I1024-1)</f>
        <v>0</v>
      </c>
      <c r="G1024" s="412" t="str">
        <f ca="1">OFFSET('Tabla III.3.'!$H$1,0,I1024-1)</f>
        <v>06</v>
      </c>
      <c r="H1024" s="111">
        <f t="shared" si="309"/>
        <v>18</v>
      </c>
      <c r="I1024" s="111">
        <f t="shared" si="310"/>
        <v>6</v>
      </c>
      <c r="J1024" s="111" t="str">
        <f ca="1">+'Tabla III.3.'!$C$9</f>
        <v>Tabla III.3.</v>
      </c>
      <c r="K1024" s="111" t="str">
        <f t="shared" si="306"/>
        <v>B</v>
      </c>
      <c r="L1024" s="412"/>
    </row>
    <row r="1025" spans="1:13" s="103" customFormat="1">
      <c r="A1025" s="412" t="s">
        <v>2944</v>
      </c>
      <c r="B1025" s="412" t="str">
        <f t="shared" si="289"/>
        <v>202503</v>
      </c>
      <c r="C1025" s="412" t="str">
        <f t="shared" ca="1" si="307"/>
        <v>v1</v>
      </c>
      <c r="D1025" s="413" t="str">
        <f t="shared" ca="1" si="308"/>
        <v>08.99.</v>
      </c>
      <c r="E1025" s="412">
        <f t="shared" si="290"/>
        <v>0</v>
      </c>
      <c r="F1025" s="414">
        <f ca="1">OFFSET('Tabla III.3.'!$H$37,H1025-1,I1025-1)</f>
        <v>0</v>
      </c>
      <c r="G1025" s="412" t="str">
        <f ca="1">OFFSET('Tabla III.3.'!$H$1,0,I1025-1)</f>
        <v>07</v>
      </c>
      <c r="H1025" s="111">
        <f t="shared" si="309"/>
        <v>18</v>
      </c>
      <c r="I1025" s="111">
        <f t="shared" si="310"/>
        <v>7</v>
      </c>
      <c r="J1025" s="111" t="str">
        <f ca="1">+'Tabla III.3.'!$C$9</f>
        <v>Tabla III.3.</v>
      </c>
      <c r="K1025" s="111" t="str">
        <f t="shared" si="306"/>
        <v>B</v>
      </c>
      <c r="L1025" s="412"/>
    </row>
    <row r="1026" spans="1:13" s="103" customFormat="1">
      <c r="A1026" s="412" t="s">
        <v>2944</v>
      </c>
      <c r="B1026" s="412" t="str">
        <f t="shared" si="289"/>
        <v>202503</v>
      </c>
      <c r="C1026" s="412" t="str">
        <f t="shared" ca="1" si="307"/>
        <v>v1</v>
      </c>
      <c r="D1026" s="413" t="str">
        <f t="shared" ca="1" si="308"/>
        <v>08.99.</v>
      </c>
      <c r="E1026" s="412">
        <f t="shared" si="290"/>
        <v>0</v>
      </c>
      <c r="F1026" s="414">
        <f ca="1">OFFSET('Tabla III.3.'!$H$37,H1026-1,I1026-1)</f>
        <v>0</v>
      </c>
      <c r="G1026" s="412" t="str">
        <f ca="1">OFFSET('Tabla III.3.'!$H$1,0,I1026-1)</f>
        <v>08</v>
      </c>
      <c r="H1026" s="111">
        <f t="shared" si="309"/>
        <v>18</v>
      </c>
      <c r="I1026" s="111">
        <f t="shared" si="310"/>
        <v>8</v>
      </c>
      <c r="J1026" s="111" t="str">
        <f ca="1">+'Tabla III.3.'!$C$9</f>
        <v>Tabla III.3.</v>
      </c>
      <c r="K1026" s="111" t="str">
        <f t="shared" si="306"/>
        <v>B</v>
      </c>
      <c r="L1026" s="412"/>
    </row>
    <row r="1027" spans="1:13" s="103" customFormat="1">
      <c r="A1027" s="412" t="s">
        <v>2944</v>
      </c>
      <c r="B1027" s="412" t="str">
        <f t="shared" si="289"/>
        <v>202503</v>
      </c>
      <c r="C1027" s="412" t="str">
        <f t="shared" ca="1" si="307"/>
        <v>v1</v>
      </c>
      <c r="D1027" s="413" t="str">
        <f t="shared" ca="1" si="308"/>
        <v>08.99.</v>
      </c>
      <c r="E1027" s="412">
        <f t="shared" si="290"/>
        <v>0</v>
      </c>
      <c r="F1027" s="414">
        <f ca="1">OFFSET('Tabla III.3.'!$H$37,H1027-1,I1027-1)</f>
        <v>0</v>
      </c>
      <c r="G1027" s="412" t="str">
        <f ca="1">OFFSET('Tabla III.3.'!$H$1,0,I1027-1)</f>
        <v>09</v>
      </c>
      <c r="H1027" s="111">
        <f t="shared" si="309"/>
        <v>18</v>
      </c>
      <c r="I1027" s="111">
        <f t="shared" si="310"/>
        <v>9</v>
      </c>
      <c r="J1027" s="111" t="str">
        <f ca="1">+'Tabla III.3.'!$C$9</f>
        <v>Tabla III.3.</v>
      </c>
      <c r="K1027" s="111" t="str">
        <f t="shared" si="306"/>
        <v>B</v>
      </c>
      <c r="L1027" s="412"/>
    </row>
    <row r="1028" spans="1:13" s="103" customFormat="1">
      <c r="A1028" s="412" t="s">
        <v>2944</v>
      </c>
      <c r="B1028" s="412" t="str">
        <f t="shared" si="289"/>
        <v>202503</v>
      </c>
      <c r="C1028" s="412" t="str">
        <f t="shared" ca="1" si="307"/>
        <v>v1</v>
      </c>
      <c r="D1028" s="413" t="str">
        <f t="shared" ca="1" si="308"/>
        <v>08.99.</v>
      </c>
      <c r="E1028" s="412">
        <f t="shared" si="290"/>
        <v>0</v>
      </c>
      <c r="F1028" s="414">
        <f ca="1">OFFSET('Tabla III.3.'!$H$37,H1028-1,I1028-1)</f>
        <v>0</v>
      </c>
      <c r="G1028" s="412" t="str">
        <f ca="1">OFFSET('Tabla III.3.'!$H$1,0,I1028-1)</f>
        <v>10</v>
      </c>
      <c r="H1028" s="111">
        <f t="shared" si="309"/>
        <v>18</v>
      </c>
      <c r="I1028" s="111">
        <f t="shared" si="310"/>
        <v>10</v>
      </c>
      <c r="J1028" s="111" t="str">
        <f ca="1">+'Tabla III.3.'!$C$9</f>
        <v>Tabla III.3.</v>
      </c>
      <c r="K1028" s="111" t="str">
        <f t="shared" si="306"/>
        <v>B</v>
      </c>
      <c r="L1028" s="412"/>
    </row>
    <row r="1029" spans="1:13" s="103" customFormat="1">
      <c r="A1029" s="412" t="s">
        <v>2944</v>
      </c>
      <c r="B1029" s="412" t="str">
        <f t="shared" si="289"/>
        <v>202503</v>
      </c>
      <c r="C1029" s="412" t="str">
        <f t="shared" ca="1" si="307"/>
        <v>v1</v>
      </c>
      <c r="D1029" s="413" t="str">
        <f t="shared" ca="1" si="308"/>
        <v>08.99.</v>
      </c>
      <c r="E1029" s="412">
        <f t="shared" si="290"/>
        <v>0</v>
      </c>
      <c r="F1029" s="414">
        <f ca="1">OFFSET('Tabla III.3.'!$H$37,H1029-1,I1029-1)</f>
        <v>0</v>
      </c>
      <c r="G1029" s="412" t="str">
        <f ca="1">OFFSET('Tabla III.3.'!$H$1,0,I1029-1)</f>
        <v>11</v>
      </c>
      <c r="H1029" s="111">
        <f t="shared" si="309"/>
        <v>18</v>
      </c>
      <c r="I1029" s="111">
        <f t="shared" si="310"/>
        <v>11</v>
      </c>
      <c r="J1029" s="111" t="str">
        <f ca="1">+'Tabla III.3.'!$C$9</f>
        <v>Tabla III.3.</v>
      </c>
      <c r="K1029" s="111" t="str">
        <f t="shared" si="306"/>
        <v>B</v>
      </c>
      <c r="L1029" s="412"/>
    </row>
    <row r="1030" spans="1:13" s="103" customFormat="1">
      <c r="A1030" s="412" t="s">
        <v>2944</v>
      </c>
      <c r="B1030" s="412" t="str">
        <f t="shared" si="289"/>
        <v>202503</v>
      </c>
      <c r="C1030" s="412" t="str">
        <f t="shared" ca="1" si="307"/>
        <v>v1</v>
      </c>
      <c r="D1030" s="413" t="str">
        <f t="shared" ca="1" si="308"/>
        <v>08.99.</v>
      </c>
      <c r="E1030" s="412">
        <f t="shared" si="290"/>
        <v>0</v>
      </c>
      <c r="F1030" s="414">
        <f ca="1">OFFSET('Tabla III.3.'!$H$37,H1030-1,I1030-1)</f>
        <v>0</v>
      </c>
      <c r="G1030" s="412" t="str">
        <f ca="1">OFFSET('Tabla III.3.'!$H$1,0,I1030-1)</f>
        <v>12</v>
      </c>
      <c r="H1030" s="111">
        <f t="shared" si="309"/>
        <v>18</v>
      </c>
      <c r="I1030" s="111">
        <f t="shared" si="310"/>
        <v>12</v>
      </c>
      <c r="J1030" s="111" t="str">
        <f ca="1">+'Tabla III.3.'!$C$9</f>
        <v>Tabla III.3.</v>
      </c>
      <c r="K1030" s="111" t="str">
        <f t="shared" si="306"/>
        <v>B</v>
      </c>
      <c r="L1030" s="412"/>
    </row>
    <row r="1031" spans="1:13" s="1157" customFormat="1">
      <c r="A1031" s="475" t="s">
        <v>2944</v>
      </c>
      <c r="B1031" s="475" t="str">
        <f t="shared" si="289"/>
        <v>202503</v>
      </c>
      <c r="C1031" s="475" t="s">
        <v>2945</v>
      </c>
      <c r="D1031" s="476" t="str">
        <f ca="1">OFFSET('Tabla III.4.'!$F$12,H1031-1,0)</f>
        <v>09.01.</v>
      </c>
      <c r="E1031" s="475">
        <f t="shared" ref="E1031:E1071" si="311">RUC</f>
        <v>0</v>
      </c>
      <c r="F1031" s="477">
        <f ca="1">OFFSET('Tabla III.4.'!$H$12,H1031-1,I1031-1)</f>
        <v>0</v>
      </c>
      <c r="G1031" s="475" t="str">
        <f ca="1">OFFSET('Tabla III.4.'!$H$1,0,I1031-1)</f>
        <v>01</v>
      </c>
      <c r="H1031" s="478">
        <v>1</v>
      </c>
      <c r="I1031" s="478">
        <v>1</v>
      </c>
      <c r="J1031" s="478" t="str">
        <f ca="1">+'Tabla III.4.'!$C$9</f>
        <v>Tabla III.4.</v>
      </c>
      <c r="K1031" s="478" t="s">
        <v>2266</v>
      </c>
      <c r="L1031" s="475">
        <v>1</v>
      </c>
      <c r="M1031" s="1156"/>
    </row>
    <row r="1032" spans="1:13" s="1157" customFormat="1">
      <c r="A1032" s="475" t="s">
        <v>2944</v>
      </c>
      <c r="B1032" s="475" t="str">
        <f t="shared" si="289"/>
        <v>202503</v>
      </c>
      <c r="C1032" s="475" t="str">
        <f ca="1">IF(G1032="01","v2","v1")</f>
        <v>v1</v>
      </c>
      <c r="D1032" s="476" t="str">
        <f ca="1">+D1031</f>
        <v>09.01.</v>
      </c>
      <c r="E1032" s="475">
        <f t="shared" si="311"/>
        <v>0</v>
      </c>
      <c r="F1032" s="477">
        <f ca="1">OFFSET('Tabla III.4.'!$H$12,H1032-1,I1032-1)</f>
        <v>0</v>
      </c>
      <c r="G1032" s="475" t="str">
        <f ca="1">OFFSET('Tabla III.4.'!$H$1,0,I1032-1)</f>
        <v>02</v>
      </c>
      <c r="H1032" s="478">
        <f>+H1031</f>
        <v>1</v>
      </c>
      <c r="I1032" s="478">
        <f>+I1031+1</f>
        <v>2</v>
      </c>
      <c r="J1032" s="478" t="str">
        <f ca="1">+'Tabla III.4.'!$C$9</f>
        <v>Tabla III.4.</v>
      </c>
      <c r="K1032" s="478" t="str">
        <f t="shared" ref="K1032:K1042" si="312">+K1031</f>
        <v>A</v>
      </c>
      <c r="L1032" s="475"/>
      <c r="M1032" s="1156"/>
    </row>
    <row r="1033" spans="1:13" s="1157" customFormat="1">
      <c r="A1033" s="475" t="s">
        <v>2944</v>
      </c>
      <c r="B1033" s="475" t="str">
        <f t="shared" si="289"/>
        <v>202503</v>
      </c>
      <c r="C1033" s="475" t="str">
        <f t="shared" ref="C1033:C1042" ca="1" si="313">IF(G1033="01","v2","v1")</f>
        <v>v1</v>
      </c>
      <c r="D1033" s="476" t="str">
        <f t="shared" ref="D1033:D1042" ca="1" si="314">+D1032</f>
        <v>09.01.</v>
      </c>
      <c r="E1033" s="475">
        <f t="shared" si="311"/>
        <v>0</v>
      </c>
      <c r="F1033" s="477">
        <f ca="1">OFFSET('Tabla III.4.'!$H$12,H1033-1,I1033-1)</f>
        <v>0</v>
      </c>
      <c r="G1033" s="475" t="str">
        <f ca="1">OFFSET('Tabla III.4.'!$H$1,0,I1033-1)</f>
        <v>03</v>
      </c>
      <c r="H1033" s="478">
        <f t="shared" ref="H1033:H1042" si="315">+H1032</f>
        <v>1</v>
      </c>
      <c r="I1033" s="478">
        <f t="shared" ref="I1033:I1042" si="316">+I1032+1</f>
        <v>3</v>
      </c>
      <c r="J1033" s="478" t="str">
        <f ca="1">+'Tabla III.4.'!$C$9</f>
        <v>Tabla III.4.</v>
      </c>
      <c r="K1033" s="478" t="str">
        <f t="shared" si="312"/>
        <v>A</v>
      </c>
      <c r="L1033" s="475"/>
      <c r="M1033" s="1156"/>
    </row>
    <row r="1034" spans="1:13" s="1157" customFormat="1">
      <c r="A1034" s="475" t="s">
        <v>2944</v>
      </c>
      <c r="B1034" s="475" t="str">
        <f t="shared" si="289"/>
        <v>202503</v>
      </c>
      <c r="C1034" s="475" t="str">
        <f t="shared" ca="1" si="313"/>
        <v>v1</v>
      </c>
      <c r="D1034" s="476" t="str">
        <f t="shared" ca="1" si="314"/>
        <v>09.01.</v>
      </c>
      <c r="E1034" s="475">
        <f t="shared" si="311"/>
        <v>0</v>
      </c>
      <c r="F1034" s="477">
        <f ca="1">OFFSET('Tabla III.4.'!$H$12,H1034-1,I1034-1)</f>
        <v>0</v>
      </c>
      <c r="G1034" s="475" t="str">
        <f ca="1">OFFSET('Tabla III.4.'!$H$1,0,I1034-1)</f>
        <v>04</v>
      </c>
      <c r="H1034" s="478">
        <f t="shared" si="315"/>
        <v>1</v>
      </c>
      <c r="I1034" s="478">
        <f t="shared" si="316"/>
        <v>4</v>
      </c>
      <c r="J1034" s="478" t="str">
        <f ca="1">+'Tabla III.4.'!$C$9</f>
        <v>Tabla III.4.</v>
      </c>
      <c r="K1034" s="478" t="str">
        <f t="shared" si="312"/>
        <v>A</v>
      </c>
      <c r="L1034" s="475"/>
      <c r="M1034" s="1156"/>
    </row>
    <row r="1035" spans="1:13" s="1157" customFormat="1">
      <c r="A1035" s="475" t="s">
        <v>2944</v>
      </c>
      <c r="B1035" s="475" t="str">
        <f t="shared" si="289"/>
        <v>202503</v>
      </c>
      <c r="C1035" s="475" t="str">
        <f t="shared" ca="1" si="313"/>
        <v>v1</v>
      </c>
      <c r="D1035" s="476" t="str">
        <f t="shared" ca="1" si="314"/>
        <v>09.01.</v>
      </c>
      <c r="E1035" s="475">
        <f t="shared" si="311"/>
        <v>0</v>
      </c>
      <c r="F1035" s="477">
        <f ca="1">OFFSET('Tabla III.4.'!$H$12,H1035-1,I1035-1)</f>
        <v>0</v>
      </c>
      <c r="G1035" s="475" t="str">
        <f ca="1">OFFSET('Tabla III.4.'!$H$1,0,I1035-1)</f>
        <v>05</v>
      </c>
      <c r="H1035" s="478">
        <f t="shared" si="315"/>
        <v>1</v>
      </c>
      <c r="I1035" s="478">
        <f t="shared" si="316"/>
        <v>5</v>
      </c>
      <c r="J1035" s="478" t="str">
        <f ca="1">+'Tabla III.4.'!$C$9</f>
        <v>Tabla III.4.</v>
      </c>
      <c r="K1035" s="478" t="str">
        <f t="shared" si="312"/>
        <v>A</v>
      </c>
      <c r="L1035" s="475"/>
      <c r="M1035" s="1156"/>
    </row>
    <row r="1036" spans="1:13" s="1157" customFormat="1">
      <c r="A1036" s="475" t="s">
        <v>2944</v>
      </c>
      <c r="B1036" s="475" t="str">
        <f t="shared" si="289"/>
        <v>202503</v>
      </c>
      <c r="C1036" s="475" t="str">
        <f t="shared" ca="1" si="313"/>
        <v>v1</v>
      </c>
      <c r="D1036" s="476" t="str">
        <f t="shared" ca="1" si="314"/>
        <v>09.01.</v>
      </c>
      <c r="E1036" s="475">
        <f t="shared" si="311"/>
        <v>0</v>
      </c>
      <c r="F1036" s="477">
        <f ca="1">OFFSET('Tabla III.4.'!$H$12,H1036-1,I1036-1)</f>
        <v>0</v>
      </c>
      <c r="G1036" s="475" t="str">
        <f ca="1">OFFSET('Tabla III.4.'!$H$1,0,I1036-1)</f>
        <v>06</v>
      </c>
      <c r="H1036" s="478">
        <f t="shared" si="315"/>
        <v>1</v>
      </c>
      <c r="I1036" s="478">
        <f t="shared" si="316"/>
        <v>6</v>
      </c>
      <c r="J1036" s="478" t="str">
        <f ca="1">+'Tabla III.4.'!$C$9</f>
        <v>Tabla III.4.</v>
      </c>
      <c r="K1036" s="478" t="str">
        <f t="shared" si="312"/>
        <v>A</v>
      </c>
      <c r="L1036" s="475"/>
      <c r="M1036" s="1156"/>
    </row>
    <row r="1037" spans="1:13" s="1157" customFormat="1">
      <c r="A1037" s="475" t="s">
        <v>2944</v>
      </c>
      <c r="B1037" s="475" t="str">
        <f t="shared" si="289"/>
        <v>202503</v>
      </c>
      <c r="C1037" s="475" t="str">
        <f t="shared" ca="1" si="313"/>
        <v>v1</v>
      </c>
      <c r="D1037" s="476" t="str">
        <f t="shared" ca="1" si="314"/>
        <v>09.01.</v>
      </c>
      <c r="E1037" s="475">
        <f t="shared" si="311"/>
        <v>0</v>
      </c>
      <c r="F1037" s="477">
        <f ca="1">OFFSET('Tabla III.4.'!$H$12,H1037-1,I1037-1)</f>
        <v>0</v>
      </c>
      <c r="G1037" s="475" t="str">
        <f ca="1">OFFSET('Tabla III.4.'!$H$1,0,I1037-1)</f>
        <v>07</v>
      </c>
      <c r="H1037" s="478">
        <f t="shared" si="315"/>
        <v>1</v>
      </c>
      <c r="I1037" s="478">
        <f t="shared" si="316"/>
        <v>7</v>
      </c>
      <c r="J1037" s="478" t="str">
        <f ca="1">+'Tabla III.4.'!$C$9</f>
        <v>Tabla III.4.</v>
      </c>
      <c r="K1037" s="478" t="str">
        <f t="shared" si="312"/>
        <v>A</v>
      </c>
      <c r="L1037" s="475"/>
      <c r="M1037" s="1156"/>
    </row>
    <row r="1038" spans="1:13" s="1157" customFormat="1">
      <c r="A1038" s="475" t="s">
        <v>2944</v>
      </c>
      <c r="B1038" s="475" t="str">
        <f t="shared" si="289"/>
        <v>202503</v>
      </c>
      <c r="C1038" s="475" t="str">
        <f t="shared" ca="1" si="313"/>
        <v>v1</v>
      </c>
      <c r="D1038" s="476" t="str">
        <f t="shared" ca="1" si="314"/>
        <v>09.01.</v>
      </c>
      <c r="E1038" s="475">
        <f t="shared" si="311"/>
        <v>0</v>
      </c>
      <c r="F1038" s="477">
        <f ca="1">OFFSET('Tabla III.4.'!$H$12,H1038-1,I1038-1)</f>
        <v>0</v>
      </c>
      <c r="G1038" s="475" t="str">
        <f ca="1">OFFSET('Tabla III.4.'!$H$1,0,I1038-1)</f>
        <v>08</v>
      </c>
      <c r="H1038" s="478">
        <f t="shared" si="315"/>
        <v>1</v>
      </c>
      <c r="I1038" s="478">
        <f t="shared" si="316"/>
        <v>8</v>
      </c>
      <c r="J1038" s="478" t="str">
        <f ca="1">+'Tabla III.4.'!$C$9</f>
        <v>Tabla III.4.</v>
      </c>
      <c r="K1038" s="478" t="str">
        <f t="shared" si="312"/>
        <v>A</v>
      </c>
      <c r="L1038" s="475"/>
      <c r="M1038" s="1156"/>
    </row>
    <row r="1039" spans="1:13" s="1157" customFormat="1">
      <c r="A1039" s="475" t="s">
        <v>2944</v>
      </c>
      <c r="B1039" s="475" t="str">
        <f t="shared" si="289"/>
        <v>202503</v>
      </c>
      <c r="C1039" s="475" t="str">
        <f t="shared" ca="1" si="313"/>
        <v>v1</v>
      </c>
      <c r="D1039" s="476" t="str">
        <f t="shared" ca="1" si="314"/>
        <v>09.01.</v>
      </c>
      <c r="E1039" s="475">
        <f t="shared" si="311"/>
        <v>0</v>
      </c>
      <c r="F1039" s="477">
        <f ca="1">OFFSET('Tabla III.4.'!$H$12,H1039-1,I1039-1)</f>
        <v>0</v>
      </c>
      <c r="G1039" s="475" t="str">
        <f ca="1">OFFSET('Tabla III.4.'!$H$1,0,I1039-1)</f>
        <v>09</v>
      </c>
      <c r="H1039" s="478">
        <f t="shared" si="315"/>
        <v>1</v>
      </c>
      <c r="I1039" s="478">
        <f t="shared" si="316"/>
        <v>9</v>
      </c>
      <c r="J1039" s="478" t="str">
        <f ca="1">+'Tabla III.4.'!$C$9</f>
        <v>Tabla III.4.</v>
      </c>
      <c r="K1039" s="478" t="str">
        <f t="shared" si="312"/>
        <v>A</v>
      </c>
      <c r="L1039" s="475"/>
      <c r="M1039" s="1156"/>
    </row>
    <row r="1040" spans="1:13" s="1157" customFormat="1">
      <c r="A1040" s="475" t="s">
        <v>2944</v>
      </c>
      <c r="B1040" s="475" t="str">
        <f t="shared" si="289"/>
        <v>202503</v>
      </c>
      <c r="C1040" s="475" t="str">
        <f t="shared" ca="1" si="313"/>
        <v>v1</v>
      </c>
      <c r="D1040" s="476" t="str">
        <f t="shared" ca="1" si="314"/>
        <v>09.01.</v>
      </c>
      <c r="E1040" s="475">
        <f t="shared" si="311"/>
        <v>0</v>
      </c>
      <c r="F1040" s="477">
        <f ca="1">OFFSET('Tabla III.4.'!$H$12,H1040-1,I1040-1)</f>
        <v>0</v>
      </c>
      <c r="G1040" s="475" t="str">
        <f ca="1">OFFSET('Tabla III.4.'!$H$1,0,I1040-1)</f>
        <v>10</v>
      </c>
      <c r="H1040" s="478">
        <f t="shared" si="315"/>
        <v>1</v>
      </c>
      <c r="I1040" s="478">
        <f t="shared" si="316"/>
        <v>10</v>
      </c>
      <c r="J1040" s="478" t="str">
        <f ca="1">+'Tabla III.4.'!$C$9</f>
        <v>Tabla III.4.</v>
      </c>
      <c r="K1040" s="478" t="str">
        <f t="shared" si="312"/>
        <v>A</v>
      </c>
      <c r="L1040" s="475"/>
      <c r="M1040" s="1156"/>
    </row>
    <row r="1041" spans="1:13" s="1157" customFormat="1">
      <c r="A1041" s="475" t="s">
        <v>2944</v>
      </c>
      <c r="B1041" s="475" t="str">
        <f t="shared" si="289"/>
        <v>202503</v>
      </c>
      <c r="C1041" s="475" t="str">
        <f t="shared" ca="1" si="313"/>
        <v>v1</v>
      </c>
      <c r="D1041" s="476" t="str">
        <f t="shared" ca="1" si="314"/>
        <v>09.01.</v>
      </c>
      <c r="E1041" s="475">
        <f t="shared" si="311"/>
        <v>0</v>
      </c>
      <c r="F1041" s="477">
        <f ca="1">OFFSET('Tabla III.4.'!$H$12,H1041-1,I1041-1)</f>
        <v>0</v>
      </c>
      <c r="G1041" s="475" t="str">
        <f ca="1">OFFSET('Tabla III.4.'!$H$1,0,I1041-1)</f>
        <v>11</v>
      </c>
      <c r="H1041" s="478">
        <f t="shared" si="315"/>
        <v>1</v>
      </c>
      <c r="I1041" s="478">
        <f t="shared" si="316"/>
        <v>11</v>
      </c>
      <c r="J1041" s="478" t="str">
        <f ca="1">+'Tabla III.4.'!$C$9</f>
        <v>Tabla III.4.</v>
      </c>
      <c r="K1041" s="478" t="str">
        <f t="shared" si="312"/>
        <v>A</v>
      </c>
      <c r="L1041" s="475"/>
      <c r="M1041" s="1156"/>
    </row>
    <row r="1042" spans="1:13" s="1157" customFormat="1">
      <c r="A1042" s="475" t="s">
        <v>2944</v>
      </c>
      <c r="B1042" s="475" t="str">
        <f t="shared" si="289"/>
        <v>202503</v>
      </c>
      <c r="C1042" s="475" t="str">
        <f t="shared" ca="1" si="313"/>
        <v>v1</v>
      </c>
      <c r="D1042" s="476" t="str">
        <f t="shared" ca="1" si="314"/>
        <v>09.01.</v>
      </c>
      <c r="E1042" s="475">
        <f t="shared" si="311"/>
        <v>0</v>
      </c>
      <c r="F1042" s="477">
        <f ca="1">OFFSET('Tabla III.4.'!$H$12,H1042-1,I1042-1)</f>
        <v>0</v>
      </c>
      <c r="G1042" s="475" t="str">
        <f ca="1">OFFSET('Tabla III.4.'!$H$1,0,I1042-1)</f>
        <v>12</v>
      </c>
      <c r="H1042" s="478">
        <f t="shared" si="315"/>
        <v>1</v>
      </c>
      <c r="I1042" s="478">
        <f t="shared" si="316"/>
        <v>12</v>
      </c>
      <c r="J1042" s="478" t="str">
        <f ca="1">+'Tabla III.4.'!$C$9</f>
        <v>Tabla III.4.</v>
      </c>
      <c r="K1042" s="478" t="str">
        <f t="shared" si="312"/>
        <v>A</v>
      </c>
      <c r="L1042" s="475"/>
      <c r="M1042" s="1156"/>
    </row>
    <row r="1043" spans="1:13">
      <c r="A1043" s="107" t="s">
        <v>2944</v>
      </c>
      <c r="B1043" s="107" t="str">
        <f t="shared" ref="B1043:B1106" si="317">PERIODO</f>
        <v>202503</v>
      </c>
      <c r="C1043" s="107" t="s">
        <v>2945</v>
      </c>
      <c r="D1043" s="399" t="str">
        <f ca="1">OFFSET('Tabla III.4.'!$F$12,H1043-1,0)</f>
        <v>09.01.00.01</v>
      </c>
      <c r="E1043" s="107">
        <f t="shared" si="311"/>
        <v>0</v>
      </c>
      <c r="F1043" s="108">
        <f ca="1">OFFSET('Tabla III.4.'!$H$12,H1043-1,I1043-1)</f>
        <v>0</v>
      </c>
      <c r="G1043" s="107" t="str">
        <f ca="1">OFFSET('Tabla III.4.'!$H$1,0,I1043-1)</f>
        <v>01</v>
      </c>
      <c r="H1043" s="110">
        <f>+H1031+1</f>
        <v>2</v>
      </c>
      <c r="I1043" s="110">
        <v>1</v>
      </c>
      <c r="J1043" s="110" t="str">
        <f ca="1">+'Tabla III.4.'!$C$9</f>
        <v>Tabla III.4.</v>
      </c>
      <c r="K1043" s="110" t="s">
        <v>2266</v>
      </c>
      <c r="L1043" s="107">
        <f>+L1031+1</f>
        <v>2</v>
      </c>
      <c r="M1043" s="3"/>
    </row>
    <row r="1044" spans="1:13">
      <c r="A1044" s="107" t="s">
        <v>2944</v>
      </c>
      <c r="B1044" s="107" t="str">
        <f t="shared" si="317"/>
        <v>202503</v>
      </c>
      <c r="C1044" s="107" t="str">
        <f ca="1">IF(G1044="01","v2","v1")</f>
        <v>v1</v>
      </c>
      <c r="D1044" s="399" t="str">
        <f ca="1">+D1043</f>
        <v>09.01.00.01</v>
      </c>
      <c r="E1044" s="107">
        <f t="shared" si="311"/>
        <v>0</v>
      </c>
      <c r="F1044" s="108">
        <f ca="1">OFFSET('Tabla III.4.'!$H$12,H1044-1,I1044-1)</f>
        <v>0</v>
      </c>
      <c r="G1044" s="107" t="str">
        <f ca="1">OFFSET('Tabla III.4.'!$H$1,0,I1044-1)</f>
        <v>02</v>
      </c>
      <c r="H1044" s="110">
        <f>+H1043</f>
        <v>2</v>
      </c>
      <c r="I1044" s="110">
        <f>+I1043+1</f>
        <v>2</v>
      </c>
      <c r="J1044" s="110" t="str">
        <f ca="1">+'Tabla III.4.'!$C$9</f>
        <v>Tabla III.4.</v>
      </c>
      <c r="K1044" s="110" t="str">
        <f t="shared" ref="K1044:K1054" si="318">+K1043</f>
        <v>A</v>
      </c>
      <c r="L1044" s="107"/>
      <c r="M1044" s="3"/>
    </row>
    <row r="1045" spans="1:13">
      <c r="A1045" s="107" t="s">
        <v>2944</v>
      </c>
      <c r="B1045" s="107" t="str">
        <f t="shared" si="317"/>
        <v>202503</v>
      </c>
      <c r="C1045" s="107" t="str">
        <f t="shared" ref="C1045:C1054" ca="1" si="319">IF(G1045="01","v2","v1")</f>
        <v>v1</v>
      </c>
      <c r="D1045" s="399" t="str">
        <f t="shared" ref="D1045:D1054" ca="1" si="320">+D1044</f>
        <v>09.01.00.01</v>
      </c>
      <c r="E1045" s="107">
        <f t="shared" si="311"/>
        <v>0</v>
      </c>
      <c r="F1045" s="108">
        <f ca="1">OFFSET('Tabla III.4.'!$H$12,H1045-1,I1045-1)</f>
        <v>0</v>
      </c>
      <c r="G1045" s="107" t="str">
        <f ca="1">OFFSET('Tabla III.4.'!$H$1,0,I1045-1)</f>
        <v>03</v>
      </c>
      <c r="H1045" s="110">
        <f t="shared" ref="H1045:H1054" si="321">+H1044</f>
        <v>2</v>
      </c>
      <c r="I1045" s="110">
        <f t="shared" ref="I1045:I1054" si="322">+I1044+1</f>
        <v>3</v>
      </c>
      <c r="J1045" s="110" t="str">
        <f ca="1">+'Tabla III.4.'!$C$9</f>
        <v>Tabla III.4.</v>
      </c>
      <c r="K1045" s="110" t="str">
        <f t="shared" si="318"/>
        <v>A</v>
      </c>
      <c r="L1045" s="107"/>
      <c r="M1045" s="3"/>
    </row>
    <row r="1046" spans="1:13">
      <c r="A1046" s="107" t="s">
        <v>2944</v>
      </c>
      <c r="B1046" s="107" t="str">
        <f t="shared" si="317"/>
        <v>202503</v>
      </c>
      <c r="C1046" s="107" t="str">
        <f t="shared" ca="1" si="319"/>
        <v>v1</v>
      </c>
      <c r="D1046" s="399" t="str">
        <f t="shared" ca="1" si="320"/>
        <v>09.01.00.01</v>
      </c>
      <c r="E1046" s="107">
        <f t="shared" si="311"/>
        <v>0</v>
      </c>
      <c r="F1046" s="108">
        <f ca="1">OFFSET('Tabla III.4.'!$H$12,H1046-1,I1046-1)</f>
        <v>0</v>
      </c>
      <c r="G1046" s="107" t="str">
        <f ca="1">OFFSET('Tabla III.4.'!$H$1,0,I1046-1)</f>
        <v>04</v>
      </c>
      <c r="H1046" s="110">
        <f t="shared" si="321"/>
        <v>2</v>
      </c>
      <c r="I1046" s="110">
        <f t="shared" si="322"/>
        <v>4</v>
      </c>
      <c r="J1046" s="110" t="str">
        <f ca="1">+'Tabla III.4.'!$C$9</f>
        <v>Tabla III.4.</v>
      </c>
      <c r="K1046" s="110" t="str">
        <f t="shared" si="318"/>
        <v>A</v>
      </c>
      <c r="L1046" s="107"/>
      <c r="M1046" s="3"/>
    </row>
    <row r="1047" spans="1:13">
      <c r="A1047" s="107" t="s">
        <v>2944</v>
      </c>
      <c r="B1047" s="107" t="str">
        <f t="shared" si="317"/>
        <v>202503</v>
      </c>
      <c r="C1047" s="107" t="str">
        <f t="shared" ca="1" si="319"/>
        <v>v1</v>
      </c>
      <c r="D1047" s="399" t="str">
        <f t="shared" ca="1" si="320"/>
        <v>09.01.00.01</v>
      </c>
      <c r="E1047" s="107">
        <f t="shared" si="311"/>
        <v>0</v>
      </c>
      <c r="F1047" s="108">
        <f ca="1">OFFSET('Tabla III.4.'!$H$12,H1047-1,I1047-1)</f>
        <v>0</v>
      </c>
      <c r="G1047" s="107" t="str">
        <f ca="1">OFFSET('Tabla III.4.'!$H$1,0,I1047-1)</f>
        <v>05</v>
      </c>
      <c r="H1047" s="110">
        <f t="shared" si="321"/>
        <v>2</v>
      </c>
      <c r="I1047" s="110">
        <f t="shared" si="322"/>
        <v>5</v>
      </c>
      <c r="J1047" s="110" t="str">
        <f ca="1">+'Tabla III.4.'!$C$9</f>
        <v>Tabla III.4.</v>
      </c>
      <c r="K1047" s="110" t="str">
        <f t="shared" si="318"/>
        <v>A</v>
      </c>
      <c r="L1047" s="107"/>
      <c r="M1047" s="3"/>
    </row>
    <row r="1048" spans="1:13">
      <c r="A1048" s="107" t="s">
        <v>2944</v>
      </c>
      <c r="B1048" s="107" t="str">
        <f t="shared" si="317"/>
        <v>202503</v>
      </c>
      <c r="C1048" s="107" t="str">
        <f t="shared" ca="1" si="319"/>
        <v>v1</v>
      </c>
      <c r="D1048" s="399" t="str">
        <f t="shared" ca="1" si="320"/>
        <v>09.01.00.01</v>
      </c>
      <c r="E1048" s="107">
        <f t="shared" si="311"/>
        <v>0</v>
      </c>
      <c r="F1048" s="108">
        <f ca="1">OFFSET('Tabla III.4.'!$H$12,H1048-1,I1048-1)</f>
        <v>0</v>
      </c>
      <c r="G1048" s="107" t="str">
        <f ca="1">OFFSET('Tabla III.4.'!$H$1,0,I1048-1)</f>
        <v>06</v>
      </c>
      <c r="H1048" s="110">
        <f t="shared" si="321"/>
        <v>2</v>
      </c>
      <c r="I1048" s="110">
        <f t="shared" si="322"/>
        <v>6</v>
      </c>
      <c r="J1048" s="110" t="str">
        <f ca="1">+'Tabla III.4.'!$C$9</f>
        <v>Tabla III.4.</v>
      </c>
      <c r="K1048" s="110" t="str">
        <f t="shared" si="318"/>
        <v>A</v>
      </c>
      <c r="L1048" s="107"/>
      <c r="M1048" s="3"/>
    </row>
    <row r="1049" spans="1:13">
      <c r="A1049" s="107" t="s">
        <v>2944</v>
      </c>
      <c r="B1049" s="107" t="str">
        <f t="shared" si="317"/>
        <v>202503</v>
      </c>
      <c r="C1049" s="107" t="str">
        <f t="shared" ca="1" si="319"/>
        <v>v1</v>
      </c>
      <c r="D1049" s="399" t="str">
        <f t="shared" ca="1" si="320"/>
        <v>09.01.00.01</v>
      </c>
      <c r="E1049" s="107">
        <f t="shared" si="311"/>
        <v>0</v>
      </c>
      <c r="F1049" s="108">
        <f ca="1">OFFSET('Tabla III.4.'!$H$12,H1049-1,I1049-1)</f>
        <v>0</v>
      </c>
      <c r="G1049" s="107" t="str">
        <f ca="1">OFFSET('Tabla III.4.'!$H$1,0,I1049-1)</f>
        <v>07</v>
      </c>
      <c r="H1049" s="110">
        <f t="shared" si="321"/>
        <v>2</v>
      </c>
      <c r="I1049" s="110">
        <f t="shared" si="322"/>
        <v>7</v>
      </c>
      <c r="J1049" s="110" t="str">
        <f ca="1">+'Tabla III.4.'!$C$9</f>
        <v>Tabla III.4.</v>
      </c>
      <c r="K1049" s="110" t="str">
        <f t="shared" si="318"/>
        <v>A</v>
      </c>
      <c r="L1049" s="107"/>
      <c r="M1049" s="3"/>
    </row>
    <row r="1050" spans="1:13">
      <c r="A1050" s="107" t="s">
        <v>2944</v>
      </c>
      <c r="B1050" s="107" t="str">
        <f t="shared" si="317"/>
        <v>202503</v>
      </c>
      <c r="C1050" s="107" t="str">
        <f t="shared" ca="1" si="319"/>
        <v>v1</v>
      </c>
      <c r="D1050" s="399" t="str">
        <f t="shared" ca="1" si="320"/>
        <v>09.01.00.01</v>
      </c>
      <c r="E1050" s="107">
        <f t="shared" si="311"/>
        <v>0</v>
      </c>
      <c r="F1050" s="108">
        <f ca="1">OFFSET('Tabla III.4.'!$H$12,H1050-1,I1050-1)</f>
        <v>0</v>
      </c>
      <c r="G1050" s="107" t="str">
        <f ca="1">OFFSET('Tabla III.4.'!$H$1,0,I1050-1)</f>
        <v>08</v>
      </c>
      <c r="H1050" s="110">
        <f t="shared" si="321"/>
        <v>2</v>
      </c>
      <c r="I1050" s="110">
        <f t="shared" si="322"/>
        <v>8</v>
      </c>
      <c r="J1050" s="110" t="str">
        <f ca="1">+'Tabla III.4.'!$C$9</f>
        <v>Tabla III.4.</v>
      </c>
      <c r="K1050" s="110" t="str">
        <f t="shared" si="318"/>
        <v>A</v>
      </c>
      <c r="L1050" s="107"/>
      <c r="M1050" s="3"/>
    </row>
    <row r="1051" spans="1:13">
      <c r="A1051" s="107" t="s">
        <v>2944</v>
      </c>
      <c r="B1051" s="107" t="str">
        <f t="shared" si="317"/>
        <v>202503</v>
      </c>
      <c r="C1051" s="107" t="str">
        <f t="shared" ca="1" si="319"/>
        <v>v1</v>
      </c>
      <c r="D1051" s="399" t="str">
        <f t="shared" ca="1" si="320"/>
        <v>09.01.00.01</v>
      </c>
      <c r="E1051" s="107">
        <f t="shared" si="311"/>
        <v>0</v>
      </c>
      <c r="F1051" s="108">
        <f ca="1">OFFSET('Tabla III.4.'!$H$12,H1051-1,I1051-1)</f>
        <v>0</v>
      </c>
      <c r="G1051" s="107" t="str">
        <f ca="1">OFFSET('Tabla III.4.'!$H$1,0,I1051-1)</f>
        <v>09</v>
      </c>
      <c r="H1051" s="110">
        <f t="shared" si="321"/>
        <v>2</v>
      </c>
      <c r="I1051" s="110">
        <f t="shared" si="322"/>
        <v>9</v>
      </c>
      <c r="J1051" s="110" t="str">
        <f ca="1">+'Tabla III.4.'!$C$9</f>
        <v>Tabla III.4.</v>
      </c>
      <c r="K1051" s="110" t="str">
        <f t="shared" si="318"/>
        <v>A</v>
      </c>
      <c r="L1051" s="107"/>
      <c r="M1051" s="3"/>
    </row>
    <row r="1052" spans="1:13">
      <c r="A1052" s="107" t="s">
        <v>2944</v>
      </c>
      <c r="B1052" s="107" t="str">
        <f t="shared" si="317"/>
        <v>202503</v>
      </c>
      <c r="C1052" s="107" t="str">
        <f t="shared" ca="1" si="319"/>
        <v>v1</v>
      </c>
      <c r="D1052" s="399" t="str">
        <f t="shared" ca="1" si="320"/>
        <v>09.01.00.01</v>
      </c>
      <c r="E1052" s="107">
        <f t="shared" si="311"/>
        <v>0</v>
      </c>
      <c r="F1052" s="108">
        <f ca="1">OFFSET('Tabla III.4.'!$H$12,H1052-1,I1052-1)</f>
        <v>0</v>
      </c>
      <c r="G1052" s="107" t="str">
        <f ca="1">OFFSET('Tabla III.4.'!$H$1,0,I1052-1)</f>
        <v>10</v>
      </c>
      <c r="H1052" s="110">
        <f t="shared" si="321"/>
        <v>2</v>
      </c>
      <c r="I1052" s="110">
        <f t="shared" si="322"/>
        <v>10</v>
      </c>
      <c r="J1052" s="110" t="str">
        <f ca="1">+'Tabla III.4.'!$C$9</f>
        <v>Tabla III.4.</v>
      </c>
      <c r="K1052" s="110" t="str">
        <f t="shared" si="318"/>
        <v>A</v>
      </c>
      <c r="L1052" s="107"/>
      <c r="M1052" s="3"/>
    </row>
    <row r="1053" spans="1:13">
      <c r="A1053" s="107" t="s">
        <v>2944</v>
      </c>
      <c r="B1053" s="107" t="str">
        <f t="shared" si="317"/>
        <v>202503</v>
      </c>
      <c r="C1053" s="107" t="str">
        <f t="shared" ca="1" si="319"/>
        <v>v1</v>
      </c>
      <c r="D1053" s="399" t="str">
        <f t="shared" ca="1" si="320"/>
        <v>09.01.00.01</v>
      </c>
      <c r="E1053" s="107">
        <f t="shared" si="311"/>
        <v>0</v>
      </c>
      <c r="F1053" s="108">
        <f ca="1">OFFSET('Tabla III.4.'!$H$12,H1053-1,I1053-1)</f>
        <v>0</v>
      </c>
      <c r="G1053" s="107" t="str">
        <f ca="1">OFFSET('Tabla III.4.'!$H$1,0,I1053-1)</f>
        <v>11</v>
      </c>
      <c r="H1053" s="110">
        <f t="shared" si="321"/>
        <v>2</v>
      </c>
      <c r="I1053" s="110">
        <f t="shared" si="322"/>
        <v>11</v>
      </c>
      <c r="J1053" s="110" t="str">
        <f ca="1">+'Tabla III.4.'!$C$9</f>
        <v>Tabla III.4.</v>
      </c>
      <c r="K1053" s="110" t="str">
        <f t="shared" si="318"/>
        <v>A</v>
      </c>
      <c r="L1053" s="107"/>
      <c r="M1053" s="3"/>
    </row>
    <row r="1054" spans="1:13">
      <c r="A1054" s="107" t="s">
        <v>2944</v>
      </c>
      <c r="B1054" s="107" t="str">
        <f t="shared" si="317"/>
        <v>202503</v>
      </c>
      <c r="C1054" s="107" t="str">
        <f t="shared" ca="1" si="319"/>
        <v>v1</v>
      </c>
      <c r="D1054" s="399" t="str">
        <f t="shared" ca="1" si="320"/>
        <v>09.01.00.01</v>
      </c>
      <c r="E1054" s="107">
        <f t="shared" si="311"/>
        <v>0</v>
      </c>
      <c r="F1054" s="108">
        <f ca="1">OFFSET('Tabla III.4.'!$H$12,H1054-1,I1054-1)</f>
        <v>0</v>
      </c>
      <c r="G1054" s="107" t="str">
        <f ca="1">OFFSET('Tabla III.4.'!$H$1,0,I1054-1)</f>
        <v>12</v>
      </c>
      <c r="H1054" s="110">
        <f t="shared" si="321"/>
        <v>2</v>
      </c>
      <c r="I1054" s="110">
        <f t="shared" si="322"/>
        <v>12</v>
      </c>
      <c r="J1054" s="110" t="str">
        <f ca="1">+'Tabla III.4.'!$C$9</f>
        <v>Tabla III.4.</v>
      </c>
      <c r="K1054" s="110" t="str">
        <f t="shared" si="318"/>
        <v>A</v>
      </c>
      <c r="L1054" s="107"/>
      <c r="M1054" s="3"/>
    </row>
    <row r="1055" spans="1:13">
      <c r="A1055" s="412" t="s">
        <v>2944</v>
      </c>
      <c r="B1055" s="412" t="str">
        <f t="shared" si="317"/>
        <v>202503</v>
      </c>
      <c r="C1055" s="412" t="s">
        <v>2945</v>
      </c>
      <c r="D1055" s="413" t="str">
        <f ca="1">OFFSET('Tabla III.4.'!$F$12,H1055-1,0)</f>
        <v>09.01.00.02.</v>
      </c>
      <c r="E1055" s="412">
        <f t="shared" si="311"/>
        <v>0</v>
      </c>
      <c r="F1055" s="414">
        <f ca="1">OFFSET('Tabla III.4.'!$H$12,H1055-1,I1055-1)</f>
        <v>0</v>
      </c>
      <c r="G1055" s="412" t="str">
        <f ca="1">OFFSET('Tabla III.4.'!$H$1,0,I1055-1)</f>
        <v>01</v>
      </c>
      <c r="H1055" s="111">
        <f>+H1043+1</f>
        <v>3</v>
      </c>
      <c r="I1055" s="111">
        <v>1</v>
      </c>
      <c r="J1055" s="111" t="str">
        <f ca="1">+'Tabla III.4.'!$C$9</f>
        <v>Tabla III.4.</v>
      </c>
      <c r="K1055" s="111" t="s">
        <v>2266</v>
      </c>
      <c r="L1055" s="412">
        <f>+L1043+1</f>
        <v>3</v>
      </c>
      <c r="M1055" s="3"/>
    </row>
    <row r="1056" spans="1:13">
      <c r="A1056" s="412" t="s">
        <v>2944</v>
      </c>
      <c r="B1056" s="412" t="str">
        <f t="shared" si="317"/>
        <v>202503</v>
      </c>
      <c r="C1056" s="412" t="str">
        <f ca="1">IF(G1056="01","v2","v1")</f>
        <v>v1</v>
      </c>
      <c r="D1056" s="413" t="str">
        <f ca="1">+D1055</f>
        <v>09.01.00.02.</v>
      </c>
      <c r="E1056" s="412">
        <f t="shared" si="311"/>
        <v>0</v>
      </c>
      <c r="F1056" s="414">
        <f ca="1">OFFSET('Tabla III.4.'!$H$12,H1056-1,I1056-1)</f>
        <v>0</v>
      </c>
      <c r="G1056" s="412" t="str">
        <f ca="1">OFFSET('Tabla III.4.'!$H$1,0,I1056-1)</f>
        <v>02</v>
      </c>
      <c r="H1056" s="111">
        <f>+H1055</f>
        <v>3</v>
      </c>
      <c r="I1056" s="111">
        <f>+I1055+1</f>
        <v>2</v>
      </c>
      <c r="J1056" s="111" t="str">
        <f ca="1">+'Tabla III.4.'!$C$9</f>
        <v>Tabla III.4.</v>
      </c>
      <c r="K1056" s="111" t="str">
        <f t="shared" ref="K1056:K1066" si="323">+K1055</f>
        <v>A</v>
      </c>
      <c r="L1056" s="412"/>
      <c r="M1056" s="3"/>
    </row>
    <row r="1057" spans="1:13">
      <c r="A1057" s="412" t="s">
        <v>2944</v>
      </c>
      <c r="B1057" s="412" t="str">
        <f t="shared" si="317"/>
        <v>202503</v>
      </c>
      <c r="C1057" s="412" t="str">
        <f t="shared" ref="C1057:C1066" ca="1" si="324">IF(G1057="01","v2","v1")</f>
        <v>v1</v>
      </c>
      <c r="D1057" s="413" t="str">
        <f t="shared" ref="D1057:D1066" ca="1" si="325">+D1056</f>
        <v>09.01.00.02.</v>
      </c>
      <c r="E1057" s="412">
        <f t="shared" si="311"/>
        <v>0</v>
      </c>
      <c r="F1057" s="414">
        <f ca="1">OFFSET('Tabla III.4.'!$H$12,H1057-1,I1057-1)</f>
        <v>0</v>
      </c>
      <c r="G1057" s="412" t="str">
        <f ca="1">OFFSET('Tabla III.4.'!$H$1,0,I1057-1)</f>
        <v>03</v>
      </c>
      <c r="H1057" s="111">
        <f t="shared" ref="H1057:H1066" si="326">+H1056</f>
        <v>3</v>
      </c>
      <c r="I1057" s="111">
        <f t="shared" ref="I1057:I1066" si="327">+I1056+1</f>
        <v>3</v>
      </c>
      <c r="J1057" s="111" t="str">
        <f ca="1">+'Tabla III.4.'!$C$9</f>
        <v>Tabla III.4.</v>
      </c>
      <c r="K1057" s="111" t="str">
        <f t="shared" si="323"/>
        <v>A</v>
      </c>
      <c r="L1057" s="412"/>
      <c r="M1057" s="3"/>
    </row>
    <row r="1058" spans="1:13">
      <c r="A1058" s="412" t="s">
        <v>2944</v>
      </c>
      <c r="B1058" s="412" t="str">
        <f t="shared" si="317"/>
        <v>202503</v>
      </c>
      <c r="C1058" s="412" t="str">
        <f t="shared" ca="1" si="324"/>
        <v>v1</v>
      </c>
      <c r="D1058" s="413" t="str">
        <f t="shared" ca="1" si="325"/>
        <v>09.01.00.02.</v>
      </c>
      <c r="E1058" s="412">
        <f t="shared" si="311"/>
        <v>0</v>
      </c>
      <c r="F1058" s="414">
        <f ca="1">OFFSET('Tabla III.4.'!$H$12,H1058-1,I1058-1)</f>
        <v>0</v>
      </c>
      <c r="G1058" s="412" t="str">
        <f ca="1">OFFSET('Tabla III.4.'!$H$1,0,I1058-1)</f>
        <v>04</v>
      </c>
      <c r="H1058" s="111">
        <f t="shared" si="326"/>
        <v>3</v>
      </c>
      <c r="I1058" s="111">
        <f t="shared" si="327"/>
        <v>4</v>
      </c>
      <c r="J1058" s="111" t="str">
        <f ca="1">+'Tabla III.4.'!$C$9</f>
        <v>Tabla III.4.</v>
      </c>
      <c r="K1058" s="111" t="str">
        <f t="shared" si="323"/>
        <v>A</v>
      </c>
      <c r="L1058" s="412"/>
      <c r="M1058" s="3"/>
    </row>
    <row r="1059" spans="1:13">
      <c r="A1059" s="412" t="s">
        <v>2944</v>
      </c>
      <c r="B1059" s="412" t="str">
        <f t="shared" si="317"/>
        <v>202503</v>
      </c>
      <c r="C1059" s="412" t="str">
        <f t="shared" ca="1" si="324"/>
        <v>v1</v>
      </c>
      <c r="D1059" s="413" t="str">
        <f t="shared" ca="1" si="325"/>
        <v>09.01.00.02.</v>
      </c>
      <c r="E1059" s="412">
        <f t="shared" si="311"/>
        <v>0</v>
      </c>
      <c r="F1059" s="414">
        <f ca="1">OFFSET('Tabla III.4.'!$H$12,H1059-1,I1059-1)</f>
        <v>0</v>
      </c>
      <c r="G1059" s="412" t="str">
        <f ca="1">OFFSET('Tabla III.4.'!$H$1,0,I1059-1)</f>
        <v>05</v>
      </c>
      <c r="H1059" s="111">
        <f t="shared" si="326"/>
        <v>3</v>
      </c>
      <c r="I1059" s="111">
        <f t="shared" si="327"/>
        <v>5</v>
      </c>
      <c r="J1059" s="111" t="str">
        <f ca="1">+'Tabla III.4.'!$C$9</f>
        <v>Tabla III.4.</v>
      </c>
      <c r="K1059" s="111" t="str">
        <f t="shared" si="323"/>
        <v>A</v>
      </c>
      <c r="L1059" s="412"/>
      <c r="M1059" s="3"/>
    </row>
    <row r="1060" spans="1:13">
      <c r="A1060" s="412" t="s">
        <v>2944</v>
      </c>
      <c r="B1060" s="412" t="str">
        <f t="shared" si="317"/>
        <v>202503</v>
      </c>
      <c r="C1060" s="412" t="str">
        <f t="shared" ca="1" si="324"/>
        <v>v1</v>
      </c>
      <c r="D1060" s="413" t="str">
        <f t="shared" ca="1" si="325"/>
        <v>09.01.00.02.</v>
      </c>
      <c r="E1060" s="412">
        <f t="shared" si="311"/>
        <v>0</v>
      </c>
      <c r="F1060" s="414">
        <f ca="1">OFFSET('Tabla III.4.'!$H$12,H1060-1,I1060-1)</f>
        <v>0</v>
      </c>
      <c r="G1060" s="412" t="str">
        <f ca="1">OFFSET('Tabla III.4.'!$H$1,0,I1060-1)</f>
        <v>06</v>
      </c>
      <c r="H1060" s="111">
        <f t="shared" si="326"/>
        <v>3</v>
      </c>
      <c r="I1060" s="111">
        <f t="shared" si="327"/>
        <v>6</v>
      </c>
      <c r="J1060" s="111" t="str">
        <f ca="1">+'Tabla III.4.'!$C$9</f>
        <v>Tabla III.4.</v>
      </c>
      <c r="K1060" s="111" t="str">
        <f t="shared" si="323"/>
        <v>A</v>
      </c>
      <c r="L1060" s="412"/>
      <c r="M1060" s="3"/>
    </row>
    <row r="1061" spans="1:13">
      <c r="A1061" s="412" t="s">
        <v>2944</v>
      </c>
      <c r="B1061" s="412" t="str">
        <f t="shared" si="317"/>
        <v>202503</v>
      </c>
      <c r="C1061" s="412" t="str">
        <f t="shared" ca="1" si="324"/>
        <v>v1</v>
      </c>
      <c r="D1061" s="413" t="str">
        <f t="shared" ca="1" si="325"/>
        <v>09.01.00.02.</v>
      </c>
      <c r="E1061" s="412">
        <f t="shared" si="311"/>
        <v>0</v>
      </c>
      <c r="F1061" s="414">
        <f ca="1">OFFSET('Tabla III.4.'!$H$12,H1061-1,I1061-1)</f>
        <v>0</v>
      </c>
      <c r="G1061" s="412" t="str">
        <f ca="1">OFFSET('Tabla III.4.'!$H$1,0,I1061-1)</f>
        <v>07</v>
      </c>
      <c r="H1061" s="111">
        <f t="shared" si="326"/>
        <v>3</v>
      </c>
      <c r="I1061" s="111">
        <f t="shared" si="327"/>
        <v>7</v>
      </c>
      <c r="J1061" s="111" t="str">
        <f ca="1">+'Tabla III.4.'!$C$9</f>
        <v>Tabla III.4.</v>
      </c>
      <c r="K1061" s="111" t="str">
        <f t="shared" si="323"/>
        <v>A</v>
      </c>
      <c r="L1061" s="412"/>
      <c r="M1061" s="3"/>
    </row>
    <row r="1062" spans="1:13">
      <c r="A1062" s="412" t="s">
        <v>2944</v>
      </c>
      <c r="B1062" s="412" t="str">
        <f t="shared" si="317"/>
        <v>202503</v>
      </c>
      <c r="C1062" s="412" t="str">
        <f t="shared" ca="1" si="324"/>
        <v>v1</v>
      </c>
      <c r="D1062" s="413" t="str">
        <f t="shared" ca="1" si="325"/>
        <v>09.01.00.02.</v>
      </c>
      <c r="E1062" s="412">
        <f t="shared" si="311"/>
        <v>0</v>
      </c>
      <c r="F1062" s="414">
        <f ca="1">OFFSET('Tabla III.4.'!$H$12,H1062-1,I1062-1)</f>
        <v>0</v>
      </c>
      <c r="G1062" s="412" t="str">
        <f ca="1">OFFSET('Tabla III.4.'!$H$1,0,I1062-1)</f>
        <v>08</v>
      </c>
      <c r="H1062" s="111">
        <f t="shared" si="326"/>
        <v>3</v>
      </c>
      <c r="I1062" s="111">
        <f t="shared" si="327"/>
        <v>8</v>
      </c>
      <c r="J1062" s="111" t="str">
        <f ca="1">+'Tabla III.4.'!$C$9</f>
        <v>Tabla III.4.</v>
      </c>
      <c r="K1062" s="111" t="str">
        <f t="shared" si="323"/>
        <v>A</v>
      </c>
      <c r="L1062" s="412"/>
      <c r="M1062" s="3"/>
    </row>
    <row r="1063" spans="1:13">
      <c r="A1063" s="412" t="s">
        <v>2944</v>
      </c>
      <c r="B1063" s="412" t="str">
        <f t="shared" si="317"/>
        <v>202503</v>
      </c>
      <c r="C1063" s="412" t="str">
        <f t="shared" ca="1" si="324"/>
        <v>v1</v>
      </c>
      <c r="D1063" s="413" t="str">
        <f t="shared" ca="1" si="325"/>
        <v>09.01.00.02.</v>
      </c>
      <c r="E1063" s="412">
        <f t="shared" si="311"/>
        <v>0</v>
      </c>
      <c r="F1063" s="414">
        <f ca="1">OFFSET('Tabla III.4.'!$H$12,H1063-1,I1063-1)</f>
        <v>0</v>
      </c>
      <c r="G1063" s="412" t="str">
        <f ca="1">OFFSET('Tabla III.4.'!$H$1,0,I1063-1)</f>
        <v>09</v>
      </c>
      <c r="H1063" s="111">
        <f t="shared" si="326"/>
        <v>3</v>
      </c>
      <c r="I1063" s="111">
        <f t="shared" si="327"/>
        <v>9</v>
      </c>
      <c r="J1063" s="111" t="str">
        <f ca="1">+'Tabla III.4.'!$C$9</f>
        <v>Tabla III.4.</v>
      </c>
      <c r="K1063" s="111" t="str">
        <f t="shared" si="323"/>
        <v>A</v>
      </c>
      <c r="L1063" s="412"/>
      <c r="M1063" s="3"/>
    </row>
    <row r="1064" spans="1:13">
      <c r="A1064" s="412" t="s">
        <v>2944</v>
      </c>
      <c r="B1064" s="412" t="str">
        <f t="shared" si="317"/>
        <v>202503</v>
      </c>
      <c r="C1064" s="412" t="str">
        <f t="shared" ca="1" si="324"/>
        <v>v1</v>
      </c>
      <c r="D1064" s="413" t="str">
        <f t="shared" ca="1" si="325"/>
        <v>09.01.00.02.</v>
      </c>
      <c r="E1064" s="412">
        <f t="shared" si="311"/>
        <v>0</v>
      </c>
      <c r="F1064" s="414">
        <f ca="1">OFFSET('Tabla III.4.'!$H$12,H1064-1,I1064-1)</f>
        <v>0</v>
      </c>
      <c r="G1064" s="412" t="str">
        <f ca="1">OFFSET('Tabla III.4.'!$H$1,0,I1064-1)</f>
        <v>10</v>
      </c>
      <c r="H1064" s="111">
        <f t="shared" si="326"/>
        <v>3</v>
      </c>
      <c r="I1064" s="111">
        <f t="shared" si="327"/>
        <v>10</v>
      </c>
      <c r="J1064" s="111" t="str">
        <f ca="1">+'Tabla III.4.'!$C$9</f>
        <v>Tabla III.4.</v>
      </c>
      <c r="K1064" s="111" t="str">
        <f t="shared" si="323"/>
        <v>A</v>
      </c>
      <c r="L1064" s="412"/>
      <c r="M1064" s="3"/>
    </row>
    <row r="1065" spans="1:13">
      <c r="A1065" s="412" t="s">
        <v>2944</v>
      </c>
      <c r="B1065" s="412" t="str">
        <f t="shared" si="317"/>
        <v>202503</v>
      </c>
      <c r="C1065" s="412" t="str">
        <f t="shared" ca="1" si="324"/>
        <v>v1</v>
      </c>
      <c r="D1065" s="413" t="str">
        <f t="shared" ca="1" si="325"/>
        <v>09.01.00.02.</v>
      </c>
      <c r="E1065" s="412">
        <f t="shared" si="311"/>
        <v>0</v>
      </c>
      <c r="F1065" s="414">
        <f ca="1">OFFSET('Tabla III.4.'!$H$12,H1065-1,I1065-1)</f>
        <v>0</v>
      </c>
      <c r="G1065" s="412" t="str">
        <f ca="1">OFFSET('Tabla III.4.'!$H$1,0,I1065-1)</f>
        <v>11</v>
      </c>
      <c r="H1065" s="111">
        <f t="shared" si="326"/>
        <v>3</v>
      </c>
      <c r="I1065" s="111">
        <f t="shared" si="327"/>
        <v>11</v>
      </c>
      <c r="J1065" s="111" t="str">
        <f ca="1">+'Tabla III.4.'!$C$9</f>
        <v>Tabla III.4.</v>
      </c>
      <c r="K1065" s="111" t="str">
        <f t="shared" si="323"/>
        <v>A</v>
      </c>
      <c r="L1065" s="412"/>
      <c r="M1065" s="3"/>
    </row>
    <row r="1066" spans="1:13">
      <c r="A1066" s="412" t="s">
        <v>2944</v>
      </c>
      <c r="B1066" s="412" t="str">
        <f t="shared" si="317"/>
        <v>202503</v>
      </c>
      <c r="C1066" s="412" t="str">
        <f t="shared" ca="1" si="324"/>
        <v>v1</v>
      </c>
      <c r="D1066" s="413" t="str">
        <f t="shared" ca="1" si="325"/>
        <v>09.01.00.02.</v>
      </c>
      <c r="E1066" s="412">
        <f t="shared" si="311"/>
        <v>0</v>
      </c>
      <c r="F1066" s="414">
        <f ca="1">OFFSET('Tabla III.4.'!$H$12,H1066-1,I1066-1)</f>
        <v>0</v>
      </c>
      <c r="G1066" s="412" t="str">
        <f ca="1">OFFSET('Tabla III.4.'!$H$1,0,I1066-1)</f>
        <v>12</v>
      </c>
      <c r="H1066" s="111">
        <f t="shared" si="326"/>
        <v>3</v>
      </c>
      <c r="I1066" s="111">
        <f t="shared" si="327"/>
        <v>12</v>
      </c>
      <c r="J1066" s="111" t="str">
        <f ca="1">+'Tabla III.4.'!$C$9</f>
        <v>Tabla III.4.</v>
      </c>
      <c r="K1066" s="111" t="str">
        <f t="shared" si="323"/>
        <v>A</v>
      </c>
      <c r="L1066" s="412"/>
      <c r="M1066" s="3"/>
    </row>
    <row r="1067" spans="1:13">
      <c r="A1067" s="107" t="s">
        <v>2944</v>
      </c>
      <c r="B1067" s="107" t="str">
        <f t="shared" si="317"/>
        <v>202503</v>
      </c>
      <c r="C1067" s="107" t="s">
        <v>2945</v>
      </c>
      <c r="D1067" s="399" t="str">
        <f ca="1">OFFSET('Tabla III.4.'!$F$12,H1067-1,0)</f>
        <v>09.02.</v>
      </c>
      <c r="E1067" s="107">
        <f t="shared" si="311"/>
        <v>0</v>
      </c>
      <c r="F1067" s="108">
        <f ca="1">OFFSET('Tabla III.4.'!$H$12,H1067-1,I1067-1)</f>
        <v>0</v>
      </c>
      <c r="G1067" s="107" t="str">
        <f ca="1">OFFSET('Tabla III.4.'!$H$1,0,I1067-1)</f>
        <v>01</v>
      </c>
      <c r="H1067" s="110">
        <f>+H1055+1</f>
        <v>4</v>
      </c>
      <c r="I1067" s="110">
        <v>1</v>
      </c>
      <c r="J1067" s="110" t="str">
        <f ca="1">+'Tabla III.4.'!$C$9</f>
        <v>Tabla III.4.</v>
      </c>
      <c r="K1067" s="110" t="s">
        <v>2266</v>
      </c>
      <c r="L1067" s="107">
        <f>+L1055+1</f>
        <v>4</v>
      </c>
      <c r="M1067" s="3"/>
    </row>
    <row r="1068" spans="1:13">
      <c r="A1068" s="107" t="s">
        <v>2944</v>
      </c>
      <c r="B1068" s="107" t="str">
        <f t="shared" si="317"/>
        <v>202503</v>
      </c>
      <c r="C1068" s="107" t="str">
        <f ca="1">IF(G1068="01","v2","v1")</f>
        <v>v1</v>
      </c>
      <c r="D1068" s="399" t="str">
        <f ca="1">+D1067</f>
        <v>09.02.</v>
      </c>
      <c r="E1068" s="107">
        <f t="shared" si="311"/>
        <v>0</v>
      </c>
      <c r="F1068" s="108">
        <f ca="1">OFFSET('Tabla III.4.'!$H$12,H1068-1,I1068-1)</f>
        <v>0</v>
      </c>
      <c r="G1068" s="107" t="str">
        <f ca="1">OFFSET('Tabla III.4.'!$H$1,0,I1068-1)</f>
        <v>02</v>
      </c>
      <c r="H1068" s="110">
        <f>+H1067</f>
        <v>4</v>
      </c>
      <c r="I1068" s="110">
        <f>+I1067+1</f>
        <v>2</v>
      </c>
      <c r="J1068" s="110" t="str">
        <f ca="1">+'Tabla III.4.'!$C$9</f>
        <v>Tabla III.4.</v>
      </c>
      <c r="K1068" s="110" t="str">
        <f t="shared" ref="K1068:K1078" si="328">+K1067</f>
        <v>A</v>
      </c>
      <c r="L1068" s="107"/>
      <c r="M1068" s="3"/>
    </row>
    <row r="1069" spans="1:13">
      <c r="A1069" s="107" t="s">
        <v>2944</v>
      </c>
      <c r="B1069" s="107" t="str">
        <f t="shared" si="317"/>
        <v>202503</v>
      </c>
      <c r="C1069" s="107" t="str">
        <f t="shared" ref="C1069:C1078" ca="1" si="329">IF(G1069="01","v2","v1")</f>
        <v>v1</v>
      </c>
      <c r="D1069" s="399" t="str">
        <f t="shared" ref="D1069:D1078" ca="1" si="330">+D1068</f>
        <v>09.02.</v>
      </c>
      <c r="E1069" s="107">
        <f t="shared" si="311"/>
        <v>0</v>
      </c>
      <c r="F1069" s="108">
        <f ca="1">OFFSET('Tabla III.4.'!$H$12,H1069-1,I1069-1)</f>
        <v>0</v>
      </c>
      <c r="G1069" s="107" t="str">
        <f ca="1">OFFSET('Tabla III.4.'!$H$1,0,I1069-1)</f>
        <v>03</v>
      </c>
      <c r="H1069" s="110">
        <f t="shared" ref="H1069:H1078" si="331">+H1068</f>
        <v>4</v>
      </c>
      <c r="I1069" s="110">
        <f t="shared" ref="I1069:I1078" si="332">+I1068+1</f>
        <v>3</v>
      </c>
      <c r="J1069" s="110" t="str">
        <f ca="1">+'Tabla III.4.'!$C$9</f>
        <v>Tabla III.4.</v>
      </c>
      <c r="K1069" s="110" t="str">
        <f t="shared" si="328"/>
        <v>A</v>
      </c>
      <c r="L1069" s="107"/>
      <c r="M1069" s="3"/>
    </row>
    <row r="1070" spans="1:13">
      <c r="A1070" s="107" t="s">
        <v>2944</v>
      </c>
      <c r="B1070" s="107" t="str">
        <f t="shared" si="317"/>
        <v>202503</v>
      </c>
      <c r="C1070" s="107" t="str">
        <f t="shared" ca="1" si="329"/>
        <v>v1</v>
      </c>
      <c r="D1070" s="399" t="str">
        <f t="shared" ca="1" si="330"/>
        <v>09.02.</v>
      </c>
      <c r="E1070" s="107">
        <f t="shared" si="311"/>
        <v>0</v>
      </c>
      <c r="F1070" s="108">
        <f ca="1">OFFSET('Tabla III.4.'!$H$12,H1070-1,I1070-1)</f>
        <v>0</v>
      </c>
      <c r="G1070" s="107" t="str">
        <f ca="1">OFFSET('Tabla III.4.'!$H$1,0,I1070-1)</f>
        <v>04</v>
      </c>
      <c r="H1070" s="110">
        <f t="shared" si="331"/>
        <v>4</v>
      </c>
      <c r="I1070" s="110">
        <f t="shared" si="332"/>
        <v>4</v>
      </c>
      <c r="J1070" s="110" t="str">
        <f ca="1">+'Tabla III.4.'!$C$9</f>
        <v>Tabla III.4.</v>
      </c>
      <c r="K1070" s="110" t="str">
        <f t="shared" si="328"/>
        <v>A</v>
      </c>
      <c r="L1070" s="107"/>
      <c r="M1070" s="3"/>
    </row>
    <row r="1071" spans="1:13">
      <c r="A1071" s="107" t="s">
        <v>2944</v>
      </c>
      <c r="B1071" s="107" t="str">
        <f t="shared" si="317"/>
        <v>202503</v>
      </c>
      <c r="C1071" s="107" t="str">
        <f t="shared" ca="1" si="329"/>
        <v>v1</v>
      </c>
      <c r="D1071" s="399" t="str">
        <f t="shared" ca="1" si="330"/>
        <v>09.02.</v>
      </c>
      <c r="E1071" s="107">
        <f t="shared" si="311"/>
        <v>0</v>
      </c>
      <c r="F1071" s="108">
        <f ca="1">OFFSET('Tabla III.4.'!$H$12,H1071-1,I1071-1)</f>
        <v>0</v>
      </c>
      <c r="G1071" s="107" t="str">
        <f ca="1">OFFSET('Tabla III.4.'!$H$1,0,I1071-1)</f>
        <v>05</v>
      </c>
      <c r="H1071" s="110">
        <f t="shared" si="331"/>
        <v>4</v>
      </c>
      <c r="I1071" s="110">
        <f t="shared" si="332"/>
        <v>5</v>
      </c>
      <c r="J1071" s="110" t="str">
        <f ca="1">+'Tabla III.4.'!$C$9</f>
        <v>Tabla III.4.</v>
      </c>
      <c r="K1071" s="110" t="str">
        <f t="shared" si="328"/>
        <v>A</v>
      </c>
      <c r="L1071" s="107"/>
      <c r="M1071" s="3"/>
    </row>
    <row r="1072" spans="1:13">
      <c r="A1072" s="107" t="s">
        <v>2944</v>
      </c>
      <c r="B1072" s="107" t="str">
        <f t="shared" si="317"/>
        <v>202503</v>
      </c>
      <c r="C1072" s="107" t="str">
        <f t="shared" ca="1" si="329"/>
        <v>v1</v>
      </c>
      <c r="D1072" s="399" t="str">
        <f t="shared" ca="1" si="330"/>
        <v>09.02.</v>
      </c>
      <c r="E1072" s="107">
        <f t="shared" ref="E1072:E1135" si="333">RUC</f>
        <v>0</v>
      </c>
      <c r="F1072" s="108">
        <f ca="1">OFFSET('Tabla III.4.'!$H$12,H1072-1,I1072-1)</f>
        <v>0</v>
      </c>
      <c r="G1072" s="107" t="str">
        <f ca="1">OFFSET('Tabla III.4.'!$H$1,0,I1072-1)</f>
        <v>06</v>
      </c>
      <c r="H1072" s="110">
        <f t="shared" si="331"/>
        <v>4</v>
      </c>
      <c r="I1072" s="110">
        <f t="shared" si="332"/>
        <v>6</v>
      </c>
      <c r="J1072" s="110" t="str">
        <f ca="1">+'Tabla III.4.'!$C$9</f>
        <v>Tabla III.4.</v>
      </c>
      <c r="K1072" s="110" t="str">
        <f t="shared" si="328"/>
        <v>A</v>
      </c>
      <c r="L1072" s="107"/>
      <c r="M1072" s="3"/>
    </row>
    <row r="1073" spans="1:13">
      <c r="A1073" s="107" t="s">
        <v>2944</v>
      </c>
      <c r="B1073" s="107" t="str">
        <f t="shared" si="317"/>
        <v>202503</v>
      </c>
      <c r="C1073" s="107" t="str">
        <f t="shared" ca="1" si="329"/>
        <v>v1</v>
      </c>
      <c r="D1073" s="399" t="str">
        <f t="shared" ca="1" si="330"/>
        <v>09.02.</v>
      </c>
      <c r="E1073" s="107">
        <f t="shared" si="333"/>
        <v>0</v>
      </c>
      <c r="F1073" s="108">
        <f ca="1">OFFSET('Tabla III.4.'!$H$12,H1073-1,I1073-1)</f>
        <v>0</v>
      </c>
      <c r="G1073" s="107" t="str">
        <f ca="1">OFFSET('Tabla III.4.'!$H$1,0,I1073-1)</f>
        <v>07</v>
      </c>
      <c r="H1073" s="110">
        <f t="shared" si="331"/>
        <v>4</v>
      </c>
      <c r="I1073" s="110">
        <f t="shared" si="332"/>
        <v>7</v>
      </c>
      <c r="J1073" s="110" t="str">
        <f ca="1">+'Tabla III.4.'!$C$9</f>
        <v>Tabla III.4.</v>
      </c>
      <c r="K1073" s="110" t="str">
        <f t="shared" si="328"/>
        <v>A</v>
      </c>
      <c r="L1073" s="107"/>
      <c r="M1073" s="3"/>
    </row>
    <row r="1074" spans="1:13">
      <c r="A1074" s="107" t="s">
        <v>2944</v>
      </c>
      <c r="B1074" s="107" t="str">
        <f t="shared" si="317"/>
        <v>202503</v>
      </c>
      <c r="C1074" s="107" t="str">
        <f t="shared" ca="1" si="329"/>
        <v>v1</v>
      </c>
      <c r="D1074" s="399" t="str">
        <f t="shared" ca="1" si="330"/>
        <v>09.02.</v>
      </c>
      <c r="E1074" s="107">
        <f t="shared" si="333"/>
        <v>0</v>
      </c>
      <c r="F1074" s="108">
        <f ca="1">OFFSET('Tabla III.4.'!$H$12,H1074-1,I1074-1)</f>
        <v>0</v>
      </c>
      <c r="G1074" s="107" t="str">
        <f ca="1">OFFSET('Tabla III.4.'!$H$1,0,I1074-1)</f>
        <v>08</v>
      </c>
      <c r="H1074" s="110">
        <f t="shared" si="331"/>
        <v>4</v>
      </c>
      <c r="I1074" s="110">
        <f t="shared" si="332"/>
        <v>8</v>
      </c>
      <c r="J1074" s="110" t="str">
        <f ca="1">+'Tabla III.4.'!$C$9</f>
        <v>Tabla III.4.</v>
      </c>
      <c r="K1074" s="110" t="str">
        <f t="shared" si="328"/>
        <v>A</v>
      </c>
      <c r="L1074" s="107"/>
      <c r="M1074" s="3"/>
    </row>
    <row r="1075" spans="1:13">
      <c r="A1075" s="107" t="s">
        <v>2944</v>
      </c>
      <c r="B1075" s="107" t="str">
        <f t="shared" si="317"/>
        <v>202503</v>
      </c>
      <c r="C1075" s="107" t="str">
        <f t="shared" ca="1" si="329"/>
        <v>v1</v>
      </c>
      <c r="D1075" s="399" t="str">
        <f t="shared" ca="1" si="330"/>
        <v>09.02.</v>
      </c>
      <c r="E1075" s="107">
        <f t="shared" si="333"/>
        <v>0</v>
      </c>
      <c r="F1075" s="108">
        <f ca="1">OFFSET('Tabla III.4.'!$H$12,H1075-1,I1075-1)</f>
        <v>0</v>
      </c>
      <c r="G1075" s="107" t="str">
        <f ca="1">OFFSET('Tabla III.4.'!$H$1,0,I1075-1)</f>
        <v>09</v>
      </c>
      <c r="H1075" s="110">
        <f t="shared" si="331"/>
        <v>4</v>
      </c>
      <c r="I1075" s="110">
        <f t="shared" si="332"/>
        <v>9</v>
      </c>
      <c r="J1075" s="110" t="str">
        <f ca="1">+'Tabla III.4.'!$C$9</f>
        <v>Tabla III.4.</v>
      </c>
      <c r="K1075" s="110" t="str">
        <f t="shared" si="328"/>
        <v>A</v>
      </c>
      <c r="L1075" s="107"/>
      <c r="M1075" s="3"/>
    </row>
    <row r="1076" spans="1:13">
      <c r="A1076" s="107" t="s">
        <v>2944</v>
      </c>
      <c r="B1076" s="107" t="str">
        <f t="shared" si="317"/>
        <v>202503</v>
      </c>
      <c r="C1076" s="107" t="str">
        <f t="shared" ca="1" si="329"/>
        <v>v1</v>
      </c>
      <c r="D1076" s="399" t="str">
        <f t="shared" ca="1" si="330"/>
        <v>09.02.</v>
      </c>
      <c r="E1076" s="107">
        <f t="shared" si="333"/>
        <v>0</v>
      </c>
      <c r="F1076" s="108">
        <f ca="1">OFFSET('Tabla III.4.'!$H$12,H1076-1,I1076-1)</f>
        <v>0</v>
      </c>
      <c r="G1076" s="107" t="str">
        <f ca="1">OFFSET('Tabla III.4.'!$H$1,0,I1076-1)</f>
        <v>10</v>
      </c>
      <c r="H1076" s="110">
        <f t="shared" si="331"/>
        <v>4</v>
      </c>
      <c r="I1076" s="110">
        <f t="shared" si="332"/>
        <v>10</v>
      </c>
      <c r="J1076" s="110" t="str">
        <f ca="1">+'Tabla III.4.'!$C$9</f>
        <v>Tabla III.4.</v>
      </c>
      <c r="K1076" s="110" t="str">
        <f t="shared" si="328"/>
        <v>A</v>
      </c>
      <c r="L1076" s="107"/>
      <c r="M1076" s="3"/>
    </row>
    <row r="1077" spans="1:13">
      <c r="A1077" s="107" t="s">
        <v>2944</v>
      </c>
      <c r="B1077" s="107" t="str">
        <f t="shared" si="317"/>
        <v>202503</v>
      </c>
      <c r="C1077" s="107" t="str">
        <f t="shared" ca="1" si="329"/>
        <v>v1</v>
      </c>
      <c r="D1077" s="399" t="str">
        <f t="shared" ca="1" si="330"/>
        <v>09.02.</v>
      </c>
      <c r="E1077" s="107">
        <f t="shared" si="333"/>
        <v>0</v>
      </c>
      <c r="F1077" s="108">
        <f ca="1">OFFSET('Tabla III.4.'!$H$12,H1077-1,I1077-1)</f>
        <v>0</v>
      </c>
      <c r="G1077" s="107" t="str">
        <f ca="1">OFFSET('Tabla III.4.'!$H$1,0,I1077-1)</f>
        <v>11</v>
      </c>
      <c r="H1077" s="110">
        <f t="shared" si="331"/>
        <v>4</v>
      </c>
      <c r="I1077" s="110">
        <f t="shared" si="332"/>
        <v>11</v>
      </c>
      <c r="J1077" s="110" t="str">
        <f ca="1">+'Tabla III.4.'!$C$9</f>
        <v>Tabla III.4.</v>
      </c>
      <c r="K1077" s="110" t="str">
        <f t="shared" si="328"/>
        <v>A</v>
      </c>
      <c r="L1077" s="107"/>
      <c r="M1077" s="3"/>
    </row>
    <row r="1078" spans="1:13">
      <c r="A1078" s="107" t="s">
        <v>2944</v>
      </c>
      <c r="B1078" s="107" t="str">
        <f t="shared" si="317"/>
        <v>202503</v>
      </c>
      <c r="C1078" s="107" t="str">
        <f t="shared" ca="1" si="329"/>
        <v>v1</v>
      </c>
      <c r="D1078" s="399" t="str">
        <f t="shared" ca="1" si="330"/>
        <v>09.02.</v>
      </c>
      <c r="E1078" s="107">
        <f t="shared" si="333"/>
        <v>0</v>
      </c>
      <c r="F1078" s="108">
        <f ca="1">OFFSET('Tabla III.4.'!$H$12,H1078-1,I1078-1)</f>
        <v>0</v>
      </c>
      <c r="G1078" s="107" t="str">
        <f ca="1">OFFSET('Tabla III.4.'!$H$1,0,I1078-1)</f>
        <v>12</v>
      </c>
      <c r="H1078" s="110">
        <f t="shared" si="331"/>
        <v>4</v>
      </c>
      <c r="I1078" s="110">
        <f t="shared" si="332"/>
        <v>12</v>
      </c>
      <c r="J1078" s="110" t="str">
        <f ca="1">+'Tabla III.4.'!$C$9</f>
        <v>Tabla III.4.</v>
      </c>
      <c r="K1078" s="110" t="str">
        <f t="shared" si="328"/>
        <v>A</v>
      </c>
      <c r="L1078" s="107"/>
      <c r="M1078" s="3"/>
    </row>
    <row r="1079" spans="1:13">
      <c r="A1079" s="412" t="s">
        <v>2944</v>
      </c>
      <c r="B1079" s="412" t="str">
        <f t="shared" si="317"/>
        <v>202503</v>
      </c>
      <c r="C1079" s="412" t="s">
        <v>2945</v>
      </c>
      <c r="D1079" s="413" t="str">
        <f ca="1">OFFSET('Tabla III.4.'!$F$12,H1079-1,0)</f>
        <v>09.02.00.01</v>
      </c>
      <c r="E1079" s="412">
        <f t="shared" si="333"/>
        <v>0</v>
      </c>
      <c r="F1079" s="414">
        <f ca="1">OFFSET('Tabla III.4.'!$H$12,H1079-1,I1079-1)</f>
        <v>0</v>
      </c>
      <c r="G1079" s="412" t="str">
        <f ca="1">OFFSET('Tabla III.4.'!$H$1,0,I1079-1)</f>
        <v>01</v>
      </c>
      <c r="H1079" s="111">
        <f>+H1067+1</f>
        <v>5</v>
      </c>
      <c r="I1079" s="111">
        <v>1</v>
      </c>
      <c r="J1079" s="111" t="str">
        <f ca="1">+'Tabla III.4.'!$C$9</f>
        <v>Tabla III.4.</v>
      </c>
      <c r="K1079" s="111" t="s">
        <v>2266</v>
      </c>
      <c r="L1079" s="412">
        <f>+L1067+1</f>
        <v>5</v>
      </c>
      <c r="M1079" s="3"/>
    </row>
    <row r="1080" spans="1:13">
      <c r="A1080" s="412" t="s">
        <v>2944</v>
      </c>
      <c r="B1080" s="412" t="str">
        <f t="shared" si="317"/>
        <v>202503</v>
      </c>
      <c r="C1080" s="412" t="str">
        <f ca="1">IF(G1080="01","v2","v1")</f>
        <v>v1</v>
      </c>
      <c r="D1080" s="413" t="str">
        <f ca="1">+D1079</f>
        <v>09.02.00.01</v>
      </c>
      <c r="E1080" s="412">
        <f t="shared" si="333"/>
        <v>0</v>
      </c>
      <c r="F1080" s="414">
        <f ca="1">OFFSET('Tabla III.4.'!$H$12,H1080-1,I1080-1)</f>
        <v>0</v>
      </c>
      <c r="G1080" s="412" t="str">
        <f ca="1">OFFSET('Tabla III.4.'!$H$1,0,I1080-1)</f>
        <v>02</v>
      </c>
      <c r="H1080" s="111">
        <f>+H1079</f>
        <v>5</v>
      </c>
      <c r="I1080" s="111">
        <f>+I1079+1</f>
        <v>2</v>
      </c>
      <c r="J1080" s="111" t="str">
        <f ca="1">+'Tabla III.4.'!$C$9</f>
        <v>Tabla III.4.</v>
      </c>
      <c r="K1080" s="111" t="str">
        <f t="shared" ref="K1080:K1090" si="334">+K1079</f>
        <v>A</v>
      </c>
      <c r="L1080" s="412"/>
      <c r="M1080" s="3"/>
    </row>
    <row r="1081" spans="1:13">
      <c r="A1081" s="412" t="s">
        <v>2944</v>
      </c>
      <c r="B1081" s="412" t="str">
        <f t="shared" si="317"/>
        <v>202503</v>
      </c>
      <c r="C1081" s="412" t="str">
        <f t="shared" ref="C1081:C1090" ca="1" si="335">IF(G1081="01","v2","v1")</f>
        <v>v1</v>
      </c>
      <c r="D1081" s="413" t="str">
        <f t="shared" ref="D1081:D1090" ca="1" si="336">+D1080</f>
        <v>09.02.00.01</v>
      </c>
      <c r="E1081" s="412">
        <f t="shared" si="333"/>
        <v>0</v>
      </c>
      <c r="F1081" s="414">
        <f ca="1">OFFSET('Tabla III.4.'!$H$12,H1081-1,I1081-1)</f>
        <v>0</v>
      </c>
      <c r="G1081" s="412" t="str">
        <f ca="1">OFFSET('Tabla III.4.'!$H$1,0,I1081-1)</f>
        <v>03</v>
      </c>
      <c r="H1081" s="111">
        <f t="shared" ref="H1081:H1090" si="337">+H1080</f>
        <v>5</v>
      </c>
      <c r="I1081" s="111">
        <f t="shared" ref="I1081:I1090" si="338">+I1080+1</f>
        <v>3</v>
      </c>
      <c r="J1081" s="111" t="str">
        <f ca="1">+'Tabla III.4.'!$C$9</f>
        <v>Tabla III.4.</v>
      </c>
      <c r="K1081" s="111" t="str">
        <f t="shared" si="334"/>
        <v>A</v>
      </c>
      <c r="L1081" s="412"/>
      <c r="M1081" s="3"/>
    </row>
    <row r="1082" spans="1:13">
      <c r="A1082" s="412" t="s">
        <v>2944</v>
      </c>
      <c r="B1082" s="412" t="str">
        <f t="shared" si="317"/>
        <v>202503</v>
      </c>
      <c r="C1082" s="412" t="str">
        <f t="shared" ca="1" si="335"/>
        <v>v1</v>
      </c>
      <c r="D1082" s="413" t="str">
        <f t="shared" ca="1" si="336"/>
        <v>09.02.00.01</v>
      </c>
      <c r="E1082" s="412">
        <f t="shared" si="333"/>
        <v>0</v>
      </c>
      <c r="F1082" s="414">
        <f ca="1">OFFSET('Tabla III.4.'!$H$12,H1082-1,I1082-1)</f>
        <v>0</v>
      </c>
      <c r="G1082" s="412" t="str">
        <f ca="1">OFFSET('Tabla III.4.'!$H$1,0,I1082-1)</f>
        <v>04</v>
      </c>
      <c r="H1082" s="111">
        <f t="shared" si="337"/>
        <v>5</v>
      </c>
      <c r="I1082" s="111">
        <f t="shared" si="338"/>
        <v>4</v>
      </c>
      <c r="J1082" s="111" t="str">
        <f ca="1">+'Tabla III.4.'!$C$9</f>
        <v>Tabla III.4.</v>
      </c>
      <c r="K1082" s="111" t="str">
        <f t="shared" si="334"/>
        <v>A</v>
      </c>
      <c r="L1082" s="412"/>
      <c r="M1082" s="3"/>
    </row>
    <row r="1083" spans="1:13">
      <c r="A1083" s="412" t="s">
        <v>2944</v>
      </c>
      <c r="B1083" s="412" t="str">
        <f t="shared" si="317"/>
        <v>202503</v>
      </c>
      <c r="C1083" s="412" t="str">
        <f t="shared" ca="1" si="335"/>
        <v>v1</v>
      </c>
      <c r="D1083" s="413" t="str">
        <f t="shared" ca="1" si="336"/>
        <v>09.02.00.01</v>
      </c>
      <c r="E1083" s="412">
        <f t="shared" si="333"/>
        <v>0</v>
      </c>
      <c r="F1083" s="414">
        <f ca="1">OFFSET('Tabla III.4.'!$H$12,H1083-1,I1083-1)</f>
        <v>0</v>
      </c>
      <c r="G1083" s="412" t="str">
        <f ca="1">OFFSET('Tabla III.4.'!$H$1,0,I1083-1)</f>
        <v>05</v>
      </c>
      <c r="H1083" s="111">
        <f t="shared" si="337"/>
        <v>5</v>
      </c>
      <c r="I1083" s="111">
        <f t="shared" si="338"/>
        <v>5</v>
      </c>
      <c r="J1083" s="111" t="str">
        <f ca="1">+'Tabla III.4.'!$C$9</f>
        <v>Tabla III.4.</v>
      </c>
      <c r="K1083" s="111" t="str">
        <f t="shared" si="334"/>
        <v>A</v>
      </c>
      <c r="L1083" s="412"/>
      <c r="M1083" s="3"/>
    </row>
    <row r="1084" spans="1:13">
      <c r="A1084" s="412" t="s">
        <v>2944</v>
      </c>
      <c r="B1084" s="412" t="str">
        <f t="shared" si="317"/>
        <v>202503</v>
      </c>
      <c r="C1084" s="412" t="str">
        <f t="shared" ca="1" si="335"/>
        <v>v1</v>
      </c>
      <c r="D1084" s="413" t="str">
        <f t="shared" ca="1" si="336"/>
        <v>09.02.00.01</v>
      </c>
      <c r="E1084" s="412">
        <f t="shared" si="333"/>
        <v>0</v>
      </c>
      <c r="F1084" s="414">
        <f ca="1">OFFSET('Tabla III.4.'!$H$12,H1084-1,I1084-1)</f>
        <v>0</v>
      </c>
      <c r="G1084" s="412" t="str">
        <f ca="1">OFFSET('Tabla III.4.'!$H$1,0,I1084-1)</f>
        <v>06</v>
      </c>
      <c r="H1084" s="111">
        <f t="shared" si="337"/>
        <v>5</v>
      </c>
      <c r="I1084" s="111">
        <f t="shared" si="338"/>
        <v>6</v>
      </c>
      <c r="J1084" s="111" t="str">
        <f ca="1">+'Tabla III.4.'!$C$9</f>
        <v>Tabla III.4.</v>
      </c>
      <c r="K1084" s="111" t="str">
        <f t="shared" si="334"/>
        <v>A</v>
      </c>
      <c r="L1084" s="412"/>
      <c r="M1084" s="3"/>
    </row>
    <row r="1085" spans="1:13">
      <c r="A1085" s="412" t="s">
        <v>2944</v>
      </c>
      <c r="B1085" s="412" t="str">
        <f t="shared" si="317"/>
        <v>202503</v>
      </c>
      <c r="C1085" s="412" t="str">
        <f t="shared" ca="1" si="335"/>
        <v>v1</v>
      </c>
      <c r="D1085" s="413" t="str">
        <f t="shared" ca="1" si="336"/>
        <v>09.02.00.01</v>
      </c>
      <c r="E1085" s="412">
        <f t="shared" si="333"/>
        <v>0</v>
      </c>
      <c r="F1085" s="414">
        <f ca="1">OFFSET('Tabla III.4.'!$H$12,H1085-1,I1085-1)</f>
        <v>0</v>
      </c>
      <c r="G1085" s="412" t="str">
        <f ca="1">OFFSET('Tabla III.4.'!$H$1,0,I1085-1)</f>
        <v>07</v>
      </c>
      <c r="H1085" s="111">
        <f t="shared" si="337"/>
        <v>5</v>
      </c>
      <c r="I1085" s="111">
        <f t="shared" si="338"/>
        <v>7</v>
      </c>
      <c r="J1085" s="111" t="str">
        <f ca="1">+'Tabla III.4.'!$C$9</f>
        <v>Tabla III.4.</v>
      </c>
      <c r="K1085" s="111" t="str">
        <f t="shared" si="334"/>
        <v>A</v>
      </c>
      <c r="L1085" s="412"/>
      <c r="M1085" s="3"/>
    </row>
    <row r="1086" spans="1:13">
      <c r="A1086" s="412" t="s">
        <v>2944</v>
      </c>
      <c r="B1086" s="412" t="str">
        <f t="shared" si="317"/>
        <v>202503</v>
      </c>
      <c r="C1086" s="412" t="str">
        <f t="shared" ca="1" si="335"/>
        <v>v1</v>
      </c>
      <c r="D1086" s="413" t="str">
        <f t="shared" ca="1" si="336"/>
        <v>09.02.00.01</v>
      </c>
      <c r="E1086" s="412">
        <f t="shared" si="333"/>
        <v>0</v>
      </c>
      <c r="F1086" s="414">
        <f ca="1">OFFSET('Tabla III.4.'!$H$12,H1086-1,I1086-1)</f>
        <v>0</v>
      </c>
      <c r="G1086" s="412" t="str">
        <f ca="1">OFFSET('Tabla III.4.'!$H$1,0,I1086-1)</f>
        <v>08</v>
      </c>
      <c r="H1086" s="111">
        <f t="shared" si="337"/>
        <v>5</v>
      </c>
      <c r="I1086" s="111">
        <f t="shared" si="338"/>
        <v>8</v>
      </c>
      <c r="J1086" s="111" t="str">
        <f ca="1">+'Tabla III.4.'!$C$9</f>
        <v>Tabla III.4.</v>
      </c>
      <c r="K1086" s="111" t="str">
        <f t="shared" si="334"/>
        <v>A</v>
      </c>
      <c r="L1086" s="412"/>
      <c r="M1086" s="3"/>
    </row>
    <row r="1087" spans="1:13">
      <c r="A1087" s="412" t="s">
        <v>2944</v>
      </c>
      <c r="B1087" s="412" t="str">
        <f t="shared" si="317"/>
        <v>202503</v>
      </c>
      <c r="C1087" s="412" t="str">
        <f t="shared" ca="1" si="335"/>
        <v>v1</v>
      </c>
      <c r="D1087" s="413" t="str">
        <f t="shared" ca="1" si="336"/>
        <v>09.02.00.01</v>
      </c>
      <c r="E1087" s="412">
        <f t="shared" si="333"/>
        <v>0</v>
      </c>
      <c r="F1087" s="414">
        <f ca="1">OFFSET('Tabla III.4.'!$H$12,H1087-1,I1087-1)</f>
        <v>0</v>
      </c>
      <c r="G1087" s="412" t="str">
        <f ca="1">OFFSET('Tabla III.4.'!$H$1,0,I1087-1)</f>
        <v>09</v>
      </c>
      <c r="H1087" s="111">
        <f t="shared" si="337"/>
        <v>5</v>
      </c>
      <c r="I1087" s="111">
        <f t="shared" si="338"/>
        <v>9</v>
      </c>
      <c r="J1087" s="111" t="str">
        <f ca="1">+'Tabla III.4.'!$C$9</f>
        <v>Tabla III.4.</v>
      </c>
      <c r="K1087" s="111" t="str">
        <f t="shared" si="334"/>
        <v>A</v>
      </c>
      <c r="L1087" s="412"/>
      <c r="M1087" s="3"/>
    </row>
    <row r="1088" spans="1:13">
      <c r="A1088" s="412" t="s">
        <v>2944</v>
      </c>
      <c r="B1088" s="412" t="str">
        <f t="shared" si="317"/>
        <v>202503</v>
      </c>
      <c r="C1088" s="412" t="str">
        <f t="shared" ca="1" si="335"/>
        <v>v1</v>
      </c>
      <c r="D1088" s="413" t="str">
        <f t="shared" ca="1" si="336"/>
        <v>09.02.00.01</v>
      </c>
      <c r="E1088" s="412">
        <f t="shared" si="333"/>
        <v>0</v>
      </c>
      <c r="F1088" s="414">
        <f ca="1">OFFSET('Tabla III.4.'!$H$12,H1088-1,I1088-1)</f>
        <v>0</v>
      </c>
      <c r="G1088" s="412" t="str">
        <f ca="1">OFFSET('Tabla III.4.'!$H$1,0,I1088-1)</f>
        <v>10</v>
      </c>
      <c r="H1088" s="111">
        <f t="shared" si="337"/>
        <v>5</v>
      </c>
      <c r="I1088" s="111">
        <f t="shared" si="338"/>
        <v>10</v>
      </c>
      <c r="J1088" s="111" t="str">
        <f ca="1">+'Tabla III.4.'!$C$9</f>
        <v>Tabla III.4.</v>
      </c>
      <c r="K1088" s="111" t="str">
        <f t="shared" si="334"/>
        <v>A</v>
      </c>
      <c r="L1088" s="412"/>
      <c r="M1088" s="3"/>
    </row>
    <row r="1089" spans="1:13">
      <c r="A1089" s="412" t="s">
        <v>2944</v>
      </c>
      <c r="B1089" s="412" t="str">
        <f t="shared" si="317"/>
        <v>202503</v>
      </c>
      <c r="C1089" s="412" t="str">
        <f t="shared" ca="1" si="335"/>
        <v>v1</v>
      </c>
      <c r="D1089" s="413" t="str">
        <f t="shared" ca="1" si="336"/>
        <v>09.02.00.01</v>
      </c>
      <c r="E1089" s="412">
        <f t="shared" si="333"/>
        <v>0</v>
      </c>
      <c r="F1089" s="414">
        <f ca="1">OFFSET('Tabla III.4.'!$H$12,H1089-1,I1089-1)</f>
        <v>0</v>
      </c>
      <c r="G1089" s="412" t="str">
        <f ca="1">OFFSET('Tabla III.4.'!$H$1,0,I1089-1)</f>
        <v>11</v>
      </c>
      <c r="H1089" s="111">
        <f t="shared" si="337"/>
        <v>5</v>
      </c>
      <c r="I1089" s="111">
        <f t="shared" si="338"/>
        <v>11</v>
      </c>
      <c r="J1089" s="111" t="str">
        <f ca="1">+'Tabla III.4.'!$C$9</f>
        <v>Tabla III.4.</v>
      </c>
      <c r="K1089" s="111" t="str">
        <f t="shared" si="334"/>
        <v>A</v>
      </c>
      <c r="L1089" s="412"/>
      <c r="M1089" s="3"/>
    </row>
    <row r="1090" spans="1:13">
      <c r="A1090" s="412" t="s">
        <v>2944</v>
      </c>
      <c r="B1090" s="412" t="str">
        <f t="shared" si="317"/>
        <v>202503</v>
      </c>
      <c r="C1090" s="412" t="str">
        <f t="shared" ca="1" si="335"/>
        <v>v1</v>
      </c>
      <c r="D1090" s="413" t="str">
        <f t="shared" ca="1" si="336"/>
        <v>09.02.00.01</v>
      </c>
      <c r="E1090" s="412">
        <f t="shared" si="333"/>
        <v>0</v>
      </c>
      <c r="F1090" s="414">
        <f ca="1">OFFSET('Tabla III.4.'!$H$12,H1090-1,I1090-1)</f>
        <v>0</v>
      </c>
      <c r="G1090" s="412" t="str">
        <f ca="1">OFFSET('Tabla III.4.'!$H$1,0,I1090-1)</f>
        <v>12</v>
      </c>
      <c r="H1090" s="111">
        <f t="shared" si="337"/>
        <v>5</v>
      </c>
      <c r="I1090" s="111">
        <f t="shared" si="338"/>
        <v>12</v>
      </c>
      <c r="J1090" s="111" t="str">
        <f ca="1">+'Tabla III.4.'!$C$9</f>
        <v>Tabla III.4.</v>
      </c>
      <c r="K1090" s="111" t="str">
        <f t="shared" si="334"/>
        <v>A</v>
      </c>
      <c r="L1090" s="412"/>
      <c r="M1090" s="3"/>
    </row>
    <row r="1091" spans="1:13">
      <c r="A1091" s="107" t="s">
        <v>2944</v>
      </c>
      <c r="B1091" s="107" t="str">
        <f t="shared" si="317"/>
        <v>202503</v>
      </c>
      <c r="C1091" s="107" t="s">
        <v>2945</v>
      </c>
      <c r="D1091" s="399" t="str">
        <f ca="1">OFFSET('Tabla III.4.'!$F$12,H1091-1,0)</f>
        <v>09.02.00.02.</v>
      </c>
      <c r="E1091" s="107">
        <f t="shared" si="333"/>
        <v>0</v>
      </c>
      <c r="F1091" s="108">
        <f ca="1">OFFSET('Tabla III.4.'!$H$12,H1091-1,I1091-1)</f>
        <v>0</v>
      </c>
      <c r="G1091" s="107" t="str">
        <f ca="1">OFFSET('Tabla III.4.'!$H$1,0,I1091-1)</f>
        <v>01</v>
      </c>
      <c r="H1091" s="110">
        <f>+H1079+1</f>
        <v>6</v>
      </c>
      <c r="I1091" s="110">
        <v>1</v>
      </c>
      <c r="J1091" s="110" t="str">
        <f ca="1">+'Tabla III.4.'!$C$9</f>
        <v>Tabla III.4.</v>
      </c>
      <c r="K1091" s="110" t="s">
        <v>2266</v>
      </c>
      <c r="L1091" s="107">
        <f>+L1079+1</f>
        <v>6</v>
      </c>
      <c r="M1091" s="3"/>
    </row>
    <row r="1092" spans="1:13">
      <c r="A1092" s="107" t="s">
        <v>2944</v>
      </c>
      <c r="B1092" s="107" t="str">
        <f t="shared" si="317"/>
        <v>202503</v>
      </c>
      <c r="C1092" s="107" t="str">
        <f ca="1">IF(G1092="01","v2","v1")</f>
        <v>v1</v>
      </c>
      <c r="D1092" s="399" t="str">
        <f ca="1">+D1091</f>
        <v>09.02.00.02.</v>
      </c>
      <c r="E1092" s="107">
        <f t="shared" si="333"/>
        <v>0</v>
      </c>
      <c r="F1092" s="108">
        <f ca="1">OFFSET('Tabla III.4.'!$H$12,H1092-1,I1092-1)</f>
        <v>0</v>
      </c>
      <c r="G1092" s="107" t="str">
        <f ca="1">OFFSET('Tabla III.4.'!$H$1,0,I1092-1)</f>
        <v>02</v>
      </c>
      <c r="H1092" s="110">
        <f>+H1091</f>
        <v>6</v>
      </c>
      <c r="I1092" s="110">
        <f>+I1091+1</f>
        <v>2</v>
      </c>
      <c r="J1092" s="110" t="str">
        <f ca="1">+'Tabla III.4.'!$C$9</f>
        <v>Tabla III.4.</v>
      </c>
      <c r="K1092" s="110" t="str">
        <f t="shared" ref="K1092:K1102" si="339">+K1091</f>
        <v>A</v>
      </c>
      <c r="L1092" s="107"/>
      <c r="M1092" s="3"/>
    </row>
    <row r="1093" spans="1:13">
      <c r="A1093" s="107" t="s">
        <v>2944</v>
      </c>
      <c r="B1093" s="107" t="str">
        <f t="shared" si="317"/>
        <v>202503</v>
      </c>
      <c r="C1093" s="107" t="str">
        <f t="shared" ref="C1093:C1102" ca="1" si="340">IF(G1093="01","v2","v1")</f>
        <v>v1</v>
      </c>
      <c r="D1093" s="399" t="str">
        <f t="shared" ref="D1093:D1102" ca="1" si="341">+D1092</f>
        <v>09.02.00.02.</v>
      </c>
      <c r="E1093" s="107">
        <f t="shared" si="333"/>
        <v>0</v>
      </c>
      <c r="F1093" s="108">
        <f ca="1">OFFSET('Tabla III.4.'!$H$12,H1093-1,I1093-1)</f>
        <v>0</v>
      </c>
      <c r="G1093" s="107" t="str">
        <f ca="1">OFFSET('Tabla III.4.'!$H$1,0,I1093-1)</f>
        <v>03</v>
      </c>
      <c r="H1093" s="110">
        <f t="shared" ref="H1093:H1102" si="342">+H1092</f>
        <v>6</v>
      </c>
      <c r="I1093" s="110">
        <f t="shared" ref="I1093:I1102" si="343">+I1092+1</f>
        <v>3</v>
      </c>
      <c r="J1093" s="110" t="str">
        <f ca="1">+'Tabla III.4.'!$C$9</f>
        <v>Tabla III.4.</v>
      </c>
      <c r="K1093" s="110" t="str">
        <f t="shared" si="339"/>
        <v>A</v>
      </c>
      <c r="L1093" s="107"/>
      <c r="M1093" s="3"/>
    </row>
    <row r="1094" spans="1:13">
      <c r="A1094" s="107" t="s">
        <v>2944</v>
      </c>
      <c r="B1094" s="107" t="str">
        <f t="shared" si="317"/>
        <v>202503</v>
      </c>
      <c r="C1094" s="107" t="str">
        <f t="shared" ca="1" si="340"/>
        <v>v1</v>
      </c>
      <c r="D1094" s="399" t="str">
        <f t="shared" ca="1" si="341"/>
        <v>09.02.00.02.</v>
      </c>
      <c r="E1094" s="107">
        <f t="shared" si="333"/>
        <v>0</v>
      </c>
      <c r="F1094" s="108">
        <f ca="1">OFFSET('Tabla III.4.'!$H$12,H1094-1,I1094-1)</f>
        <v>0</v>
      </c>
      <c r="G1094" s="107" t="str">
        <f ca="1">OFFSET('Tabla III.4.'!$H$1,0,I1094-1)</f>
        <v>04</v>
      </c>
      <c r="H1094" s="110">
        <f t="shared" si="342"/>
        <v>6</v>
      </c>
      <c r="I1094" s="110">
        <f t="shared" si="343"/>
        <v>4</v>
      </c>
      <c r="J1094" s="110" t="str">
        <f ca="1">+'Tabla III.4.'!$C$9</f>
        <v>Tabla III.4.</v>
      </c>
      <c r="K1094" s="110" t="str">
        <f t="shared" si="339"/>
        <v>A</v>
      </c>
      <c r="L1094" s="107"/>
      <c r="M1094" s="3"/>
    </row>
    <row r="1095" spans="1:13">
      <c r="A1095" s="107" t="s">
        <v>2944</v>
      </c>
      <c r="B1095" s="107" t="str">
        <f t="shared" si="317"/>
        <v>202503</v>
      </c>
      <c r="C1095" s="107" t="str">
        <f t="shared" ca="1" si="340"/>
        <v>v1</v>
      </c>
      <c r="D1095" s="399" t="str">
        <f t="shared" ca="1" si="341"/>
        <v>09.02.00.02.</v>
      </c>
      <c r="E1095" s="107">
        <f t="shared" si="333"/>
        <v>0</v>
      </c>
      <c r="F1095" s="108">
        <f ca="1">OFFSET('Tabla III.4.'!$H$12,H1095-1,I1095-1)</f>
        <v>0</v>
      </c>
      <c r="G1095" s="107" t="str">
        <f ca="1">OFFSET('Tabla III.4.'!$H$1,0,I1095-1)</f>
        <v>05</v>
      </c>
      <c r="H1095" s="110">
        <f t="shared" si="342"/>
        <v>6</v>
      </c>
      <c r="I1095" s="110">
        <f t="shared" si="343"/>
        <v>5</v>
      </c>
      <c r="J1095" s="110" t="str">
        <f ca="1">+'Tabla III.4.'!$C$9</f>
        <v>Tabla III.4.</v>
      </c>
      <c r="K1095" s="110" t="str">
        <f t="shared" si="339"/>
        <v>A</v>
      </c>
      <c r="L1095" s="107"/>
      <c r="M1095" s="3"/>
    </row>
    <row r="1096" spans="1:13">
      <c r="A1096" s="107" t="s">
        <v>2944</v>
      </c>
      <c r="B1096" s="107" t="str">
        <f t="shared" si="317"/>
        <v>202503</v>
      </c>
      <c r="C1096" s="107" t="str">
        <f t="shared" ca="1" si="340"/>
        <v>v1</v>
      </c>
      <c r="D1096" s="399" t="str">
        <f t="shared" ca="1" si="341"/>
        <v>09.02.00.02.</v>
      </c>
      <c r="E1096" s="107">
        <f t="shared" si="333"/>
        <v>0</v>
      </c>
      <c r="F1096" s="108">
        <f ca="1">OFFSET('Tabla III.4.'!$H$12,H1096-1,I1096-1)</f>
        <v>0</v>
      </c>
      <c r="G1096" s="107" t="str">
        <f ca="1">OFFSET('Tabla III.4.'!$H$1,0,I1096-1)</f>
        <v>06</v>
      </c>
      <c r="H1096" s="110">
        <f t="shared" si="342"/>
        <v>6</v>
      </c>
      <c r="I1096" s="110">
        <f t="shared" si="343"/>
        <v>6</v>
      </c>
      <c r="J1096" s="110" t="str">
        <f ca="1">+'Tabla III.4.'!$C$9</f>
        <v>Tabla III.4.</v>
      </c>
      <c r="K1096" s="110" t="str">
        <f t="shared" si="339"/>
        <v>A</v>
      </c>
      <c r="L1096" s="107"/>
      <c r="M1096" s="3"/>
    </row>
    <row r="1097" spans="1:13">
      <c r="A1097" s="107" t="s">
        <v>2944</v>
      </c>
      <c r="B1097" s="107" t="str">
        <f t="shared" si="317"/>
        <v>202503</v>
      </c>
      <c r="C1097" s="107" t="str">
        <f t="shared" ca="1" si="340"/>
        <v>v1</v>
      </c>
      <c r="D1097" s="399" t="str">
        <f t="shared" ca="1" si="341"/>
        <v>09.02.00.02.</v>
      </c>
      <c r="E1097" s="107">
        <f t="shared" si="333"/>
        <v>0</v>
      </c>
      <c r="F1097" s="108">
        <f ca="1">OFFSET('Tabla III.4.'!$H$12,H1097-1,I1097-1)</f>
        <v>0</v>
      </c>
      <c r="G1097" s="107" t="str">
        <f ca="1">OFFSET('Tabla III.4.'!$H$1,0,I1097-1)</f>
        <v>07</v>
      </c>
      <c r="H1097" s="110">
        <f t="shared" si="342"/>
        <v>6</v>
      </c>
      <c r="I1097" s="110">
        <f t="shared" si="343"/>
        <v>7</v>
      </c>
      <c r="J1097" s="110" t="str">
        <f ca="1">+'Tabla III.4.'!$C$9</f>
        <v>Tabla III.4.</v>
      </c>
      <c r="K1097" s="110" t="str">
        <f t="shared" si="339"/>
        <v>A</v>
      </c>
      <c r="L1097" s="107"/>
      <c r="M1097" s="3"/>
    </row>
    <row r="1098" spans="1:13">
      <c r="A1098" s="107" t="s">
        <v>2944</v>
      </c>
      <c r="B1098" s="107" t="str">
        <f t="shared" si="317"/>
        <v>202503</v>
      </c>
      <c r="C1098" s="107" t="str">
        <f t="shared" ca="1" si="340"/>
        <v>v1</v>
      </c>
      <c r="D1098" s="399" t="str">
        <f t="shared" ca="1" si="341"/>
        <v>09.02.00.02.</v>
      </c>
      <c r="E1098" s="107">
        <f t="shared" si="333"/>
        <v>0</v>
      </c>
      <c r="F1098" s="108">
        <f ca="1">OFFSET('Tabla III.4.'!$H$12,H1098-1,I1098-1)</f>
        <v>0</v>
      </c>
      <c r="G1098" s="107" t="str">
        <f ca="1">OFFSET('Tabla III.4.'!$H$1,0,I1098-1)</f>
        <v>08</v>
      </c>
      <c r="H1098" s="110">
        <f t="shared" si="342"/>
        <v>6</v>
      </c>
      <c r="I1098" s="110">
        <f t="shared" si="343"/>
        <v>8</v>
      </c>
      <c r="J1098" s="110" t="str">
        <f ca="1">+'Tabla III.4.'!$C$9</f>
        <v>Tabla III.4.</v>
      </c>
      <c r="K1098" s="110" t="str">
        <f t="shared" si="339"/>
        <v>A</v>
      </c>
      <c r="L1098" s="107"/>
      <c r="M1098" s="3"/>
    </row>
    <row r="1099" spans="1:13">
      <c r="A1099" s="107" t="s">
        <v>2944</v>
      </c>
      <c r="B1099" s="107" t="str">
        <f t="shared" si="317"/>
        <v>202503</v>
      </c>
      <c r="C1099" s="107" t="str">
        <f t="shared" ca="1" si="340"/>
        <v>v1</v>
      </c>
      <c r="D1099" s="399" t="str">
        <f t="shared" ca="1" si="341"/>
        <v>09.02.00.02.</v>
      </c>
      <c r="E1099" s="107">
        <f t="shared" si="333"/>
        <v>0</v>
      </c>
      <c r="F1099" s="108">
        <f ca="1">OFFSET('Tabla III.4.'!$H$12,H1099-1,I1099-1)</f>
        <v>0</v>
      </c>
      <c r="G1099" s="107" t="str">
        <f ca="1">OFFSET('Tabla III.4.'!$H$1,0,I1099-1)</f>
        <v>09</v>
      </c>
      <c r="H1099" s="110">
        <f t="shared" si="342"/>
        <v>6</v>
      </c>
      <c r="I1099" s="110">
        <f t="shared" si="343"/>
        <v>9</v>
      </c>
      <c r="J1099" s="110" t="str">
        <f ca="1">+'Tabla III.4.'!$C$9</f>
        <v>Tabla III.4.</v>
      </c>
      <c r="K1099" s="110" t="str">
        <f t="shared" si="339"/>
        <v>A</v>
      </c>
      <c r="L1099" s="107"/>
      <c r="M1099" s="3"/>
    </row>
    <row r="1100" spans="1:13">
      <c r="A1100" s="107" t="s">
        <v>2944</v>
      </c>
      <c r="B1100" s="107" t="str">
        <f t="shared" si="317"/>
        <v>202503</v>
      </c>
      <c r="C1100" s="107" t="str">
        <f t="shared" ca="1" si="340"/>
        <v>v1</v>
      </c>
      <c r="D1100" s="399" t="str">
        <f t="shared" ca="1" si="341"/>
        <v>09.02.00.02.</v>
      </c>
      <c r="E1100" s="107">
        <f t="shared" si="333"/>
        <v>0</v>
      </c>
      <c r="F1100" s="108">
        <f ca="1">OFFSET('Tabla III.4.'!$H$12,H1100-1,I1100-1)</f>
        <v>0</v>
      </c>
      <c r="G1100" s="107" t="str">
        <f ca="1">OFFSET('Tabla III.4.'!$H$1,0,I1100-1)</f>
        <v>10</v>
      </c>
      <c r="H1100" s="110">
        <f t="shared" si="342"/>
        <v>6</v>
      </c>
      <c r="I1100" s="110">
        <f t="shared" si="343"/>
        <v>10</v>
      </c>
      <c r="J1100" s="110" t="str">
        <f ca="1">+'Tabla III.4.'!$C$9</f>
        <v>Tabla III.4.</v>
      </c>
      <c r="K1100" s="110" t="str">
        <f t="shared" si="339"/>
        <v>A</v>
      </c>
      <c r="L1100" s="107"/>
      <c r="M1100" s="3"/>
    </row>
    <row r="1101" spans="1:13">
      <c r="A1101" s="107" t="s">
        <v>2944</v>
      </c>
      <c r="B1101" s="107" t="str">
        <f t="shared" si="317"/>
        <v>202503</v>
      </c>
      <c r="C1101" s="107" t="str">
        <f t="shared" ca="1" si="340"/>
        <v>v1</v>
      </c>
      <c r="D1101" s="399" t="str">
        <f t="shared" ca="1" si="341"/>
        <v>09.02.00.02.</v>
      </c>
      <c r="E1101" s="107">
        <f t="shared" si="333"/>
        <v>0</v>
      </c>
      <c r="F1101" s="108">
        <f ca="1">OFFSET('Tabla III.4.'!$H$12,H1101-1,I1101-1)</f>
        <v>0</v>
      </c>
      <c r="G1101" s="107" t="str">
        <f ca="1">OFFSET('Tabla III.4.'!$H$1,0,I1101-1)</f>
        <v>11</v>
      </c>
      <c r="H1101" s="110">
        <f t="shared" si="342"/>
        <v>6</v>
      </c>
      <c r="I1101" s="110">
        <f t="shared" si="343"/>
        <v>11</v>
      </c>
      <c r="J1101" s="110" t="str">
        <f ca="1">+'Tabla III.4.'!$C$9</f>
        <v>Tabla III.4.</v>
      </c>
      <c r="K1101" s="110" t="str">
        <f t="shared" si="339"/>
        <v>A</v>
      </c>
      <c r="L1101" s="107"/>
      <c r="M1101" s="3"/>
    </row>
    <row r="1102" spans="1:13">
      <c r="A1102" s="107" t="s">
        <v>2944</v>
      </c>
      <c r="B1102" s="107" t="str">
        <f t="shared" si="317"/>
        <v>202503</v>
      </c>
      <c r="C1102" s="107" t="str">
        <f t="shared" ca="1" si="340"/>
        <v>v1</v>
      </c>
      <c r="D1102" s="399" t="str">
        <f t="shared" ca="1" si="341"/>
        <v>09.02.00.02.</v>
      </c>
      <c r="E1102" s="107">
        <f t="shared" si="333"/>
        <v>0</v>
      </c>
      <c r="F1102" s="108">
        <f ca="1">OFFSET('Tabla III.4.'!$H$12,H1102-1,I1102-1)</f>
        <v>0</v>
      </c>
      <c r="G1102" s="107" t="str">
        <f ca="1">OFFSET('Tabla III.4.'!$H$1,0,I1102-1)</f>
        <v>12</v>
      </c>
      <c r="H1102" s="110">
        <f t="shared" si="342"/>
        <v>6</v>
      </c>
      <c r="I1102" s="110">
        <f t="shared" si="343"/>
        <v>12</v>
      </c>
      <c r="J1102" s="110" t="str">
        <f ca="1">+'Tabla III.4.'!$C$9</f>
        <v>Tabla III.4.</v>
      </c>
      <c r="K1102" s="110" t="str">
        <f t="shared" si="339"/>
        <v>A</v>
      </c>
      <c r="L1102" s="107"/>
      <c r="M1102" s="3"/>
    </row>
    <row r="1103" spans="1:13">
      <c r="A1103" s="412" t="s">
        <v>2944</v>
      </c>
      <c r="B1103" s="412" t="str">
        <f t="shared" si="317"/>
        <v>202503</v>
      </c>
      <c r="C1103" s="412" t="s">
        <v>2945</v>
      </c>
      <c r="D1103" s="413" t="str">
        <f ca="1">OFFSET('Tabla III.4.'!$F$12,H1103-1,0)</f>
        <v>09.03.</v>
      </c>
      <c r="E1103" s="412">
        <f t="shared" si="333"/>
        <v>0</v>
      </c>
      <c r="F1103" s="414">
        <f ca="1">OFFSET('Tabla III.4.'!$H$12,H1103-1,I1103-1)</f>
        <v>0</v>
      </c>
      <c r="G1103" s="412" t="str">
        <f ca="1">OFFSET('Tabla III.4.'!$H$1,0,I1103-1)</f>
        <v>01</v>
      </c>
      <c r="H1103" s="111">
        <f>+H1091+1</f>
        <v>7</v>
      </c>
      <c r="I1103" s="111">
        <v>1</v>
      </c>
      <c r="J1103" s="111" t="str">
        <f ca="1">+'Tabla III.4.'!$C$9</f>
        <v>Tabla III.4.</v>
      </c>
      <c r="K1103" s="111" t="s">
        <v>2266</v>
      </c>
      <c r="L1103" s="412">
        <f>+L1091+1</f>
        <v>7</v>
      </c>
      <c r="M1103" s="3"/>
    </row>
    <row r="1104" spans="1:13">
      <c r="A1104" s="412" t="s">
        <v>2944</v>
      </c>
      <c r="B1104" s="412" t="str">
        <f t="shared" si="317"/>
        <v>202503</v>
      </c>
      <c r="C1104" s="412" t="str">
        <f ca="1">IF(G1104="01","v2","v1")</f>
        <v>v1</v>
      </c>
      <c r="D1104" s="413" t="str">
        <f ca="1">+D1103</f>
        <v>09.03.</v>
      </c>
      <c r="E1104" s="412">
        <f t="shared" si="333"/>
        <v>0</v>
      </c>
      <c r="F1104" s="414">
        <f ca="1">OFFSET('Tabla III.4.'!$H$12,H1104-1,I1104-1)</f>
        <v>0</v>
      </c>
      <c r="G1104" s="412" t="str">
        <f ca="1">OFFSET('Tabla III.4.'!$H$1,0,I1104-1)</f>
        <v>02</v>
      </c>
      <c r="H1104" s="111">
        <f>+H1103</f>
        <v>7</v>
      </c>
      <c r="I1104" s="111">
        <f>+I1103+1</f>
        <v>2</v>
      </c>
      <c r="J1104" s="111" t="str">
        <f ca="1">+'Tabla III.4.'!$C$9</f>
        <v>Tabla III.4.</v>
      </c>
      <c r="K1104" s="111" t="str">
        <f t="shared" ref="K1104:K1114" si="344">+K1103</f>
        <v>A</v>
      </c>
      <c r="L1104" s="412"/>
      <c r="M1104" s="3"/>
    </row>
    <row r="1105" spans="1:13">
      <c r="A1105" s="412" t="s">
        <v>2944</v>
      </c>
      <c r="B1105" s="412" t="str">
        <f t="shared" si="317"/>
        <v>202503</v>
      </c>
      <c r="C1105" s="412" t="str">
        <f t="shared" ref="C1105:C1114" ca="1" si="345">IF(G1105="01","v2","v1")</f>
        <v>v1</v>
      </c>
      <c r="D1105" s="413" t="str">
        <f t="shared" ref="D1105:D1114" ca="1" si="346">+D1104</f>
        <v>09.03.</v>
      </c>
      <c r="E1105" s="412">
        <f t="shared" si="333"/>
        <v>0</v>
      </c>
      <c r="F1105" s="414">
        <f ca="1">OFFSET('Tabla III.4.'!$H$12,H1105-1,I1105-1)</f>
        <v>0</v>
      </c>
      <c r="G1105" s="412" t="str">
        <f ca="1">OFFSET('Tabla III.4.'!$H$1,0,I1105-1)</f>
        <v>03</v>
      </c>
      <c r="H1105" s="111">
        <f t="shared" ref="H1105:H1114" si="347">+H1104</f>
        <v>7</v>
      </c>
      <c r="I1105" s="111">
        <f t="shared" ref="I1105:I1114" si="348">+I1104+1</f>
        <v>3</v>
      </c>
      <c r="J1105" s="111" t="str">
        <f ca="1">+'Tabla III.4.'!$C$9</f>
        <v>Tabla III.4.</v>
      </c>
      <c r="K1105" s="111" t="str">
        <f t="shared" si="344"/>
        <v>A</v>
      </c>
      <c r="L1105" s="412"/>
      <c r="M1105" s="3"/>
    </row>
    <row r="1106" spans="1:13">
      <c r="A1106" s="412" t="s">
        <v>2944</v>
      </c>
      <c r="B1106" s="412" t="str">
        <f t="shared" si="317"/>
        <v>202503</v>
      </c>
      <c r="C1106" s="412" t="str">
        <f t="shared" ca="1" si="345"/>
        <v>v1</v>
      </c>
      <c r="D1106" s="413" t="str">
        <f t="shared" ca="1" si="346"/>
        <v>09.03.</v>
      </c>
      <c r="E1106" s="412">
        <f t="shared" si="333"/>
        <v>0</v>
      </c>
      <c r="F1106" s="414">
        <f ca="1">OFFSET('Tabla III.4.'!$H$12,H1106-1,I1106-1)</f>
        <v>0</v>
      </c>
      <c r="G1106" s="412" t="str">
        <f ca="1">OFFSET('Tabla III.4.'!$H$1,0,I1106-1)</f>
        <v>04</v>
      </c>
      <c r="H1106" s="111">
        <f t="shared" si="347"/>
        <v>7</v>
      </c>
      <c r="I1106" s="111">
        <f t="shared" si="348"/>
        <v>4</v>
      </c>
      <c r="J1106" s="111" t="str">
        <f ca="1">+'Tabla III.4.'!$C$9</f>
        <v>Tabla III.4.</v>
      </c>
      <c r="K1106" s="111" t="str">
        <f t="shared" si="344"/>
        <v>A</v>
      </c>
      <c r="L1106" s="412"/>
      <c r="M1106" s="3"/>
    </row>
    <row r="1107" spans="1:13">
      <c r="A1107" s="412" t="s">
        <v>2944</v>
      </c>
      <c r="B1107" s="412" t="str">
        <f t="shared" ref="B1107:B1170" si="349">PERIODO</f>
        <v>202503</v>
      </c>
      <c r="C1107" s="412" t="str">
        <f t="shared" ca="1" si="345"/>
        <v>v1</v>
      </c>
      <c r="D1107" s="413" t="str">
        <f t="shared" ca="1" si="346"/>
        <v>09.03.</v>
      </c>
      <c r="E1107" s="412">
        <f t="shared" si="333"/>
        <v>0</v>
      </c>
      <c r="F1107" s="414">
        <f ca="1">OFFSET('Tabla III.4.'!$H$12,H1107-1,I1107-1)</f>
        <v>0</v>
      </c>
      <c r="G1107" s="412" t="str">
        <f ca="1">OFFSET('Tabla III.4.'!$H$1,0,I1107-1)</f>
        <v>05</v>
      </c>
      <c r="H1107" s="111">
        <f t="shared" si="347"/>
        <v>7</v>
      </c>
      <c r="I1107" s="111">
        <f t="shared" si="348"/>
        <v>5</v>
      </c>
      <c r="J1107" s="111" t="str">
        <f ca="1">+'Tabla III.4.'!$C$9</f>
        <v>Tabla III.4.</v>
      </c>
      <c r="K1107" s="111" t="str">
        <f t="shared" si="344"/>
        <v>A</v>
      </c>
      <c r="L1107" s="412"/>
      <c r="M1107" s="3"/>
    </row>
    <row r="1108" spans="1:13">
      <c r="A1108" s="412" t="s">
        <v>2944</v>
      </c>
      <c r="B1108" s="412" t="str">
        <f t="shared" si="349"/>
        <v>202503</v>
      </c>
      <c r="C1108" s="412" t="str">
        <f t="shared" ca="1" si="345"/>
        <v>v1</v>
      </c>
      <c r="D1108" s="413" t="str">
        <f t="shared" ca="1" si="346"/>
        <v>09.03.</v>
      </c>
      <c r="E1108" s="412">
        <f t="shared" si="333"/>
        <v>0</v>
      </c>
      <c r="F1108" s="414">
        <f ca="1">OFFSET('Tabla III.4.'!$H$12,H1108-1,I1108-1)</f>
        <v>0</v>
      </c>
      <c r="G1108" s="412" t="str">
        <f ca="1">OFFSET('Tabla III.4.'!$H$1,0,I1108-1)</f>
        <v>06</v>
      </c>
      <c r="H1108" s="111">
        <f t="shared" si="347"/>
        <v>7</v>
      </c>
      <c r="I1108" s="111">
        <f t="shared" si="348"/>
        <v>6</v>
      </c>
      <c r="J1108" s="111" t="str">
        <f ca="1">+'Tabla III.4.'!$C$9</f>
        <v>Tabla III.4.</v>
      </c>
      <c r="K1108" s="111" t="str">
        <f t="shared" si="344"/>
        <v>A</v>
      </c>
      <c r="L1108" s="412"/>
      <c r="M1108" s="3"/>
    </row>
    <row r="1109" spans="1:13">
      <c r="A1109" s="412" t="s">
        <v>2944</v>
      </c>
      <c r="B1109" s="412" t="str">
        <f t="shared" si="349"/>
        <v>202503</v>
      </c>
      <c r="C1109" s="412" t="str">
        <f t="shared" ca="1" si="345"/>
        <v>v1</v>
      </c>
      <c r="D1109" s="413" t="str">
        <f t="shared" ca="1" si="346"/>
        <v>09.03.</v>
      </c>
      <c r="E1109" s="412">
        <f t="shared" si="333"/>
        <v>0</v>
      </c>
      <c r="F1109" s="414">
        <f ca="1">OFFSET('Tabla III.4.'!$H$12,H1109-1,I1109-1)</f>
        <v>0</v>
      </c>
      <c r="G1109" s="412" t="str">
        <f ca="1">OFFSET('Tabla III.4.'!$H$1,0,I1109-1)</f>
        <v>07</v>
      </c>
      <c r="H1109" s="111">
        <f t="shared" si="347"/>
        <v>7</v>
      </c>
      <c r="I1109" s="111">
        <f t="shared" si="348"/>
        <v>7</v>
      </c>
      <c r="J1109" s="111" t="str">
        <f ca="1">+'Tabla III.4.'!$C$9</f>
        <v>Tabla III.4.</v>
      </c>
      <c r="K1109" s="111" t="str">
        <f t="shared" si="344"/>
        <v>A</v>
      </c>
      <c r="L1109" s="412"/>
      <c r="M1109" s="3"/>
    </row>
    <row r="1110" spans="1:13">
      <c r="A1110" s="412" t="s">
        <v>2944</v>
      </c>
      <c r="B1110" s="412" t="str">
        <f t="shared" si="349"/>
        <v>202503</v>
      </c>
      <c r="C1110" s="412" t="str">
        <f t="shared" ca="1" si="345"/>
        <v>v1</v>
      </c>
      <c r="D1110" s="413" t="str">
        <f t="shared" ca="1" si="346"/>
        <v>09.03.</v>
      </c>
      <c r="E1110" s="412">
        <f t="shared" si="333"/>
        <v>0</v>
      </c>
      <c r="F1110" s="414">
        <f ca="1">OFFSET('Tabla III.4.'!$H$12,H1110-1,I1110-1)</f>
        <v>0</v>
      </c>
      <c r="G1110" s="412" t="str">
        <f ca="1">OFFSET('Tabla III.4.'!$H$1,0,I1110-1)</f>
        <v>08</v>
      </c>
      <c r="H1110" s="111">
        <f t="shared" si="347"/>
        <v>7</v>
      </c>
      <c r="I1110" s="111">
        <f t="shared" si="348"/>
        <v>8</v>
      </c>
      <c r="J1110" s="111" t="str">
        <f ca="1">+'Tabla III.4.'!$C$9</f>
        <v>Tabla III.4.</v>
      </c>
      <c r="K1110" s="111" t="str">
        <f t="shared" si="344"/>
        <v>A</v>
      </c>
      <c r="L1110" s="412"/>
      <c r="M1110" s="3"/>
    </row>
    <row r="1111" spans="1:13">
      <c r="A1111" s="412" t="s">
        <v>2944</v>
      </c>
      <c r="B1111" s="412" t="str">
        <f t="shared" si="349"/>
        <v>202503</v>
      </c>
      <c r="C1111" s="412" t="str">
        <f t="shared" ca="1" si="345"/>
        <v>v1</v>
      </c>
      <c r="D1111" s="413" t="str">
        <f t="shared" ca="1" si="346"/>
        <v>09.03.</v>
      </c>
      <c r="E1111" s="412">
        <f t="shared" si="333"/>
        <v>0</v>
      </c>
      <c r="F1111" s="414">
        <f ca="1">OFFSET('Tabla III.4.'!$H$12,H1111-1,I1111-1)</f>
        <v>0</v>
      </c>
      <c r="G1111" s="412" t="str">
        <f ca="1">OFFSET('Tabla III.4.'!$H$1,0,I1111-1)</f>
        <v>09</v>
      </c>
      <c r="H1111" s="111">
        <f t="shared" si="347"/>
        <v>7</v>
      </c>
      <c r="I1111" s="111">
        <f t="shared" si="348"/>
        <v>9</v>
      </c>
      <c r="J1111" s="111" t="str">
        <f ca="1">+'Tabla III.4.'!$C$9</f>
        <v>Tabla III.4.</v>
      </c>
      <c r="K1111" s="111" t="str">
        <f t="shared" si="344"/>
        <v>A</v>
      </c>
      <c r="L1111" s="412"/>
      <c r="M1111" s="3"/>
    </row>
    <row r="1112" spans="1:13">
      <c r="A1112" s="412" t="s">
        <v>2944</v>
      </c>
      <c r="B1112" s="412" t="str">
        <f t="shared" si="349"/>
        <v>202503</v>
      </c>
      <c r="C1112" s="412" t="str">
        <f t="shared" ca="1" si="345"/>
        <v>v1</v>
      </c>
      <c r="D1112" s="413" t="str">
        <f t="shared" ca="1" si="346"/>
        <v>09.03.</v>
      </c>
      <c r="E1112" s="412">
        <f t="shared" si="333"/>
        <v>0</v>
      </c>
      <c r="F1112" s="414">
        <f ca="1">OFFSET('Tabla III.4.'!$H$12,H1112-1,I1112-1)</f>
        <v>0</v>
      </c>
      <c r="G1112" s="412" t="str">
        <f ca="1">OFFSET('Tabla III.4.'!$H$1,0,I1112-1)</f>
        <v>10</v>
      </c>
      <c r="H1112" s="111">
        <f t="shared" si="347"/>
        <v>7</v>
      </c>
      <c r="I1112" s="111">
        <f t="shared" si="348"/>
        <v>10</v>
      </c>
      <c r="J1112" s="111" t="str">
        <f ca="1">+'Tabla III.4.'!$C$9</f>
        <v>Tabla III.4.</v>
      </c>
      <c r="K1112" s="111" t="str">
        <f t="shared" si="344"/>
        <v>A</v>
      </c>
      <c r="L1112" s="412"/>
      <c r="M1112" s="3"/>
    </row>
    <row r="1113" spans="1:13">
      <c r="A1113" s="412" t="s">
        <v>2944</v>
      </c>
      <c r="B1113" s="412" t="str">
        <f t="shared" si="349"/>
        <v>202503</v>
      </c>
      <c r="C1113" s="412" t="str">
        <f t="shared" ca="1" si="345"/>
        <v>v1</v>
      </c>
      <c r="D1113" s="413" t="str">
        <f t="shared" ca="1" si="346"/>
        <v>09.03.</v>
      </c>
      <c r="E1113" s="412">
        <f t="shared" si="333"/>
        <v>0</v>
      </c>
      <c r="F1113" s="414">
        <f ca="1">OFFSET('Tabla III.4.'!$H$12,H1113-1,I1113-1)</f>
        <v>0</v>
      </c>
      <c r="G1113" s="412" t="str">
        <f ca="1">OFFSET('Tabla III.4.'!$H$1,0,I1113-1)</f>
        <v>11</v>
      </c>
      <c r="H1113" s="111">
        <f t="shared" si="347"/>
        <v>7</v>
      </c>
      <c r="I1113" s="111">
        <f t="shared" si="348"/>
        <v>11</v>
      </c>
      <c r="J1113" s="111" t="str">
        <f ca="1">+'Tabla III.4.'!$C$9</f>
        <v>Tabla III.4.</v>
      </c>
      <c r="K1113" s="111" t="str">
        <f t="shared" si="344"/>
        <v>A</v>
      </c>
      <c r="L1113" s="412"/>
      <c r="M1113" s="3"/>
    </row>
    <row r="1114" spans="1:13">
      <c r="A1114" s="412" t="s">
        <v>2944</v>
      </c>
      <c r="B1114" s="412" t="str">
        <f t="shared" si="349"/>
        <v>202503</v>
      </c>
      <c r="C1114" s="412" t="str">
        <f t="shared" ca="1" si="345"/>
        <v>v1</v>
      </c>
      <c r="D1114" s="413" t="str">
        <f t="shared" ca="1" si="346"/>
        <v>09.03.</v>
      </c>
      <c r="E1114" s="412">
        <f t="shared" si="333"/>
        <v>0</v>
      </c>
      <c r="F1114" s="414">
        <f ca="1">OFFSET('Tabla III.4.'!$H$12,H1114-1,I1114-1)</f>
        <v>0</v>
      </c>
      <c r="G1114" s="412" t="str">
        <f ca="1">OFFSET('Tabla III.4.'!$H$1,0,I1114-1)</f>
        <v>12</v>
      </c>
      <c r="H1114" s="111">
        <f t="shared" si="347"/>
        <v>7</v>
      </c>
      <c r="I1114" s="111">
        <f t="shared" si="348"/>
        <v>12</v>
      </c>
      <c r="J1114" s="111" t="str">
        <f ca="1">+'Tabla III.4.'!$C$9</f>
        <v>Tabla III.4.</v>
      </c>
      <c r="K1114" s="111" t="str">
        <f t="shared" si="344"/>
        <v>A</v>
      </c>
      <c r="L1114" s="412"/>
      <c r="M1114" s="3"/>
    </row>
    <row r="1115" spans="1:13">
      <c r="A1115" s="107" t="s">
        <v>2944</v>
      </c>
      <c r="B1115" s="107" t="str">
        <f t="shared" si="349"/>
        <v>202503</v>
      </c>
      <c r="C1115" s="107" t="s">
        <v>2945</v>
      </c>
      <c r="D1115" s="399" t="str">
        <f ca="1">OFFSET('Tabla III.4.'!$F$12,H1115-1,0)</f>
        <v>09.03.00.01</v>
      </c>
      <c r="E1115" s="107">
        <f t="shared" si="333"/>
        <v>0</v>
      </c>
      <c r="F1115" s="108">
        <f ca="1">OFFSET('Tabla III.4.'!$H$12,H1115-1,I1115-1)</f>
        <v>0</v>
      </c>
      <c r="G1115" s="107" t="str">
        <f ca="1">OFFSET('Tabla III.4.'!$H$1,0,I1115-1)</f>
        <v>01</v>
      </c>
      <c r="H1115" s="110">
        <f>+H1103+1</f>
        <v>8</v>
      </c>
      <c r="I1115" s="110">
        <v>1</v>
      </c>
      <c r="J1115" s="110" t="str">
        <f ca="1">+'Tabla III.4.'!$C$9</f>
        <v>Tabla III.4.</v>
      </c>
      <c r="K1115" s="110" t="s">
        <v>2266</v>
      </c>
      <c r="L1115" s="107">
        <f>+L1103+1</f>
        <v>8</v>
      </c>
      <c r="M1115" s="3"/>
    </row>
    <row r="1116" spans="1:13">
      <c r="A1116" s="107" t="s">
        <v>2944</v>
      </c>
      <c r="B1116" s="107" t="str">
        <f t="shared" si="349"/>
        <v>202503</v>
      </c>
      <c r="C1116" s="107" t="str">
        <f ca="1">IF(G1116="01","v2","v1")</f>
        <v>v1</v>
      </c>
      <c r="D1116" s="399" t="str">
        <f ca="1">+D1115</f>
        <v>09.03.00.01</v>
      </c>
      <c r="E1116" s="107">
        <f t="shared" si="333"/>
        <v>0</v>
      </c>
      <c r="F1116" s="108">
        <f ca="1">OFFSET('Tabla III.4.'!$H$12,H1116-1,I1116-1)</f>
        <v>0</v>
      </c>
      <c r="G1116" s="107" t="str">
        <f ca="1">OFFSET('Tabla III.4.'!$H$1,0,I1116-1)</f>
        <v>02</v>
      </c>
      <c r="H1116" s="110">
        <f>+H1115</f>
        <v>8</v>
      </c>
      <c r="I1116" s="110">
        <f>+I1115+1</f>
        <v>2</v>
      </c>
      <c r="J1116" s="110" t="str">
        <f ca="1">+'Tabla III.4.'!$C$9</f>
        <v>Tabla III.4.</v>
      </c>
      <c r="K1116" s="110" t="str">
        <f t="shared" ref="K1116:K1126" si="350">+K1115</f>
        <v>A</v>
      </c>
      <c r="L1116" s="107"/>
      <c r="M1116" s="3"/>
    </row>
    <row r="1117" spans="1:13">
      <c r="A1117" s="107" t="s">
        <v>2944</v>
      </c>
      <c r="B1117" s="107" t="str">
        <f t="shared" si="349"/>
        <v>202503</v>
      </c>
      <c r="C1117" s="107" t="str">
        <f t="shared" ref="C1117:C1126" ca="1" si="351">IF(G1117="01","v2","v1")</f>
        <v>v1</v>
      </c>
      <c r="D1117" s="399" t="str">
        <f t="shared" ref="D1117:D1126" ca="1" si="352">+D1116</f>
        <v>09.03.00.01</v>
      </c>
      <c r="E1117" s="107">
        <f t="shared" si="333"/>
        <v>0</v>
      </c>
      <c r="F1117" s="108">
        <f ca="1">OFFSET('Tabla III.4.'!$H$12,H1117-1,I1117-1)</f>
        <v>0</v>
      </c>
      <c r="G1117" s="107" t="str">
        <f ca="1">OFFSET('Tabla III.4.'!$H$1,0,I1117-1)</f>
        <v>03</v>
      </c>
      <c r="H1117" s="110">
        <f t="shared" ref="H1117:H1126" si="353">+H1116</f>
        <v>8</v>
      </c>
      <c r="I1117" s="110">
        <f t="shared" ref="I1117:I1126" si="354">+I1116+1</f>
        <v>3</v>
      </c>
      <c r="J1117" s="110" t="str">
        <f ca="1">+'Tabla III.4.'!$C$9</f>
        <v>Tabla III.4.</v>
      </c>
      <c r="K1117" s="110" t="str">
        <f t="shared" si="350"/>
        <v>A</v>
      </c>
      <c r="L1117" s="107"/>
      <c r="M1117" s="3"/>
    </row>
    <row r="1118" spans="1:13">
      <c r="A1118" s="107" t="s">
        <v>2944</v>
      </c>
      <c r="B1118" s="107" t="str">
        <f t="shared" si="349"/>
        <v>202503</v>
      </c>
      <c r="C1118" s="107" t="str">
        <f t="shared" ca="1" si="351"/>
        <v>v1</v>
      </c>
      <c r="D1118" s="399" t="str">
        <f t="shared" ca="1" si="352"/>
        <v>09.03.00.01</v>
      </c>
      <c r="E1118" s="107">
        <f t="shared" si="333"/>
        <v>0</v>
      </c>
      <c r="F1118" s="108">
        <f ca="1">OFFSET('Tabla III.4.'!$H$12,H1118-1,I1118-1)</f>
        <v>0</v>
      </c>
      <c r="G1118" s="107" t="str">
        <f ca="1">OFFSET('Tabla III.4.'!$H$1,0,I1118-1)</f>
        <v>04</v>
      </c>
      <c r="H1118" s="110">
        <f t="shared" si="353"/>
        <v>8</v>
      </c>
      <c r="I1118" s="110">
        <f t="shared" si="354"/>
        <v>4</v>
      </c>
      <c r="J1118" s="110" t="str">
        <f ca="1">+'Tabla III.4.'!$C$9</f>
        <v>Tabla III.4.</v>
      </c>
      <c r="K1118" s="110" t="str">
        <f t="shared" si="350"/>
        <v>A</v>
      </c>
      <c r="L1118" s="107"/>
      <c r="M1118" s="3"/>
    </row>
    <row r="1119" spans="1:13">
      <c r="A1119" s="107" t="s">
        <v>2944</v>
      </c>
      <c r="B1119" s="107" t="str">
        <f t="shared" si="349"/>
        <v>202503</v>
      </c>
      <c r="C1119" s="107" t="str">
        <f t="shared" ca="1" si="351"/>
        <v>v1</v>
      </c>
      <c r="D1119" s="399" t="str">
        <f t="shared" ca="1" si="352"/>
        <v>09.03.00.01</v>
      </c>
      <c r="E1119" s="107">
        <f t="shared" si="333"/>
        <v>0</v>
      </c>
      <c r="F1119" s="108">
        <f ca="1">OFFSET('Tabla III.4.'!$H$12,H1119-1,I1119-1)</f>
        <v>0</v>
      </c>
      <c r="G1119" s="107" t="str">
        <f ca="1">OFFSET('Tabla III.4.'!$H$1,0,I1119-1)</f>
        <v>05</v>
      </c>
      <c r="H1119" s="110">
        <f t="shared" si="353"/>
        <v>8</v>
      </c>
      <c r="I1119" s="110">
        <f t="shared" si="354"/>
        <v>5</v>
      </c>
      <c r="J1119" s="110" t="str">
        <f ca="1">+'Tabla III.4.'!$C$9</f>
        <v>Tabla III.4.</v>
      </c>
      <c r="K1119" s="110" t="str">
        <f t="shared" si="350"/>
        <v>A</v>
      </c>
      <c r="L1119" s="107"/>
      <c r="M1119" s="3"/>
    </row>
    <row r="1120" spans="1:13">
      <c r="A1120" s="107" t="s">
        <v>2944</v>
      </c>
      <c r="B1120" s="107" t="str">
        <f t="shared" si="349"/>
        <v>202503</v>
      </c>
      <c r="C1120" s="107" t="str">
        <f t="shared" ca="1" si="351"/>
        <v>v1</v>
      </c>
      <c r="D1120" s="399" t="str">
        <f t="shared" ca="1" si="352"/>
        <v>09.03.00.01</v>
      </c>
      <c r="E1120" s="107">
        <f t="shared" si="333"/>
        <v>0</v>
      </c>
      <c r="F1120" s="108">
        <f ca="1">OFFSET('Tabla III.4.'!$H$12,H1120-1,I1120-1)</f>
        <v>0</v>
      </c>
      <c r="G1120" s="107" t="str">
        <f ca="1">OFFSET('Tabla III.4.'!$H$1,0,I1120-1)</f>
        <v>06</v>
      </c>
      <c r="H1120" s="110">
        <f t="shared" si="353"/>
        <v>8</v>
      </c>
      <c r="I1120" s="110">
        <f t="shared" si="354"/>
        <v>6</v>
      </c>
      <c r="J1120" s="110" t="str">
        <f ca="1">+'Tabla III.4.'!$C$9</f>
        <v>Tabla III.4.</v>
      </c>
      <c r="K1120" s="110" t="str">
        <f t="shared" si="350"/>
        <v>A</v>
      </c>
      <c r="L1120" s="107"/>
      <c r="M1120" s="3"/>
    </row>
    <row r="1121" spans="1:13">
      <c r="A1121" s="107" t="s">
        <v>2944</v>
      </c>
      <c r="B1121" s="107" t="str">
        <f t="shared" si="349"/>
        <v>202503</v>
      </c>
      <c r="C1121" s="107" t="str">
        <f t="shared" ca="1" si="351"/>
        <v>v1</v>
      </c>
      <c r="D1121" s="399" t="str">
        <f t="shared" ca="1" si="352"/>
        <v>09.03.00.01</v>
      </c>
      <c r="E1121" s="107">
        <f t="shared" si="333"/>
        <v>0</v>
      </c>
      <c r="F1121" s="108">
        <f ca="1">OFFSET('Tabla III.4.'!$H$12,H1121-1,I1121-1)</f>
        <v>0</v>
      </c>
      <c r="G1121" s="107" t="str">
        <f ca="1">OFFSET('Tabla III.4.'!$H$1,0,I1121-1)</f>
        <v>07</v>
      </c>
      <c r="H1121" s="110">
        <f t="shared" si="353"/>
        <v>8</v>
      </c>
      <c r="I1121" s="110">
        <f t="shared" si="354"/>
        <v>7</v>
      </c>
      <c r="J1121" s="110" t="str">
        <f ca="1">+'Tabla III.4.'!$C$9</f>
        <v>Tabla III.4.</v>
      </c>
      <c r="K1121" s="110" t="str">
        <f t="shared" si="350"/>
        <v>A</v>
      </c>
      <c r="L1121" s="107"/>
      <c r="M1121" s="3"/>
    </row>
    <row r="1122" spans="1:13">
      <c r="A1122" s="107" t="s">
        <v>2944</v>
      </c>
      <c r="B1122" s="107" t="str">
        <f t="shared" si="349"/>
        <v>202503</v>
      </c>
      <c r="C1122" s="107" t="str">
        <f t="shared" ca="1" si="351"/>
        <v>v1</v>
      </c>
      <c r="D1122" s="399" t="str">
        <f t="shared" ca="1" si="352"/>
        <v>09.03.00.01</v>
      </c>
      <c r="E1122" s="107">
        <f t="shared" si="333"/>
        <v>0</v>
      </c>
      <c r="F1122" s="108">
        <f ca="1">OFFSET('Tabla III.4.'!$H$12,H1122-1,I1122-1)</f>
        <v>0</v>
      </c>
      <c r="G1122" s="107" t="str">
        <f ca="1">OFFSET('Tabla III.4.'!$H$1,0,I1122-1)</f>
        <v>08</v>
      </c>
      <c r="H1122" s="110">
        <f t="shared" si="353"/>
        <v>8</v>
      </c>
      <c r="I1122" s="110">
        <f t="shared" si="354"/>
        <v>8</v>
      </c>
      <c r="J1122" s="110" t="str">
        <f ca="1">+'Tabla III.4.'!$C$9</f>
        <v>Tabla III.4.</v>
      </c>
      <c r="K1122" s="110" t="str">
        <f t="shared" si="350"/>
        <v>A</v>
      </c>
      <c r="L1122" s="107"/>
      <c r="M1122" s="3"/>
    </row>
    <row r="1123" spans="1:13">
      <c r="A1123" s="107" t="s">
        <v>2944</v>
      </c>
      <c r="B1123" s="107" t="str">
        <f t="shared" si="349"/>
        <v>202503</v>
      </c>
      <c r="C1123" s="107" t="str">
        <f t="shared" ca="1" si="351"/>
        <v>v1</v>
      </c>
      <c r="D1123" s="399" t="str">
        <f t="shared" ca="1" si="352"/>
        <v>09.03.00.01</v>
      </c>
      <c r="E1123" s="107">
        <f t="shared" si="333"/>
        <v>0</v>
      </c>
      <c r="F1123" s="108">
        <f ca="1">OFFSET('Tabla III.4.'!$H$12,H1123-1,I1123-1)</f>
        <v>0</v>
      </c>
      <c r="G1123" s="107" t="str">
        <f ca="1">OFFSET('Tabla III.4.'!$H$1,0,I1123-1)</f>
        <v>09</v>
      </c>
      <c r="H1123" s="110">
        <f t="shared" si="353"/>
        <v>8</v>
      </c>
      <c r="I1123" s="110">
        <f t="shared" si="354"/>
        <v>9</v>
      </c>
      <c r="J1123" s="110" t="str">
        <f ca="1">+'Tabla III.4.'!$C$9</f>
        <v>Tabla III.4.</v>
      </c>
      <c r="K1123" s="110" t="str">
        <f t="shared" si="350"/>
        <v>A</v>
      </c>
      <c r="L1123" s="107"/>
      <c r="M1123" s="3"/>
    </row>
    <row r="1124" spans="1:13">
      <c r="A1124" s="107" t="s">
        <v>2944</v>
      </c>
      <c r="B1124" s="107" t="str">
        <f t="shared" si="349"/>
        <v>202503</v>
      </c>
      <c r="C1124" s="107" t="str">
        <f t="shared" ca="1" si="351"/>
        <v>v1</v>
      </c>
      <c r="D1124" s="399" t="str">
        <f t="shared" ca="1" si="352"/>
        <v>09.03.00.01</v>
      </c>
      <c r="E1124" s="107">
        <f t="shared" si="333"/>
        <v>0</v>
      </c>
      <c r="F1124" s="108">
        <f ca="1">OFFSET('Tabla III.4.'!$H$12,H1124-1,I1124-1)</f>
        <v>0</v>
      </c>
      <c r="G1124" s="107" t="str">
        <f ca="1">OFFSET('Tabla III.4.'!$H$1,0,I1124-1)</f>
        <v>10</v>
      </c>
      <c r="H1124" s="110">
        <f t="shared" si="353"/>
        <v>8</v>
      </c>
      <c r="I1124" s="110">
        <f t="shared" si="354"/>
        <v>10</v>
      </c>
      <c r="J1124" s="110" t="str">
        <f ca="1">+'Tabla III.4.'!$C$9</f>
        <v>Tabla III.4.</v>
      </c>
      <c r="K1124" s="110" t="str">
        <f t="shared" si="350"/>
        <v>A</v>
      </c>
      <c r="L1124" s="107"/>
      <c r="M1124" s="3"/>
    </row>
    <row r="1125" spans="1:13">
      <c r="A1125" s="107" t="s">
        <v>2944</v>
      </c>
      <c r="B1125" s="107" t="str">
        <f t="shared" si="349"/>
        <v>202503</v>
      </c>
      <c r="C1125" s="107" t="str">
        <f t="shared" ca="1" si="351"/>
        <v>v1</v>
      </c>
      <c r="D1125" s="399" t="str">
        <f t="shared" ca="1" si="352"/>
        <v>09.03.00.01</v>
      </c>
      <c r="E1125" s="107">
        <f t="shared" si="333"/>
        <v>0</v>
      </c>
      <c r="F1125" s="108">
        <f ca="1">OFFSET('Tabla III.4.'!$H$12,H1125-1,I1125-1)</f>
        <v>0</v>
      </c>
      <c r="G1125" s="107" t="str">
        <f ca="1">OFFSET('Tabla III.4.'!$H$1,0,I1125-1)</f>
        <v>11</v>
      </c>
      <c r="H1125" s="110">
        <f t="shared" si="353"/>
        <v>8</v>
      </c>
      <c r="I1125" s="110">
        <f t="shared" si="354"/>
        <v>11</v>
      </c>
      <c r="J1125" s="110" t="str">
        <f ca="1">+'Tabla III.4.'!$C$9</f>
        <v>Tabla III.4.</v>
      </c>
      <c r="K1125" s="110" t="str">
        <f t="shared" si="350"/>
        <v>A</v>
      </c>
      <c r="L1125" s="107"/>
      <c r="M1125" s="3"/>
    </row>
    <row r="1126" spans="1:13">
      <c r="A1126" s="107" t="s">
        <v>2944</v>
      </c>
      <c r="B1126" s="107" t="str">
        <f t="shared" si="349"/>
        <v>202503</v>
      </c>
      <c r="C1126" s="107" t="str">
        <f t="shared" ca="1" si="351"/>
        <v>v1</v>
      </c>
      <c r="D1126" s="399" t="str">
        <f t="shared" ca="1" si="352"/>
        <v>09.03.00.01</v>
      </c>
      <c r="E1126" s="107">
        <f t="shared" si="333"/>
        <v>0</v>
      </c>
      <c r="F1126" s="108">
        <f ca="1">OFFSET('Tabla III.4.'!$H$12,H1126-1,I1126-1)</f>
        <v>0</v>
      </c>
      <c r="G1126" s="107" t="str">
        <f ca="1">OFFSET('Tabla III.4.'!$H$1,0,I1126-1)</f>
        <v>12</v>
      </c>
      <c r="H1126" s="110">
        <f t="shared" si="353"/>
        <v>8</v>
      </c>
      <c r="I1126" s="110">
        <f t="shared" si="354"/>
        <v>12</v>
      </c>
      <c r="J1126" s="110" t="str">
        <f ca="1">+'Tabla III.4.'!$C$9</f>
        <v>Tabla III.4.</v>
      </c>
      <c r="K1126" s="110" t="str">
        <f t="shared" si="350"/>
        <v>A</v>
      </c>
      <c r="L1126" s="107"/>
      <c r="M1126" s="3"/>
    </row>
    <row r="1127" spans="1:13">
      <c r="A1127" s="412" t="s">
        <v>2944</v>
      </c>
      <c r="B1127" s="412" t="str">
        <f t="shared" si="349"/>
        <v>202503</v>
      </c>
      <c r="C1127" s="412" t="s">
        <v>2945</v>
      </c>
      <c r="D1127" s="413" t="str">
        <f ca="1">OFFSET('Tabla III.4.'!$F$12,H1127-1,0)</f>
        <v>09.03.00.02.</v>
      </c>
      <c r="E1127" s="412">
        <f t="shared" si="333"/>
        <v>0</v>
      </c>
      <c r="F1127" s="414">
        <f ca="1">OFFSET('Tabla III.4.'!$H$12,H1127-1,I1127-1)</f>
        <v>0</v>
      </c>
      <c r="G1127" s="412" t="str">
        <f ca="1">OFFSET('Tabla III.4.'!$H$1,0,I1127-1)</f>
        <v>01</v>
      </c>
      <c r="H1127" s="111">
        <f>+H1115+1</f>
        <v>9</v>
      </c>
      <c r="I1127" s="111">
        <v>1</v>
      </c>
      <c r="J1127" s="111" t="str">
        <f ca="1">+'Tabla III.4.'!$C$9</f>
        <v>Tabla III.4.</v>
      </c>
      <c r="K1127" s="111" t="s">
        <v>2266</v>
      </c>
      <c r="L1127" s="412">
        <f>+L1115+1</f>
        <v>9</v>
      </c>
      <c r="M1127" s="3"/>
    </row>
    <row r="1128" spans="1:13">
      <c r="A1128" s="412" t="s">
        <v>2944</v>
      </c>
      <c r="B1128" s="412" t="str">
        <f t="shared" si="349"/>
        <v>202503</v>
      </c>
      <c r="C1128" s="412" t="str">
        <f ca="1">IF(G1128="01","v2","v1")</f>
        <v>v1</v>
      </c>
      <c r="D1128" s="413" t="str">
        <f ca="1">+D1127</f>
        <v>09.03.00.02.</v>
      </c>
      <c r="E1128" s="412">
        <f t="shared" si="333"/>
        <v>0</v>
      </c>
      <c r="F1128" s="414">
        <f ca="1">OFFSET('Tabla III.4.'!$H$12,H1128-1,I1128-1)</f>
        <v>0</v>
      </c>
      <c r="G1128" s="412" t="str">
        <f ca="1">OFFSET('Tabla III.4.'!$H$1,0,I1128-1)</f>
        <v>02</v>
      </c>
      <c r="H1128" s="111">
        <f>+H1127</f>
        <v>9</v>
      </c>
      <c r="I1128" s="111">
        <f>+I1127+1</f>
        <v>2</v>
      </c>
      <c r="J1128" s="111" t="str">
        <f ca="1">+'Tabla III.4.'!$C$9</f>
        <v>Tabla III.4.</v>
      </c>
      <c r="K1128" s="111" t="str">
        <f t="shared" ref="K1128:K1138" si="355">+K1127</f>
        <v>A</v>
      </c>
      <c r="L1128" s="412"/>
      <c r="M1128" s="3"/>
    </row>
    <row r="1129" spans="1:13">
      <c r="A1129" s="412" t="s">
        <v>2944</v>
      </c>
      <c r="B1129" s="412" t="str">
        <f t="shared" si="349"/>
        <v>202503</v>
      </c>
      <c r="C1129" s="412" t="str">
        <f t="shared" ref="C1129:C1138" ca="1" si="356">IF(G1129="01","v2","v1")</f>
        <v>v1</v>
      </c>
      <c r="D1129" s="413" t="str">
        <f t="shared" ref="D1129:D1138" ca="1" si="357">+D1128</f>
        <v>09.03.00.02.</v>
      </c>
      <c r="E1129" s="412">
        <f t="shared" si="333"/>
        <v>0</v>
      </c>
      <c r="F1129" s="414">
        <f ca="1">OFFSET('Tabla III.4.'!$H$12,H1129-1,I1129-1)</f>
        <v>0</v>
      </c>
      <c r="G1129" s="412" t="str">
        <f ca="1">OFFSET('Tabla III.4.'!$H$1,0,I1129-1)</f>
        <v>03</v>
      </c>
      <c r="H1129" s="111">
        <f t="shared" ref="H1129:H1138" si="358">+H1128</f>
        <v>9</v>
      </c>
      <c r="I1129" s="111">
        <f t="shared" ref="I1129:I1138" si="359">+I1128+1</f>
        <v>3</v>
      </c>
      <c r="J1129" s="111" t="str">
        <f ca="1">+'Tabla III.4.'!$C$9</f>
        <v>Tabla III.4.</v>
      </c>
      <c r="K1129" s="111" t="str">
        <f t="shared" si="355"/>
        <v>A</v>
      </c>
      <c r="L1129" s="412"/>
      <c r="M1129" s="3"/>
    </row>
    <row r="1130" spans="1:13">
      <c r="A1130" s="412" t="s">
        <v>2944</v>
      </c>
      <c r="B1130" s="412" t="str">
        <f t="shared" si="349"/>
        <v>202503</v>
      </c>
      <c r="C1130" s="412" t="str">
        <f t="shared" ca="1" si="356"/>
        <v>v1</v>
      </c>
      <c r="D1130" s="413" t="str">
        <f t="shared" ca="1" si="357"/>
        <v>09.03.00.02.</v>
      </c>
      <c r="E1130" s="412">
        <f t="shared" si="333"/>
        <v>0</v>
      </c>
      <c r="F1130" s="414">
        <f ca="1">OFFSET('Tabla III.4.'!$H$12,H1130-1,I1130-1)</f>
        <v>0</v>
      </c>
      <c r="G1130" s="412" t="str">
        <f ca="1">OFFSET('Tabla III.4.'!$H$1,0,I1130-1)</f>
        <v>04</v>
      </c>
      <c r="H1130" s="111">
        <f t="shared" si="358"/>
        <v>9</v>
      </c>
      <c r="I1130" s="111">
        <f t="shared" si="359"/>
        <v>4</v>
      </c>
      <c r="J1130" s="111" t="str">
        <f ca="1">+'Tabla III.4.'!$C$9</f>
        <v>Tabla III.4.</v>
      </c>
      <c r="K1130" s="111" t="str">
        <f t="shared" si="355"/>
        <v>A</v>
      </c>
      <c r="L1130" s="412"/>
      <c r="M1130" s="3"/>
    </row>
    <row r="1131" spans="1:13">
      <c r="A1131" s="412" t="s">
        <v>2944</v>
      </c>
      <c r="B1131" s="412" t="str">
        <f t="shared" si="349"/>
        <v>202503</v>
      </c>
      <c r="C1131" s="412" t="str">
        <f t="shared" ca="1" si="356"/>
        <v>v1</v>
      </c>
      <c r="D1131" s="413" t="str">
        <f t="shared" ca="1" si="357"/>
        <v>09.03.00.02.</v>
      </c>
      <c r="E1131" s="412">
        <f t="shared" si="333"/>
        <v>0</v>
      </c>
      <c r="F1131" s="414">
        <f ca="1">OFFSET('Tabla III.4.'!$H$12,H1131-1,I1131-1)</f>
        <v>0</v>
      </c>
      <c r="G1131" s="412" t="str">
        <f ca="1">OFFSET('Tabla III.4.'!$H$1,0,I1131-1)</f>
        <v>05</v>
      </c>
      <c r="H1131" s="111">
        <f t="shared" si="358"/>
        <v>9</v>
      </c>
      <c r="I1131" s="111">
        <f t="shared" si="359"/>
        <v>5</v>
      </c>
      <c r="J1131" s="111" t="str">
        <f ca="1">+'Tabla III.4.'!$C$9</f>
        <v>Tabla III.4.</v>
      </c>
      <c r="K1131" s="111" t="str">
        <f t="shared" si="355"/>
        <v>A</v>
      </c>
      <c r="L1131" s="412"/>
      <c r="M1131" s="3"/>
    </row>
    <row r="1132" spans="1:13">
      <c r="A1132" s="412" t="s">
        <v>2944</v>
      </c>
      <c r="B1132" s="412" t="str">
        <f t="shared" si="349"/>
        <v>202503</v>
      </c>
      <c r="C1132" s="412" t="str">
        <f t="shared" ca="1" si="356"/>
        <v>v1</v>
      </c>
      <c r="D1132" s="413" t="str">
        <f t="shared" ca="1" si="357"/>
        <v>09.03.00.02.</v>
      </c>
      <c r="E1132" s="412">
        <f t="shared" si="333"/>
        <v>0</v>
      </c>
      <c r="F1132" s="414">
        <f ca="1">OFFSET('Tabla III.4.'!$H$12,H1132-1,I1132-1)</f>
        <v>0</v>
      </c>
      <c r="G1132" s="412" t="str">
        <f ca="1">OFFSET('Tabla III.4.'!$H$1,0,I1132-1)</f>
        <v>06</v>
      </c>
      <c r="H1132" s="111">
        <f t="shared" si="358"/>
        <v>9</v>
      </c>
      <c r="I1132" s="111">
        <f t="shared" si="359"/>
        <v>6</v>
      </c>
      <c r="J1132" s="111" t="str">
        <f ca="1">+'Tabla III.4.'!$C$9</f>
        <v>Tabla III.4.</v>
      </c>
      <c r="K1132" s="111" t="str">
        <f t="shared" si="355"/>
        <v>A</v>
      </c>
      <c r="L1132" s="412"/>
      <c r="M1132" s="3"/>
    </row>
    <row r="1133" spans="1:13">
      <c r="A1133" s="412" t="s">
        <v>2944</v>
      </c>
      <c r="B1133" s="412" t="str">
        <f t="shared" si="349"/>
        <v>202503</v>
      </c>
      <c r="C1133" s="412" t="str">
        <f t="shared" ca="1" si="356"/>
        <v>v1</v>
      </c>
      <c r="D1133" s="413" t="str">
        <f t="shared" ca="1" si="357"/>
        <v>09.03.00.02.</v>
      </c>
      <c r="E1133" s="412">
        <f t="shared" si="333"/>
        <v>0</v>
      </c>
      <c r="F1133" s="414">
        <f ca="1">OFFSET('Tabla III.4.'!$H$12,H1133-1,I1133-1)</f>
        <v>0</v>
      </c>
      <c r="G1133" s="412" t="str">
        <f ca="1">OFFSET('Tabla III.4.'!$H$1,0,I1133-1)</f>
        <v>07</v>
      </c>
      <c r="H1133" s="111">
        <f t="shared" si="358"/>
        <v>9</v>
      </c>
      <c r="I1133" s="111">
        <f t="shared" si="359"/>
        <v>7</v>
      </c>
      <c r="J1133" s="111" t="str">
        <f ca="1">+'Tabla III.4.'!$C$9</f>
        <v>Tabla III.4.</v>
      </c>
      <c r="K1133" s="111" t="str">
        <f t="shared" si="355"/>
        <v>A</v>
      </c>
      <c r="L1133" s="412"/>
      <c r="M1133" s="3"/>
    </row>
    <row r="1134" spans="1:13">
      <c r="A1134" s="412" t="s">
        <v>2944</v>
      </c>
      <c r="B1134" s="412" t="str">
        <f t="shared" si="349"/>
        <v>202503</v>
      </c>
      <c r="C1134" s="412" t="str">
        <f t="shared" ca="1" si="356"/>
        <v>v1</v>
      </c>
      <c r="D1134" s="413" t="str">
        <f t="shared" ca="1" si="357"/>
        <v>09.03.00.02.</v>
      </c>
      <c r="E1134" s="412">
        <f t="shared" si="333"/>
        <v>0</v>
      </c>
      <c r="F1134" s="414">
        <f ca="1">OFFSET('Tabla III.4.'!$H$12,H1134-1,I1134-1)</f>
        <v>0</v>
      </c>
      <c r="G1134" s="412" t="str">
        <f ca="1">OFFSET('Tabla III.4.'!$H$1,0,I1134-1)</f>
        <v>08</v>
      </c>
      <c r="H1134" s="111">
        <f t="shared" si="358"/>
        <v>9</v>
      </c>
      <c r="I1134" s="111">
        <f t="shared" si="359"/>
        <v>8</v>
      </c>
      <c r="J1134" s="111" t="str">
        <f ca="1">+'Tabla III.4.'!$C$9</f>
        <v>Tabla III.4.</v>
      </c>
      <c r="K1134" s="111" t="str">
        <f t="shared" si="355"/>
        <v>A</v>
      </c>
      <c r="L1134" s="412"/>
      <c r="M1134" s="3"/>
    </row>
    <row r="1135" spans="1:13">
      <c r="A1135" s="412" t="s">
        <v>2944</v>
      </c>
      <c r="B1135" s="412" t="str">
        <f t="shared" si="349"/>
        <v>202503</v>
      </c>
      <c r="C1135" s="412" t="str">
        <f t="shared" ca="1" si="356"/>
        <v>v1</v>
      </c>
      <c r="D1135" s="413" t="str">
        <f t="shared" ca="1" si="357"/>
        <v>09.03.00.02.</v>
      </c>
      <c r="E1135" s="412">
        <f t="shared" si="333"/>
        <v>0</v>
      </c>
      <c r="F1135" s="414">
        <f ca="1">OFFSET('Tabla III.4.'!$H$12,H1135-1,I1135-1)</f>
        <v>0</v>
      </c>
      <c r="G1135" s="412" t="str">
        <f ca="1">OFFSET('Tabla III.4.'!$H$1,0,I1135-1)</f>
        <v>09</v>
      </c>
      <c r="H1135" s="111">
        <f t="shared" si="358"/>
        <v>9</v>
      </c>
      <c r="I1135" s="111">
        <f t="shared" si="359"/>
        <v>9</v>
      </c>
      <c r="J1135" s="111" t="str">
        <f ca="1">+'Tabla III.4.'!$C$9</f>
        <v>Tabla III.4.</v>
      </c>
      <c r="K1135" s="111" t="str">
        <f t="shared" si="355"/>
        <v>A</v>
      </c>
      <c r="L1135" s="412"/>
      <c r="M1135" s="3"/>
    </row>
    <row r="1136" spans="1:13">
      <c r="A1136" s="412" t="s">
        <v>2944</v>
      </c>
      <c r="B1136" s="412" t="str">
        <f t="shared" si="349"/>
        <v>202503</v>
      </c>
      <c r="C1136" s="412" t="str">
        <f t="shared" ca="1" si="356"/>
        <v>v1</v>
      </c>
      <c r="D1136" s="413" t="str">
        <f t="shared" ca="1" si="357"/>
        <v>09.03.00.02.</v>
      </c>
      <c r="E1136" s="412">
        <f t="shared" ref="E1136:E1199" si="360">RUC</f>
        <v>0</v>
      </c>
      <c r="F1136" s="414">
        <f ca="1">OFFSET('Tabla III.4.'!$H$12,H1136-1,I1136-1)</f>
        <v>0</v>
      </c>
      <c r="G1136" s="412" t="str">
        <f ca="1">OFFSET('Tabla III.4.'!$H$1,0,I1136-1)</f>
        <v>10</v>
      </c>
      <c r="H1136" s="111">
        <f t="shared" si="358"/>
        <v>9</v>
      </c>
      <c r="I1136" s="111">
        <f t="shared" si="359"/>
        <v>10</v>
      </c>
      <c r="J1136" s="111" t="str">
        <f ca="1">+'Tabla III.4.'!$C$9</f>
        <v>Tabla III.4.</v>
      </c>
      <c r="K1136" s="111" t="str">
        <f t="shared" si="355"/>
        <v>A</v>
      </c>
      <c r="L1136" s="412"/>
      <c r="M1136" s="3"/>
    </row>
    <row r="1137" spans="1:13">
      <c r="A1137" s="412" t="s">
        <v>2944</v>
      </c>
      <c r="B1137" s="412" t="str">
        <f t="shared" si="349"/>
        <v>202503</v>
      </c>
      <c r="C1137" s="412" t="str">
        <f t="shared" ca="1" si="356"/>
        <v>v1</v>
      </c>
      <c r="D1137" s="413" t="str">
        <f t="shared" ca="1" si="357"/>
        <v>09.03.00.02.</v>
      </c>
      <c r="E1137" s="412">
        <f t="shared" si="360"/>
        <v>0</v>
      </c>
      <c r="F1137" s="414">
        <f ca="1">OFFSET('Tabla III.4.'!$H$12,H1137-1,I1137-1)</f>
        <v>0</v>
      </c>
      <c r="G1137" s="412" t="str">
        <f ca="1">OFFSET('Tabla III.4.'!$H$1,0,I1137-1)</f>
        <v>11</v>
      </c>
      <c r="H1137" s="111">
        <f t="shared" si="358"/>
        <v>9</v>
      </c>
      <c r="I1137" s="111">
        <f t="shared" si="359"/>
        <v>11</v>
      </c>
      <c r="J1137" s="111" t="str">
        <f ca="1">+'Tabla III.4.'!$C$9</f>
        <v>Tabla III.4.</v>
      </c>
      <c r="K1137" s="111" t="str">
        <f t="shared" si="355"/>
        <v>A</v>
      </c>
      <c r="L1137" s="412"/>
      <c r="M1137" s="3"/>
    </row>
    <row r="1138" spans="1:13">
      <c r="A1138" s="412" t="s">
        <v>2944</v>
      </c>
      <c r="B1138" s="412" t="str">
        <f t="shared" si="349"/>
        <v>202503</v>
      </c>
      <c r="C1138" s="412" t="str">
        <f t="shared" ca="1" si="356"/>
        <v>v1</v>
      </c>
      <c r="D1138" s="413" t="str">
        <f t="shared" ca="1" si="357"/>
        <v>09.03.00.02.</v>
      </c>
      <c r="E1138" s="412">
        <f t="shared" si="360"/>
        <v>0</v>
      </c>
      <c r="F1138" s="414">
        <f ca="1">OFFSET('Tabla III.4.'!$H$12,H1138-1,I1138-1)</f>
        <v>0</v>
      </c>
      <c r="G1138" s="412" t="str">
        <f ca="1">OFFSET('Tabla III.4.'!$H$1,0,I1138-1)</f>
        <v>12</v>
      </c>
      <c r="H1138" s="111">
        <f t="shared" si="358"/>
        <v>9</v>
      </c>
      <c r="I1138" s="111">
        <f t="shared" si="359"/>
        <v>12</v>
      </c>
      <c r="J1138" s="111" t="str">
        <f ca="1">+'Tabla III.4.'!$C$9</f>
        <v>Tabla III.4.</v>
      </c>
      <c r="K1138" s="111" t="str">
        <f t="shared" si="355"/>
        <v>A</v>
      </c>
      <c r="L1138" s="412"/>
      <c r="M1138" s="3"/>
    </row>
    <row r="1139" spans="1:13">
      <c r="A1139" s="107" t="s">
        <v>2944</v>
      </c>
      <c r="B1139" s="107" t="str">
        <f t="shared" si="349"/>
        <v>202503</v>
      </c>
      <c r="C1139" s="107" t="s">
        <v>2945</v>
      </c>
      <c r="D1139" s="399" t="str">
        <f ca="1">OFFSET('Tabla III.4.'!$F$12,H1139-1,0)</f>
        <v>09.04.</v>
      </c>
      <c r="E1139" s="107">
        <f t="shared" si="360"/>
        <v>0</v>
      </c>
      <c r="F1139" s="108">
        <f ca="1">OFFSET('Tabla III.4.'!$H$12,H1139-1,I1139-1)</f>
        <v>0</v>
      </c>
      <c r="G1139" s="107" t="str">
        <f ca="1">OFFSET('Tabla III.4.'!$H$1,0,I1139-1)</f>
        <v>01</v>
      </c>
      <c r="H1139" s="110">
        <f>+H1127+1</f>
        <v>10</v>
      </c>
      <c r="I1139" s="110">
        <v>1</v>
      </c>
      <c r="J1139" s="110" t="str">
        <f ca="1">+'Tabla III.4.'!$C$9</f>
        <v>Tabla III.4.</v>
      </c>
      <c r="K1139" s="110" t="s">
        <v>2266</v>
      </c>
      <c r="L1139" s="107">
        <f>+L1127+1</f>
        <v>10</v>
      </c>
      <c r="M1139" s="3"/>
    </row>
    <row r="1140" spans="1:13">
      <c r="A1140" s="107" t="s">
        <v>2944</v>
      </c>
      <c r="B1140" s="107" t="str">
        <f t="shared" si="349"/>
        <v>202503</v>
      </c>
      <c r="C1140" s="107" t="str">
        <f ca="1">IF(G1140="01","v2","v1")</f>
        <v>v1</v>
      </c>
      <c r="D1140" s="399" t="str">
        <f ca="1">+D1139</f>
        <v>09.04.</v>
      </c>
      <c r="E1140" s="107">
        <f t="shared" si="360"/>
        <v>0</v>
      </c>
      <c r="F1140" s="108">
        <f ca="1">OFFSET('Tabla III.4.'!$H$12,H1140-1,I1140-1)</f>
        <v>0</v>
      </c>
      <c r="G1140" s="107" t="str">
        <f ca="1">OFFSET('Tabla III.4.'!$H$1,0,I1140-1)</f>
        <v>02</v>
      </c>
      <c r="H1140" s="110">
        <f>+H1139</f>
        <v>10</v>
      </c>
      <c r="I1140" s="110">
        <f>+I1139+1</f>
        <v>2</v>
      </c>
      <c r="J1140" s="110" t="str">
        <f ca="1">+'Tabla III.4.'!$C$9</f>
        <v>Tabla III.4.</v>
      </c>
      <c r="K1140" s="110" t="str">
        <f t="shared" ref="K1140:K1150" si="361">+K1139</f>
        <v>A</v>
      </c>
      <c r="L1140" s="107"/>
      <c r="M1140" s="3"/>
    </row>
    <row r="1141" spans="1:13">
      <c r="A1141" s="107" t="s">
        <v>2944</v>
      </c>
      <c r="B1141" s="107" t="str">
        <f t="shared" si="349"/>
        <v>202503</v>
      </c>
      <c r="C1141" s="107" t="str">
        <f t="shared" ref="C1141:C1150" ca="1" si="362">IF(G1141="01","v2","v1")</f>
        <v>v1</v>
      </c>
      <c r="D1141" s="399" t="str">
        <f t="shared" ref="D1141:D1150" ca="1" si="363">+D1140</f>
        <v>09.04.</v>
      </c>
      <c r="E1141" s="107">
        <f t="shared" si="360"/>
        <v>0</v>
      </c>
      <c r="F1141" s="108">
        <f ca="1">OFFSET('Tabla III.4.'!$H$12,H1141-1,I1141-1)</f>
        <v>0</v>
      </c>
      <c r="G1141" s="107" t="str">
        <f ca="1">OFFSET('Tabla III.4.'!$H$1,0,I1141-1)</f>
        <v>03</v>
      </c>
      <c r="H1141" s="110">
        <f t="shared" ref="H1141:H1150" si="364">+H1140</f>
        <v>10</v>
      </c>
      <c r="I1141" s="110">
        <f t="shared" ref="I1141:I1150" si="365">+I1140+1</f>
        <v>3</v>
      </c>
      <c r="J1141" s="110" t="str">
        <f ca="1">+'Tabla III.4.'!$C$9</f>
        <v>Tabla III.4.</v>
      </c>
      <c r="K1141" s="110" t="str">
        <f t="shared" si="361"/>
        <v>A</v>
      </c>
      <c r="L1141" s="107"/>
      <c r="M1141" s="3"/>
    </row>
    <row r="1142" spans="1:13">
      <c r="A1142" s="107" t="s">
        <v>2944</v>
      </c>
      <c r="B1142" s="107" t="str">
        <f t="shared" si="349"/>
        <v>202503</v>
      </c>
      <c r="C1142" s="107" t="str">
        <f t="shared" ca="1" si="362"/>
        <v>v1</v>
      </c>
      <c r="D1142" s="399" t="str">
        <f t="shared" ca="1" si="363"/>
        <v>09.04.</v>
      </c>
      <c r="E1142" s="107">
        <f t="shared" si="360"/>
        <v>0</v>
      </c>
      <c r="F1142" s="108">
        <f ca="1">OFFSET('Tabla III.4.'!$H$12,H1142-1,I1142-1)</f>
        <v>0</v>
      </c>
      <c r="G1142" s="107" t="str">
        <f ca="1">OFFSET('Tabla III.4.'!$H$1,0,I1142-1)</f>
        <v>04</v>
      </c>
      <c r="H1142" s="110">
        <f t="shared" si="364"/>
        <v>10</v>
      </c>
      <c r="I1142" s="110">
        <f t="shared" si="365"/>
        <v>4</v>
      </c>
      <c r="J1142" s="110" t="str">
        <f ca="1">+'Tabla III.4.'!$C$9</f>
        <v>Tabla III.4.</v>
      </c>
      <c r="K1142" s="110" t="str">
        <f t="shared" si="361"/>
        <v>A</v>
      </c>
      <c r="L1142" s="107"/>
      <c r="M1142" s="3"/>
    </row>
    <row r="1143" spans="1:13">
      <c r="A1143" s="107" t="s">
        <v>2944</v>
      </c>
      <c r="B1143" s="107" t="str">
        <f t="shared" si="349"/>
        <v>202503</v>
      </c>
      <c r="C1143" s="107" t="str">
        <f t="shared" ca="1" si="362"/>
        <v>v1</v>
      </c>
      <c r="D1143" s="399" t="str">
        <f t="shared" ca="1" si="363"/>
        <v>09.04.</v>
      </c>
      <c r="E1143" s="107">
        <f t="shared" si="360"/>
        <v>0</v>
      </c>
      <c r="F1143" s="108">
        <f ca="1">OFFSET('Tabla III.4.'!$H$12,H1143-1,I1143-1)</f>
        <v>0</v>
      </c>
      <c r="G1143" s="107" t="str">
        <f ca="1">OFFSET('Tabla III.4.'!$H$1,0,I1143-1)</f>
        <v>05</v>
      </c>
      <c r="H1143" s="110">
        <f t="shared" si="364"/>
        <v>10</v>
      </c>
      <c r="I1143" s="110">
        <f t="shared" si="365"/>
        <v>5</v>
      </c>
      <c r="J1143" s="110" t="str">
        <f ca="1">+'Tabla III.4.'!$C$9</f>
        <v>Tabla III.4.</v>
      </c>
      <c r="K1143" s="110" t="str">
        <f t="shared" si="361"/>
        <v>A</v>
      </c>
      <c r="L1143" s="107"/>
      <c r="M1143" s="3"/>
    </row>
    <row r="1144" spans="1:13">
      <c r="A1144" s="107" t="s">
        <v>2944</v>
      </c>
      <c r="B1144" s="107" t="str">
        <f t="shared" si="349"/>
        <v>202503</v>
      </c>
      <c r="C1144" s="107" t="str">
        <f t="shared" ca="1" si="362"/>
        <v>v1</v>
      </c>
      <c r="D1144" s="399" t="str">
        <f t="shared" ca="1" si="363"/>
        <v>09.04.</v>
      </c>
      <c r="E1144" s="107">
        <f t="shared" si="360"/>
        <v>0</v>
      </c>
      <c r="F1144" s="108">
        <f ca="1">OFFSET('Tabla III.4.'!$H$12,H1144-1,I1144-1)</f>
        <v>0</v>
      </c>
      <c r="G1144" s="107" t="str">
        <f ca="1">OFFSET('Tabla III.4.'!$H$1,0,I1144-1)</f>
        <v>06</v>
      </c>
      <c r="H1144" s="110">
        <f t="shared" si="364"/>
        <v>10</v>
      </c>
      <c r="I1144" s="110">
        <f t="shared" si="365"/>
        <v>6</v>
      </c>
      <c r="J1144" s="110" t="str">
        <f ca="1">+'Tabla III.4.'!$C$9</f>
        <v>Tabla III.4.</v>
      </c>
      <c r="K1144" s="110" t="str">
        <f t="shared" si="361"/>
        <v>A</v>
      </c>
      <c r="L1144" s="107"/>
      <c r="M1144" s="3"/>
    </row>
    <row r="1145" spans="1:13">
      <c r="A1145" s="107" t="s">
        <v>2944</v>
      </c>
      <c r="B1145" s="107" t="str">
        <f t="shared" si="349"/>
        <v>202503</v>
      </c>
      <c r="C1145" s="107" t="str">
        <f t="shared" ca="1" si="362"/>
        <v>v1</v>
      </c>
      <c r="D1145" s="399" t="str">
        <f t="shared" ca="1" si="363"/>
        <v>09.04.</v>
      </c>
      <c r="E1145" s="107">
        <f t="shared" si="360"/>
        <v>0</v>
      </c>
      <c r="F1145" s="108">
        <f ca="1">OFFSET('Tabla III.4.'!$H$12,H1145-1,I1145-1)</f>
        <v>0</v>
      </c>
      <c r="G1145" s="107" t="str">
        <f ca="1">OFFSET('Tabla III.4.'!$H$1,0,I1145-1)</f>
        <v>07</v>
      </c>
      <c r="H1145" s="110">
        <f t="shared" si="364"/>
        <v>10</v>
      </c>
      <c r="I1145" s="110">
        <f t="shared" si="365"/>
        <v>7</v>
      </c>
      <c r="J1145" s="110" t="str">
        <f ca="1">+'Tabla III.4.'!$C$9</f>
        <v>Tabla III.4.</v>
      </c>
      <c r="K1145" s="110" t="str">
        <f t="shared" si="361"/>
        <v>A</v>
      </c>
      <c r="L1145" s="107"/>
      <c r="M1145" s="3"/>
    </row>
    <row r="1146" spans="1:13">
      <c r="A1146" s="107" t="s">
        <v>2944</v>
      </c>
      <c r="B1146" s="107" t="str">
        <f t="shared" si="349"/>
        <v>202503</v>
      </c>
      <c r="C1146" s="107" t="str">
        <f t="shared" ca="1" si="362"/>
        <v>v1</v>
      </c>
      <c r="D1146" s="399" t="str">
        <f t="shared" ca="1" si="363"/>
        <v>09.04.</v>
      </c>
      <c r="E1146" s="107">
        <f t="shared" si="360"/>
        <v>0</v>
      </c>
      <c r="F1146" s="108">
        <f ca="1">OFFSET('Tabla III.4.'!$H$12,H1146-1,I1146-1)</f>
        <v>0</v>
      </c>
      <c r="G1146" s="107" t="str">
        <f ca="1">OFFSET('Tabla III.4.'!$H$1,0,I1146-1)</f>
        <v>08</v>
      </c>
      <c r="H1146" s="110">
        <f t="shared" si="364"/>
        <v>10</v>
      </c>
      <c r="I1146" s="110">
        <f t="shared" si="365"/>
        <v>8</v>
      </c>
      <c r="J1146" s="110" t="str">
        <f ca="1">+'Tabla III.4.'!$C$9</f>
        <v>Tabla III.4.</v>
      </c>
      <c r="K1146" s="110" t="str">
        <f t="shared" si="361"/>
        <v>A</v>
      </c>
      <c r="L1146" s="107"/>
      <c r="M1146" s="3"/>
    </row>
    <row r="1147" spans="1:13">
      <c r="A1147" s="107" t="s">
        <v>2944</v>
      </c>
      <c r="B1147" s="107" t="str">
        <f t="shared" si="349"/>
        <v>202503</v>
      </c>
      <c r="C1147" s="107" t="str">
        <f t="shared" ca="1" si="362"/>
        <v>v1</v>
      </c>
      <c r="D1147" s="399" t="str">
        <f t="shared" ca="1" si="363"/>
        <v>09.04.</v>
      </c>
      <c r="E1147" s="107">
        <f t="shared" si="360"/>
        <v>0</v>
      </c>
      <c r="F1147" s="108">
        <f ca="1">OFFSET('Tabla III.4.'!$H$12,H1147-1,I1147-1)</f>
        <v>0</v>
      </c>
      <c r="G1147" s="107" t="str">
        <f ca="1">OFFSET('Tabla III.4.'!$H$1,0,I1147-1)</f>
        <v>09</v>
      </c>
      <c r="H1147" s="110">
        <f t="shared" si="364"/>
        <v>10</v>
      </c>
      <c r="I1147" s="110">
        <f t="shared" si="365"/>
        <v>9</v>
      </c>
      <c r="J1147" s="110" t="str">
        <f ca="1">+'Tabla III.4.'!$C$9</f>
        <v>Tabla III.4.</v>
      </c>
      <c r="K1147" s="110" t="str">
        <f t="shared" si="361"/>
        <v>A</v>
      </c>
      <c r="L1147" s="107"/>
      <c r="M1147" s="3"/>
    </row>
    <row r="1148" spans="1:13">
      <c r="A1148" s="107" t="s">
        <v>2944</v>
      </c>
      <c r="B1148" s="107" t="str">
        <f t="shared" si="349"/>
        <v>202503</v>
      </c>
      <c r="C1148" s="107" t="str">
        <f t="shared" ca="1" si="362"/>
        <v>v1</v>
      </c>
      <c r="D1148" s="399" t="str">
        <f t="shared" ca="1" si="363"/>
        <v>09.04.</v>
      </c>
      <c r="E1148" s="107">
        <f t="shared" si="360"/>
        <v>0</v>
      </c>
      <c r="F1148" s="108">
        <f ca="1">OFFSET('Tabla III.4.'!$H$12,H1148-1,I1148-1)</f>
        <v>0</v>
      </c>
      <c r="G1148" s="107" t="str">
        <f ca="1">OFFSET('Tabla III.4.'!$H$1,0,I1148-1)</f>
        <v>10</v>
      </c>
      <c r="H1148" s="110">
        <f t="shared" si="364"/>
        <v>10</v>
      </c>
      <c r="I1148" s="110">
        <f t="shared" si="365"/>
        <v>10</v>
      </c>
      <c r="J1148" s="110" t="str">
        <f ca="1">+'Tabla III.4.'!$C$9</f>
        <v>Tabla III.4.</v>
      </c>
      <c r="K1148" s="110" t="str">
        <f t="shared" si="361"/>
        <v>A</v>
      </c>
      <c r="L1148" s="107"/>
      <c r="M1148" s="3"/>
    </row>
    <row r="1149" spans="1:13">
      <c r="A1149" s="107" t="s">
        <v>2944</v>
      </c>
      <c r="B1149" s="107" t="str">
        <f t="shared" si="349"/>
        <v>202503</v>
      </c>
      <c r="C1149" s="107" t="str">
        <f t="shared" ca="1" si="362"/>
        <v>v1</v>
      </c>
      <c r="D1149" s="399" t="str">
        <f t="shared" ca="1" si="363"/>
        <v>09.04.</v>
      </c>
      <c r="E1149" s="107">
        <f t="shared" si="360"/>
        <v>0</v>
      </c>
      <c r="F1149" s="108">
        <f ca="1">OFFSET('Tabla III.4.'!$H$12,H1149-1,I1149-1)</f>
        <v>0</v>
      </c>
      <c r="G1149" s="107" t="str">
        <f ca="1">OFFSET('Tabla III.4.'!$H$1,0,I1149-1)</f>
        <v>11</v>
      </c>
      <c r="H1149" s="110">
        <f t="shared" si="364"/>
        <v>10</v>
      </c>
      <c r="I1149" s="110">
        <f t="shared" si="365"/>
        <v>11</v>
      </c>
      <c r="J1149" s="110" t="str">
        <f ca="1">+'Tabla III.4.'!$C$9</f>
        <v>Tabla III.4.</v>
      </c>
      <c r="K1149" s="110" t="str">
        <f t="shared" si="361"/>
        <v>A</v>
      </c>
      <c r="L1149" s="107"/>
      <c r="M1149" s="3"/>
    </row>
    <row r="1150" spans="1:13">
      <c r="A1150" s="107" t="s">
        <v>2944</v>
      </c>
      <c r="B1150" s="107" t="str">
        <f t="shared" si="349"/>
        <v>202503</v>
      </c>
      <c r="C1150" s="107" t="str">
        <f t="shared" ca="1" si="362"/>
        <v>v1</v>
      </c>
      <c r="D1150" s="399" t="str">
        <f t="shared" ca="1" si="363"/>
        <v>09.04.</v>
      </c>
      <c r="E1150" s="107">
        <f t="shared" si="360"/>
        <v>0</v>
      </c>
      <c r="F1150" s="108">
        <f ca="1">OFFSET('Tabla III.4.'!$H$12,H1150-1,I1150-1)</f>
        <v>0</v>
      </c>
      <c r="G1150" s="107" t="str">
        <f ca="1">OFFSET('Tabla III.4.'!$H$1,0,I1150-1)</f>
        <v>12</v>
      </c>
      <c r="H1150" s="110">
        <f t="shared" si="364"/>
        <v>10</v>
      </c>
      <c r="I1150" s="110">
        <f t="shared" si="365"/>
        <v>12</v>
      </c>
      <c r="J1150" s="110" t="str">
        <f ca="1">+'Tabla III.4.'!$C$9</f>
        <v>Tabla III.4.</v>
      </c>
      <c r="K1150" s="110" t="str">
        <f t="shared" si="361"/>
        <v>A</v>
      </c>
      <c r="L1150" s="107"/>
      <c r="M1150" s="3"/>
    </row>
    <row r="1151" spans="1:13">
      <c r="A1151" s="412" t="s">
        <v>2944</v>
      </c>
      <c r="B1151" s="412" t="str">
        <f t="shared" si="349"/>
        <v>202503</v>
      </c>
      <c r="C1151" s="412" t="s">
        <v>2945</v>
      </c>
      <c r="D1151" s="413" t="str">
        <f ca="1">OFFSET('Tabla III.4.'!$F$12,H1151-1,0)</f>
        <v>09.04.00.01</v>
      </c>
      <c r="E1151" s="412">
        <f t="shared" si="360"/>
        <v>0</v>
      </c>
      <c r="F1151" s="414">
        <f ca="1">OFFSET('Tabla III.4.'!$H$12,H1151-1,I1151-1)</f>
        <v>0</v>
      </c>
      <c r="G1151" s="412" t="str">
        <f ca="1">OFFSET('Tabla III.4.'!$H$1,0,I1151-1)</f>
        <v>01</v>
      </c>
      <c r="H1151" s="111">
        <f>+H1139+1</f>
        <v>11</v>
      </c>
      <c r="I1151" s="111">
        <v>1</v>
      </c>
      <c r="J1151" s="111" t="str">
        <f ca="1">+'Tabla III.4.'!$C$9</f>
        <v>Tabla III.4.</v>
      </c>
      <c r="K1151" s="111" t="s">
        <v>2266</v>
      </c>
      <c r="L1151" s="412">
        <f>+L1139+1</f>
        <v>11</v>
      </c>
      <c r="M1151" s="3"/>
    </row>
    <row r="1152" spans="1:13">
      <c r="A1152" s="412" t="s">
        <v>2944</v>
      </c>
      <c r="B1152" s="412" t="str">
        <f t="shared" si="349"/>
        <v>202503</v>
      </c>
      <c r="C1152" s="412" t="str">
        <f ca="1">IF(G1152="01","v2","v1")</f>
        <v>v1</v>
      </c>
      <c r="D1152" s="413" t="str">
        <f ca="1">+D1151</f>
        <v>09.04.00.01</v>
      </c>
      <c r="E1152" s="412">
        <f t="shared" si="360"/>
        <v>0</v>
      </c>
      <c r="F1152" s="414">
        <f ca="1">OFFSET('Tabla III.4.'!$H$12,H1152-1,I1152-1)</f>
        <v>0</v>
      </c>
      <c r="G1152" s="412" t="str">
        <f ca="1">OFFSET('Tabla III.4.'!$H$1,0,I1152-1)</f>
        <v>02</v>
      </c>
      <c r="H1152" s="111">
        <f>+H1151</f>
        <v>11</v>
      </c>
      <c r="I1152" s="111">
        <f>+I1151+1</f>
        <v>2</v>
      </c>
      <c r="J1152" s="111" t="str">
        <f ca="1">+'Tabla III.4.'!$C$9</f>
        <v>Tabla III.4.</v>
      </c>
      <c r="K1152" s="111" t="str">
        <f t="shared" ref="K1152:K1162" si="366">+K1151</f>
        <v>A</v>
      </c>
      <c r="L1152" s="412"/>
      <c r="M1152" s="3"/>
    </row>
    <row r="1153" spans="1:13">
      <c r="A1153" s="412" t="s">
        <v>2944</v>
      </c>
      <c r="B1153" s="412" t="str">
        <f t="shared" si="349"/>
        <v>202503</v>
      </c>
      <c r="C1153" s="412" t="str">
        <f t="shared" ref="C1153:C1162" ca="1" si="367">IF(G1153="01","v2","v1")</f>
        <v>v1</v>
      </c>
      <c r="D1153" s="413" t="str">
        <f t="shared" ref="D1153:D1162" ca="1" si="368">+D1152</f>
        <v>09.04.00.01</v>
      </c>
      <c r="E1153" s="412">
        <f t="shared" si="360"/>
        <v>0</v>
      </c>
      <c r="F1153" s="414">
        <f ca="1">OFFSET('Tabla III.4.'!$H$12,H1153-1,I1153-1)</f>
        <v>0</v>
      </c>
      <c r="G1153" s="412" t="str">
        <f ca="1">OFFSET('Tabla III.4.'!$H$1,0,I1153-1)</f>
        <v>03</v>
      </c>
      <c r="H1153" s="111">
        <f t="shared" ref="H1153:H1162" si="369">+H1152</f>
        <v>11</v>
      </c>
      <c r="I1153" s="111">
        <f t="shared" ref="I1153:I1162" si="370">+I1152+1</f>
        <v>3</v>
      </c>
      <c r="J1153" s="111" t="str">
        <f ca="1">+'Tabla III.4.'!$C$9</f>
        <v>Tabla III.4.</v>
      </c>
      <c r="K1153" s="111" t="str">
        <f t="shared" si="366"/>
        <v>A</v>
      </c>
      <c r="L1153" s="412"/>
      <c r="M1153" s="3"/>
    </row>
    <row r="1154" spans="1:13">
      <c r="A1154" s="412" t="s">
        <v>2944</v>
      </c>
      <c r="B1154" s="412" t="str">
        <f t="shared" si="349"/>
        <v>202503</v>
      </c>
      <c r="C1154" s="412" t="str">
        <f t="shared" ca="1" si="367"/>
        <v>v1</v>
      </c>
      <c r="D1154" s="413" t="str">
        <f t="shared" ca="1" si="368"/>
        <v>09.04.00.01</v>
      </c>
      <c r="E1154" s="412">
        <f t="shared" si="360"/>
        <v>0</v>
      </c>
      <c r="F1154" s="414">
        <f ca="1">OFFSET('Tabla III.4.'!$H$12,H1154-1,I1154-1)</f>
        <v>0</v>
      </c>
      <c r="G1154" s="412" t="str">
        <f ca="1">OFFSET('Tabla III.4.'!$H$1,0,I1154-1)</f>
        <v>04</v>
      </c>
      <c r="H1154" s="111">
        <f t="shared" si="369"/>
        <v>11</v>
      </c>
      <c r="I1154" s="111">
        <f t="shared" si="370"/>
        <v>4</v>
      </c>
      <c r="J1154" s="111" t="str">
        <f ca="1">+'Tabla III.4.'!$C$9</f>
        <v>Tabla III.4.</v>
      </c>
      <c r="K1154" s="111" t="str">
        <f t="shared" si="366"/>
        <v>A</v>
      </c>
      <c r="L1154" s="412"/>
      <c r="M1154" s="3"/>
    </row>
    <row r="1155" spans="1:13">
      <c r="A1155" s="412" t="s">
        <v>2944</v>
      </c>
      <c r="B1155" s="412" t="str">
        <f t="shared" si="349"/>
        <v>202503</v>
      </c>
      <c r="C1155" s="412" t="str">
        <f t="shared" ca="1" si="367"/>
        <v>v1</v>
      </c>
      <c r="D1155" s="413" t="str">
        <f t="shared" ca="1" si="368"/>
        <v>09.04.00.01</v>
      </c>
      <c r="E1155" s="412">
        <f t="shared" si="360"/>
        <v>0</v>
      </c>
      <c r="F1155" s="414">
        <f ca="1">OFFSET('Tabla III.4.'!$H$12,H1155-1,I1155-1)</f>
        <v>0</v>
      </c>
      <c r="G1155" s="412" t="str">
        <f ca="1">OFFSET('Tabla III.4.'!$H$1,0,I1155-1)</f>
        <v>05</v>
      </c>
      <c r="H1155" s="111">
        <f t="shared" si="369"/>
        <v>11</v>
      </c>
      <c r="I1155" s="111">
        <f t="shared" si="370"/>
        <v>5</v>
      </c>
      <c r="J1155" s="111" t="str">
        <f ca="1">+'Tabla III.4.'!$C$9</f>
        <v>Tabla III.4.</v>
      </c>
      <c r="K1155" s="111" t="str">
        <f t="shared" si="366"/>
        <v>A</v>
      </c>
      <c r="L1155" s="412"/>
      <c r="M1155" s="3"/>
    </row>
    <row r="1156" spans="1:13">
      <c r="A1156" s="412" t="s">
        <v>2944</v>
      </c>
      <c r="B1156" s="412" t="str">
        <f t="shared" si="349"/>
        <v>202503</v>
      </c>
      <c r="C1156" s="412" t="str">
        <f t="shared" ca="1" si="367"/>
        <v>v1</v>
      </c>
      <c r="D1156" s="413" t="str">
        <f t="shared" ca="1" si="368"/>
        <v>09.04.00.01</v>
      </c>
      <c r="E1156" s="412">
        <f t="shared" si="360"/>
        <v>0</v>
      </c>
      <c r="F1156" s="414">
        <f ca="1">OFFSET('Tabla III.4.'!$H$12,H1156-1,I1156-1)</f>
        <v>0</v>
      </c>
      <c r="G1156" s="412" t="str">
        <f ca="1">OFFSET('Tabla III.4.'!$H$1,0,I1156-1)</f>
        <v>06</v>
      </c>
      <c r="H1156" s="111">
        <f t="shared" si="369"/>
        <v>11</v>
      </c>
      <c r="I1156" s="111">
        <f t="shared" si="370"/>
        <v>6</v>
      </c>
      <c r="J1156" s="111" t="str">
        <f ca="1">+'Tabla III.4.'!$C$9</f>
        <v>Tabla III.4.</v>
      </c>
      <c r="K1156" s="111" t="str">
        <f t="shared" si="366"/>
        <v>A</v>
      </c>
      <c r="L1156" s="412"/>
      <c r="M1156" s="3"/>
    </row>
    <row r="1157" spans="1:13">
      <c r="A1157" s="412" t="s">
        <v>2944</v>
      </c>
      <c r="B1157" s="412" t="str">
        <f t="shared" si="349"/>
        <v>202503</v>
      </c>
      <c r="C1157" s="412" t="str">
        <f t="shared" ca="1" si="367"/>
        <v>v1</v>
      </c>
      <c r="D1157" s="413" t="str">
        <f t="shared" ca="1" si="368"/>
        <v>09.04.00.01</v>
      </c>
      <c r="E1157" s="412">
        <f t="shared" si="360"/>
        <v>0</v>
      </c>
      <c r="F1157" s="414">
        <f ca="1">OFFSET('Tabla III.4.'!$H$12,H1157-1,I1157-1)</f>
        <v>0</v>
      </c>
      <c r="G1157" s="412" t="str">
        <f ca="1">OFFSET('Tabla III.4.'!$H$1,0,I1157-1)</f>
        <v>07</v>
      </c>
      <c r="H1157" s="111">
        <f t="shared" si="369"/>
        <v>11</v>
      </c>
      <c r="I1157" s="111">
        <f t="shared" si="370"/>
        <v>7</v>
      </c>
      <c r="J1157" s="111" t="str">
        <f ca="1">+'Tabla III.4.'!$C$9</f>
        <v>Tabla III.4.</v>
      </c>
      <c r="K1157" s="111" t="str">
        <f t="shared" si="366"/>
        <v>A</v>
      </c>
      <c r="L1157" s="412"/>
      <c r="M1157" s="3"/>
    </row>
    <row r="1158" spans="1:13">
      <c r="A1158" s="412" t="s">
        <v>2944</v>
      </c>
      <c r="B1158" s="412" t="str">
        <f t="shared" si="349"/>
        <v>202503</v>
      </c>
      <c r="C1158" s="412" t="str">
        <f t="shared" ca="1" si="367"/>
        <v>v1</v>
      </c>
      <c r="D1158" s="413" t="str">
        <f t="shared" ca="1" si="368"/>
        <v>09.04.00.01</v>
      </c>
      <c r="E1158" s="412">
        <f t="shared" si="360"/>
        <v>0</v>
      </c>
      <c r="F1158" s="414">
        <f ca="1">OFFSET('Tabla III.4.'!$H$12,H1158-1,I1158-1)</f>
        <v>0</v>
      </c>
      <c r="G1158" s="412" t="str">
        <f ca="1">OFFSET('Tabla III.4.'!$H$1,0,I1158-1)</f>
        <v>08</v>
      </c>
      <c r="H1158" s="111">
        <f t="shared" si="369"/>
        <v>11</v>
      </c>
      <c r="I1158" s="111">
        <f t="shared" si="370"/>
        <v>8</v>
      </c>
      <c r="J1158" s="111" t="str">
        <f ca="1">+'Tabla III.4.'!$C$9</f>
        <v>Tabla III.4.</v>
      </c>
      <c r="K1158" s="111" t="str">
        <f t="shared" si="366"/>
        <v>A</v>
      </c>
      <c r="L1158" s="412"/>
      <c r="M1158" s="3"/>
    </row>
    <row r="1159" spans="1:13">
      <c r="A1159" s="412" t="s">
        <v>2944</v>
      </c>
      <c r="B1159" s="412" t="str">
        <f t="shared" si="349"/>
        <v>202503</v>
      </c>
      <c r="C1159" s="412" t="str">
        <f t="shared" ca="1" si="367"/>
        <v>v1</v>
      </c>
      <c r="D1159" s="413" t="str">
        <f t="shared" ca="1" si="368"/>
        <v>09.04.00.01</v>
      </c>
      <c r="E1159" s="412">
        <f t="shared" si="360"/>
        <v>0</v>
      </c>
      <c r="F1159" s="414">
        <f ca="1">OFFSET('Tabla III.4.'!$H$12,H1159-1,I1159-1)</f>
        <v>0</v>
      </c>
      <c r="G1159" s="412" t="str">
        <f ca="1">OFFSET('Tabla III.4.'!$H$1,0,I1159-1)</f>
        <v>09</v>
      </c>
      <c r="H1159" s="111">
        <f t="shared" si="369"/>
        <v>11</v>
      </c>
      <c r="I1159" s="111">
        <f t="shared" si="370"/>
        <v>9</v>
      </c>
      <c r="J1159" s="111" t="str">
        <f ca="1">+'Tabla III.4.'!$C$9</f>
        <v>Tabla III.4.</v>
      </c>
      <c r="K1159" s="111" t="str">
        <f t="shared" si="366"/>
        <v>A</v>
      </c>
      <c r="L1159" s="412"/>
      <c r="M1159" s="3"/>
    </row>
    <row r="1160" spans="1:13">
      <c r="A1160" s="412" t="s">
        <v>2944</v>
      </c>
      <c r="B1160" s="412" t="str">
        <f t="shared" si="349"/>
        <v>202503</v>
      </c>
      <c r="C1160" s="412" t="str">
        <f t="shared" ca="1" si="367"/>
        <v>v1</v>
      </c>
      <c r="D1160" s="413" t="str">
        <f t="shared" ca="1" si="368"/>
        <v>09.04.00.01</v>
      </c>
      <c r="E1160" s="412">
        <f t="shared" si="360"/>
        <v>0</v>
      </c>
      <c r="F1160" s="414">
        <f ca="1">OFFSET('Tabla III.4.'!$H$12,H1160-1,I1160-1)</f>
        <v>0</v>
      </c>
      <c r="G1160" s="412" t="str">
        <f ca="1">OFFSET('Tabla III.4.'!$H$1,0,I1160-1)</f>
        <v>10</v>
      </c>
      <c r="H1160" s="111">
        <f t="shared" si="369"/>
        <v>11</v>
      </c>
      <c r="I1160" s="111">
        <f t="shared" si="370"/>
        <v>10</v>
      </c>
      <c r="J1160" s="111" t="str">
        <f ca="1">+'Tabla III.4.'!$C$9</f>
        <v>Tabla III.4.</v>
      </c>
      <c r="K1160" s="111" t="str">
        <f t="shared" si="366"/>
        <v>A</v>
      </c>
      <c r="L1160" s="412"/>
      <c r="M1160" s="3"/>
    </row>
    <row r="1161" spans="1:13">
      <c r="A1161" s="412" t="s">
        <v>2944</v>
      </c>
      <c r="B1161" s="412" t="str">
        <f t="shared" si="349"/>
        <v>202503</v>
      </c>
      <c r="C1161" s="412" t="str">
        <f t="shared" ca="1" si="367"/>
        <v>v1</v>
      </c>
      <c r="D1161" s="413" t="str">
        <f t="shared" ca="1" si="368"/>
        <v>09.04.00.01</v>
      </c>
      <c r="E1161" s="412">
        <f t="shared" si="360"/>
        <v>0</v>
      </c>
      <c r="F1161" s="414">
        <f ca="1">OFFSET('Tabla III.4.'!$H$12,H1161-1,I1161-1)</f>
        <v>0</v>
      </c>
      <c r="G1161" s="412" t="str">
        <f ca="1">OFFSET('Tabla III.4.'!$H$1,0,I1161-1)</f>
        <v>11</v>
      </c>
      <c r="H1161" s="111">
        <f t="shared" si="369"/>
        <v>11</v>
      </c>
      <c r="I1161" s="111">
        <f t="shared" si="370"/>
        <v>11</v>
      </c>
      <c r="J1161" s="111" t="str">
        <f ca="1">+'Tabla III.4.'!$C$9</f>
        <v>Tabla III.4.</v>
      </c>
      <c r="K1161" s="111" t="str">
        <f t="shared" si="366"/>
        <v>A</v>
      </c>
      <c r="L1161" s="412"/>
      <c r="M1161" s="3"/>
    </row>
    <row r="1162" spans="1:13">
      <c r="A1162" s="412" t="s">
        <v>2944</v>
      </c>
      <c r="B1162" s="412" t="str">
        <f t="shared" si="349"/>
        <v>202503</v>
      </c>
      <c r="C1162" s="412" t="str">
        <f t="shared" ca="1" si="367"/>
        <v>v1</v>
      </c>
      <c r="D1162" s="413" t="str">
        <f t="shared" ca="1" si="368"/>
        <v>09.04.00.01</v>
      </c>
      <c r="E1162" s="412">
        <f t="shared" si="360"/>
        <v>0</v>
      </c>
      <c r="F1162" s="414">
        <f ca="1">OFFSET('Tabla III.4.'!$H$12,H1162-1,I1162-1)</f>
        <v>0</v>
      </c>
      <c r="G1162" s="412" t="str">
        <f ca="1">OFFSET('Tabla III.4.'!$H$1,0,I1162-1)</f>
        <v>12</v>
      </c>
      <c r="H1162" s="111">
        <f t="shared" si="369"/>
        <v>11</v>
      </c>
      <c r="I1162" s="111">
        <f t="shared" si="370"/>
        <v>12</v>
      </c>
      <c r="J1162" s="111" t="str">
        <f ca="1">+'Tabla III.4.'!$C$9</f>
        <v>Tabla III.4.</v>
      </c>
      <c r="K1162" s="111" t="str">
        <f t="shared" si="366"/>
        <v>A</v>
      </c>
      <c r="L1162" s="412"/>
      <c r="M1162" s="3"/>
    </row>
    <row r="1163" spans="1:13">
      <c r="A1163" s="107" t="s">
        <v>2944</v>
      </c>
      <c r="B1163" s="107" t="str">
        <f t="shared" si="349"/>
        <v>202503</v>
      </c>
      <c r="C1163" s="107" t="s">
        <v>2945</v>
      </c>
      <c r="D1163" s="399" t="str">
        <f ca="1">OFFSET('Tabla III.4.'!$F$12,H1163-1,0)</f>
        <v>09.04.00.02.</v>
      </c>
      <c r="E1163" s="107">
        <f t="shared" si="360"/>
        <v>0</v>
      </c>
      <c r="F1163" s="108">
        <f ca="1">OFFSET('Tabla III.4.'!$H$12,H1163-1,I1163-1)</f>
        <v>0</v>
      </c>
      <c r="G1163" s="107" t="str">
        <f ca="1">OFFSET('Tabla III.4.'!$H$1,0,I1163-1)</f>
        <v>01</v>
      </c>
      <c r="H1163" s="110">
        <f>+H1151+1</f>
        <v>12</v>
      </c>
      <c r="I1163" s="110">
        <v>1</v>
      </c>
      <c r="J1163" s="110" t="str">
        <f ca="1">+'Tabla III.4.'!$C$9</f>
        <v>Tabla III.4.</v>
      </c>
      <c r="K1163" s="110" t="s">
        <v>2266</v>
      </c>
      <c r="L1163" s="107">
        <f>+L1151+1</f>
        <v>12</v>
      </c>
      <c r="M1163" s="3"/>
    </row>
    <row r="1164" spans="1:13">
      <c r="A1164" s="107" t="s">
        <v>2944</v>
      </c>
      <c r="B1164" s="107" t="str">
        <f t="shared" si="349"/>
        <v>202503</v>
      </c>
      <c r="C1164" s="107" t="str">
        <f ca="1">IF(G1164="01","v2","v1")</f>
        <v>v1</v>
      </c>
      <c r="D1164" s="399" t="str">
        <f ca="1">+D1163</f>
        <v>09.04.00.02.</v>
      </c>
      <c r="E1164" s="107">
        <f t="shared" si="360"/>
        <v>0</v>
      </c>
      <c r="F1164" s="108">
        <f ca="1">OFFSET('Tabla III.4.'!$H$12,H1164-1,I1164-1)</f>
        <v>0</v>
      </c>
      <c r="G1164" s="107" t="str">
        <f ca="1">OFFSET('Tabla III.4.'!$H$1,0,I1164-1)</f>
        <v>02</v>
      </c>
      <c r="H1164" s="110">
        <f>+H1163</f>
        <v>12</v>
      </c>
      <c r="I1164" s="110">
        <f>+I1163+1</f>
        <v>2</v>
      </c>
      <c r="J1164" s="110" t="str">
        <f ca="1">+'Tabla III.4.'!$C$9</f>
        <v>Tabla III.4.</v>
      </c>
      <c r="K1164" s="110" t="str">
        <f t="shared" ref="K1164:K1174" si="371">+K1163</f>
        <v>A</v>
      </c>
      <c r="L1164" s="107"/>
      <c r="M1164" s="3"/>
    </row>
    <row r="1165" spans="1:13">
      <c r="A1165" s="107" t="s">
        <v>2944</v>
      </c>
      <c r="B1165" s="107" t="str">
        <f t="shared" si="349"/>
        <v>202503</v>
      </c>
      <c r="C1165" s="107" t="str">
        <f t="shared" ref="C1165:C1174" ca="1" si="372">IF(G1165="01","v2","v1")</f>
        <v>v1</v>
      </c>
      <c r="D1165" s="399" t="str">
        <f t="shared" ref="D1165:D1174" ca="1" si="373">+D1164</f>
        <v>09.04.00.02.</v>
      </c>
      <c r="E1165" s="107">
        <f t="shared" si="360"/>
        <v>0</v>
      </c>
      <c r="F1165" s="108">
        <f ca="1">OFFSET('Tabla III.4.'!$H$12,H1165-1,I1165-1)</f>
        <v>0</v>
      </c>
      <c r="G1165" s="107" t="str">
        <f ca="1">OFFSET('Tabla III.4.'!$H$1,0,I1165-1)</f>
        <v>03</v>
      </c>
      <c r="H1165" s="110">
        <f t="shared" ref="H1165:H1174" si="374">+H1164</f>
        <v>12</v>
      </c>
      <c r="I1165" s="110">
        <f t="shared" ref="I1165:I1174" si="375">+I1164+1</f>
        <v>3</v>
      </c>
      <c r="J1165" s="110" t="str">
        <f ca="1">+'Tabla III.4.'!$C$9</f>
        <v>Tabla III.4.</v>
      </c>
      <c r="K1165" s="110" t="str">
        <f t="shared" si="371"/>
        <v>A</v>
      </c>
      <c r="L1165" s="107"/>
      <c r="M1165" s="3"/>
    </row>
    <row r="1166" spans="1:13">
      <c r="A1166" s="107" t="s">
        <v>2944</v>
      </c>
      <c r="B1166" s="107" t="str">
        <f t="shared" si="349"/>
        <v>202503</v>
      </c>
      <c r="C1166" s="107" t="str">
        <f t="shared" ca="1" si="372"/>
        <v>v1</v>
      </c>
      <c r="D1166" s="399" t="str">
        <f t="shared" ca="1" si="373"/>
        <v>09.04.00.02.</v>
      </c>
      <c r="E1166" s="107">
        <f t="shared" si="360"/>
        <v>0</v>
      </c>
      <c r="F1166" s="108">
        <f ca="1">OFFSET('Tabla III.4.'!$H$12,H1166-1,I1166-1)</f>
        <v>0</v>
      </c>
      <c r="G1166" s="107" t="str">
        <f ca="1">OFFSET('Tabla III.4.'!$H$1,0,I1166-1)</f>
        <v>04</v>
      </c>
      <c r="H1166" s="110">
        <f t="shared" si="374"/>
        <v>12</v>
      </c>
      <c r="I1166" s="110">
        <f t="shared" si="375"/>
        <v>4</v>
      </c>
      <c r="J1166" s="110" t="str">
        <f ca="1">+'Tabla III.4.'!$C$9</f>
        <v>Tabla III.4.</v>
      </c>
      <c r="K1166" s="110" t="str">
        <f t="shared" si="371"/>
        <v>A</v>
      </c>
      <c r="L1166" s="107"/>
      <c r="M1166" s="3"/>
    </row>
    <row r="1167" spans="1:13">
      <c r="A1167" s="107" t="s">
        <v>2944</v>
      </c>
      <c r="B1167" s="107" t="str">
        <f t="shared" si="349"/>
        <v>202503</v>
      </c>
      <c r="C1167" s="107" t="str">
        <f t="shared" ca="1" si="372"/>
        <v>v1</v>
      </c>
      <c r="D1167" s="399" t="str">
        <f t="shared" ca="1" si="373"/>
        <v>09.04.00.02.</v>
      </c>
      <c r="E1167" s="107">
        <f t="shared" si="360"/>
        <v>0</v>
      </c>
      <c r="F1167" s="108">
        <f ca="1">OFFSET('Tabla III.4.'!$H$12,H1167-1,I1167-1)</f>
        <v>0</v>
      </c>
      <c r="G1167" s="107" t="str">
        <f ca="1">OFFSET('Tabla III.4.'!$H$1,0,I1167-1)</f>
        <v>05</v>
      </c>
      <c r="H1167" s="110">
        <f t="shared" si="374"/>
        <v>12</v>
      </c>
      <c r="I1167" s="110">
        <f t="shared" si="375"/>
        <v>5</v>
      </c>
      <c r="J1167" s="110" t="str">
        <f ca="1">+'Tabla III.4.'!$C$9</f>
        <v>Tabla III.4.</v>
      </c>
      <c r="K1167" s="110" t="str">
        <f t="shared" si="371"/>
        <v>A</v>
      </c>
      <c r="L1167" s="107"/>
      <c r="M1167" s="3"/>
    </row>
    <row r="1168" spans="1:13">
      <c r="A1168" s="107" t="s">
        <v>2944</v>
      </c>
      <c r="B1168" s="107" t="str">
        <f t="shared" si="349"/>
        <v>202503</v>
      </c>
      <c r="C1168" s="107" t="str">
        <f t="shared" ca="1" si="372"/>
        <v>v1</v>
      </c>
      <c r="D1168" s="399" t="str">
        <f t="shared" ca="1" si="373"/>
        <v>09.04.00.02.</v>
      </c>
      <c r="E1168" s="107">
        <f t="shared" si="360"/>
        <v>0</v>
      </c>
      <c r="F1168" s="108">
        <f ca="1">OFFSET('Tabla III.4.'!$H$12,H1168-1,I1168-1)</f>
        <v>0</v>
      </c>
      <c r="G1168" s="107" t="str">
        <f ca="1">OFFSET('Tabla III.4.'!$H$1,0,I1168-1)</f>
        <v>06</v>
      </c>
      <c r="H1168" s="110">
        <f t="shared" si="374"/>
        <v>12</v>
      </c>
      <c r="I1168" s="110">
        <f t="shared" si="375"/>
        <v>6</v>
      </c>
      <c r="J1168" s="110" t="str">
        <f ca="1">+'Tabla III.4.'!$C$9</f>
        <v>Tabla III.4.</v>
      </c>
      <c r="K1168" s="110" t="str">
        <f t="shared" si="371"/>
        <v>A</v>
      </c>
      <c r="L1168" s="107"/>
      <c r="M1168" s="3"/>
    </row>
    <row r="1169" spans="1:13">
      <c r="A1169" s="107" t="s">
        <v>2944</v>
      </c>
      <c r="B1169" s="107" t="str">
        <f t="shared" si="349"/>
        <v>202503</v>
      </c>
      <c r="C1169" s="107" t="str">
        <f t="shared" ca="1" si="372"/>
        <v>v1</v>
      </c>
      <c r="D1169" s="399" t="str">
        <f t="shared" ca="1" si="373"/>
        <v>09.04.00.02.</v>
      </c>
      <c r="E1169" s="107">
        <f t="shared" si="360"/>
        <v>0</v>
      </c>
      <c r="F1169" s="108">
        <f ca="1">OFFSET('Tabla III.4.'!$H$12,H1169-1,I1169-1)</f>
        <v>0</v>
      </c>
      <c r="G1169" s="107" t="str">
        <f ca="1">OFFSET('Tabla III.4.'!$H$1,0,I1169-1)</f>
        <v>07</v>
      </c>
      <c r="H1169" s="110">
        <f t="shared" si="374"/>
        <v>12</v>
      </c>
      <c r="I1169" s="110">
        <f t="shared" si="375"/>
        <v>7</v>
      </c>
      <c r="J1169" s="110" t="str">
        <f ca="1">+'Tabla III.4.'!$C$9</f>
        <v>Tabla III.4.</v>
      </c>
      <c r="K1169" s="110" t="str">
        <f t="shared" si="371"/>
        <v>A</v>
      </c>
      <c r="L1169" s="107"/>
      <c r="M1169" s="3"/>
    </row>
    <row r="1170" spans="1:13">
      <c r="A1170" s="107" t="s">
        <v>2944</v>
      </c>
      <c r="B1170" s="107" t="str">
        <f t="shared" si="349"/>
        <v>202503</v>
      </c>
      <c r="C1170" s="107" t="str">
        <f t="shared" ca="1" si="372"/>
        <v>v1</v>
      </c>
      <c r="D1170" s="399" t="str">
        <f t="shared" ca="1" si="373"/>
        <v>09.04.00.02.</v>
      </c>
      <c r="E1170" s="107">
        <f t="shared" si="360"/>
        <v>0</v>
      </c>
      <c r="F1170" s="108">
        <f ca="1">OFFSET('Tabla III.4.'!$H$12,H1170-1,I1170-1)</f>
        <v>0</v>
      </c>
      <c r="G1170" s="107" t="str">
        <f ca="1">OFFSET('Tabla III.4.'!$H$1,0,I1170-1)</f>
        <v>08</v>
      </c>
      <c r="H1170" s="110">
        <f t="shared" si="374"/>
        <v>12</v>
      </c>
      <c r="I1170" s="110">
        <f t="shared" si="375"/>
        <v>8</v>
      </c>
      <c r="J1170" s="110" t="str">
        <f ca="1">+'Tabla III.4.'!$C$9</f>
        <v>Tabla III.4.</v>
      </c>
      <c r="K1170" s="110" t="str">
        <f t="shared" si="371"/>
        <v>A</v>
      </c>
      <c r="L1170" s="107"/>
      <c r="M1170" s="3"/>
    </row>
    <row r="1171" spans="1:13">
      <c r="A1171" s="107" t="s">
        <v>2944</v>
      </c>
      <c r="B1171" s="107" t="str">
        <f t="shared" ref="B1171:B1234" si="376">PERIODO</f>
        <v>202503</v>
      </c>
      <c r="C1171" s="107" t="str">
        <f t="shared" ca="1" si="372"/>
        <v>v1</v>
      </c>
      <c r="D1171" s="399" t="str">
        <f t="shared" ca="1" si="373"/>
        <v>09.04.00.02.</v>
      </c>
      <c r="E1171" s="107">
        <f t="shared" si="360"/>
        <v>0</v>
      </c>
      <c r="F1171" s="108">
        <f ca="1">OFFSET('Tabla III.4.'!$H$12,H1171-1,I1171-1)</f>
        <v>0</v>
      </c>
      <c r="G1171" s="107" t="str">
        <f ca="1">OFFSET('Tabla III.4.'!$H$1,0,I1171-1)</f>
        <v>09</v>
      </c>
      <c r="H1171" s="110">
        <f t="shared" si="374"/>
        <v>12</v>
      </c>
      <c r="I1171" s="110">
        <f t="shared" si="375"/>
        <v>9</v>
      </c>
      <c r="J1171" s="110" t="str">
        <f ca="1">+'Tabla III.4.'!$C$9</f>
        <v>Tabla III.4.</v>
      </c>
      <c r="K1171" s="110" t="str">
        <f t="shared" si="371"/>
        <v>A</v>
      </c>
      <c r="L1171" s="107"/>
      <c r="M1171" s="3"/>
    </row>
    <row r="1172" spans="1:13">
      <c r="A1172" s="107" t="s">
        <v>2944</v>
      </c>
      <c r="B1172" s="107" t="str">
        <f t="shared" si="376"/>
        <v>202503</v>
      </c>
      <c r="C1172" s="107" t="str">
        <f t="shared" ca="1" si="372"/>
        <v>v1</v>
      </c>
      <c r="D1172" s="399" t="str">
        <f t="shared" ca="1" si="373"/>
        <v>09.04.00.02.</v>
      </c>
      <c r="E1172" s="107">
        <f t="shared" si="360"/>
        <v>0</v>
      </c>
      <c r="F1172" s="108">
        <f ca="1">OFFSET('Tabla III.4.'!$H$12,H1172-1,I1172-1)</f>
        <v>0</v>
      </c>
      <c r="G1172" s="107" t="str">
        <f ca="1">OFFSET('Tabla III.4.'!$H$1,0,I1172-1)</f>
        <v>10</v>
      </c>
      <c r="H1172" s="110">
        <f t="shared" si="374"/>
        <v>12</v>
      </c>
      <c r="I1172" s="110">
        <f t="shared" si="375"/>
        <v>10</v>
      </c>
      <c r="J1172" s="110" t="str">
        <f ca="1">+'Tabla III.4.'!$C$9</f>
        <v>Tabla III.4.</v>
      </c>
      <c r="K1172" s="110" t="str">
        <f t="shared" si="371"/>
        <v>A</v>
      </c>
      <c r="L1172" s="107"/>
      <c r="M1172" s="3"/>
    </row>
    <row r="1173" spans="1:13">
      <c r="A1173" s="107" t="s">
        <v>2944</v>
      </c>
      <c r="B1173" s="107" t="str">
        <f t="shared" si="376"/>
        <v>202503</v>
      </c>
      <c r="C1173" s="107" t="str">
        <f t="shared" ca="1" si="372"/>
        <v>v1</v>
      </c>
      <c r="D1173" s="399" t="str">
        <f t="shared" ca="1" si="373"/>
        <v>09.04.00.02.</v>
      </c>
      <c r="E1173" s="107">
        <f t="shared" si="360"/>
        <v>0</v>
      </c>
      <c r="F1173" s="108">
        <f ca="1">OFFSET('Tabla III.4.'!$H$12,H1173-1,I1173-1)</f>
        <v>0</v>
      </c>
      <c r="G1173" s="107" t="str">
        <f ca="1">OFFSET('Tabla III.4.'!$H$1,0,I1173-1)</f>
        <v>11</v>
      </c>
      <c r="H1173" s="110">
        <f t="shared" si="374"/>
        <v>12</v>
      </c>
      <c r="I1173" s="110">
        <f t="shared" si="375"/>
        <v>11</v>
      </c>
      <c r="J1173" s="110" t="str">
        <f ca="1">+'Tabla III.4.'!$C$9</f>
        <v>Tabla III.4.</v>
      </c>
      <c r="K1173" s="110" t="str">
        <f t="shared" si="371"/>
        <v>A</v>
      </c>
      <c r="L1173" s="107"/>
      <c r="M1173" s="3"/>
    </row>
    <row r="1174" spans="1:13">
      <c r="A1174" s="107" t="s">
        <v>2944</v>
      </c>
      <c r="B1174" s="107" t="str">
        <f t="shared" si="376"/>
        <v>202503</v>
      </c>
      <c r="C1174" s="107" t="str">
        <f t="shared" ca="1" si="372"/>
        <v>v1</v>
      </c>
      <c r="D1174" s="399" t="str">
        <f t="shared" ca="1" si="373"/>
        <v>09.04.00.02.</v>
      </c>
      <c r="E1174" s="107">
        <f t="shared" si="360"/>
        <v>0</v>
      </c>
      <c r="F1174" s="108">
        <f ca="1">OFFSET('Tabla III.4.'!$H$12,H1174-1,I1174-1)</f>
        <v>0</v>
      </c>
      <c r="G1174" s="107" t="str">
        <f ca="1">OFFSET('Tabla III.4.'!$H$1,0,I1174-1)</f>
        <v>12</v>
      </c>
      <c r="H1174" s="110">
        <f t="shared" si="374"/>
        <v>12</v>
      </c>
      <c r="I1174" s="110">
        <f t="shared" si="375"/>
        <v>12</v>
      </c>
      <c r="J1174" s="110" t="str">
        <f ca="1">+'Tabla III.4.'!$C$9</f>
        <v>Tabla III.4.</v>
      </c>
      <c r="K1174" s="110" t="str">
        <f t="shared" si="371"/>
        <v>A</v>
      </c>
      <c r="L1174" s="107"/>
      <c r="M1174" s="3"/>
    </row>
    <row r="1175" spans="1:13">
      <c r="A1175" s="412" t="s">
        <v>2944</v>
      </c>
      <c r="B1175" s="412" t="str">
        <f t="shared" si="376"/>
        <v>202503</v>
      </c>
      <c r="C1175" s="412" t="s">
        <v>2945</v>
      </c>
      <c r="D1175" s="413" t="str">
        <f ca="1">OFFSET('Tabla III.4.'!$F$12,H1175-1,0)</f>
        <v>09.99.</v>
      </c>
      <c r="E1175" s="412">
        <f t="shared" si="360"/>
        <v>0</v>
      </c>
      <c r="F1175" s="414">
        <f ca="1">OFFSET('Tabla III.4.'!$H$12,H1175-1,I1175-1)</f>
        <v>0</v>
      </c>
      <c r="G1175" s="412" t="str">
        <f ca="1">OFFSET('Tabla III.4.'!$H$1,0,I1175-1)</f>
        <v>01</v>
      </c>
      <c r="H1175" s="111">
        <f>+H1163+1</f>
        <v>13</v>
      </c>
      <c r="I1175" s="111">
        <v>1</v>
      </c>
      <c r="J1175" s="111" t="str">
        <f ca="1">+'Tabla III.4.'!$C$9</f>
        <v>Tabla III.4.</v>
      </c>
      <c r="K1175" s="111" t="s">
        <v>2266</v>
      </c>
      <c r="L1175" s="412">
        <f>+L1163+1</f>
        <v>13</v>
      </c>
      <c r="M1175" s="3"/>
    </row>
    <row r="1176" spans="1:13">
      <c r="A1176" s="412" t="s">
        <v>2944</v>
      </c>
      <c r="B1176" s="412" t="str">
        <f t="shared" si="376"/>
        <v>202503</v>
      </c>
      <c r="C1176" s="412" t="str">
        <f ca="1">IF(G1176="01","v2","v1")</f>
        <v>v1</v>
      </c>
      <c r="D1176" s="413" t="str">
        <f ca="1">+D1175</f>
        <v>09.99.</v>
      </c>
      <c r="E1176" s="412">
        <f t="shared" si="360"/>
        <v>0</v>
      </c>
      <c r="F1176" s="414">
        <f ca="1">OFFSET('Tabla III.4.'!$H$12,H1176-1,I1176-1)</f>
        <v>0</v>
      </c>
      <c r="G1176" s="412" t="str">
        <f ca="1">OFFSET('Tabla III.4.'!$H$1,0,I1176-1)</f>
        <v>02</v>
      </c>
      <c r="H1176" s="111">
        <f>+H1175</f>
        <v>13</v>
      </c>
      <c r="I1176" s="111">
        <f>+I1175+1</f>
        <v>2</v>
      </c>
      <c r="J1176" s="111" t="str">
        <f ca="1">+'Tabla III.4.'!$C$9</f>
        <v>Tabla III.4.</v>
      </c>
      <c r="K1176" s="111" t="str">
        <f t="shared" ref="K1176:K1186" si="377">+K1175</f>
        <v>A</v>
      </c>
      <c r="L1176" s="412"/>
      <c r="M1176" s="3"/>
    </row>
    <row r="1177" spans="1:13">
      <c r="A1177" s="412" t="s">
        <v>2944</v>
      </c>
      <c r="B1177" s="412" t="str">
        <f t="shared" si="376"/>
        <v>202503</v>
      </c>
      <c r="C1177" s="412" t="str">
        <f t="shared" ref="C1177:C1186" ca="1" si="378">IF(G1177="01","v2","v1")</f>
        <v>v1</v>
      </c>
      <c r="D1177" s="413" t="str">
        <f t="shared" ref="D1177:D1186" ca="1" si="379">+D1176</f>
        <v>09.99.</v>
      </c>
      <c r="E1177" s="412">
        <f t="shared" si="360"/>
        <v>0</v>
      </c>
      <c r="F1177" s="414">
        <f ca="1">OFFSET('Tabla III.4.'!$H$12,H1177-1,I1177-1)</f>
        <v>0</v>
      </c>
      <c r="G1177" s="412" t="str">
        <f ca="1">OFFSET('Tabla III.4.'!$H$1,0,I1177-1)</f>
        <v>03</v>
      </c>
      <c r="H1177" s="111">
        <f t="shared" ref="H1177:H1186" si="380">+H1176</f>
        <v>13</v>
      </c>
      <c r="I1177" s="111">
        <f t="shared" ref="I1177:I1186" si="381">+I1176+1</f>
        <v>3</v>
      </c>
      <c r="J1177" s="111" t="str">
        <f ca="1">+'Tabla III.4.'!$C$9</f>
        <v>Tabla III.4.</v>
      </c>
      <c r="K1177" s="111" t="str">
        <f t="shared" si="377"/>
        <v>A</v>
      </c>
      <c r="L1177" s="412"/>
      <c r="M1177" s="3"/>
    </row>
    <row r="1178" spans="1:13">
      <c r="A1178" s="412" t="s">
        <v>2944</v>
      </c>
      <c r="B1178" s="412" t="str">
        <f t="shared" si="376"/>
        <v>202503</v>
      </c>
      <c r="C1178" s="412" t="str">
        <f t="shared" ca="1" si="378"/>
        <v>v1</v>
      </c>
      <c r="D1178" s="413" t="str">
        <f t="shared" ca="1" si="379"/>
        <v>09.99.</v>
      </c>
      <c r="E1178" s="412">
        <f t="shared" si="360"/>
        <v>0</v>
      </c>
      <c r="F1178" s="414">
        <f ca="1">OFFSET('Tabla III.4.'!$H$12,H1178-1,I1178-1)</f>
        <v>0</v>
      </c>
      <c r="G1178" s="412" t="str">
        <f ca="1">OFFSET('Tabla III.4.'!$H$1,0,I1178-1)</f>
        <v>04</v>
      </c>
      <c r="H1178" s="111">
        <f t="shared" si="380"/>
        <v>13</v>
      </c>
      <c r="I1178" s="111">
        <f t="shared" si="381"/>
        <v>4</v>
      </c>
      <c r="J1178" s="111" t="str">
        <f ca="1">+'Tabla III.4.'!$C$9</f>
        <v>Tabla III.4.</v>
      </c>
      <c r="K1178" s="111" t="str">
        <f t="shared" si="377"/>
        <v>A</v>
      </c>
      <c r="L1178" s="412"/>
      <c r="M1178" s="3"/>
    </row>
    <row r="1179" spans="1:13">
      <c r="A1179" s="412" t="s">
        <v>2944</v>
      </c>
      <c r="B1179" s="412" t="str">
        <f t="shared" si="376"/>
        <v>202503</v>
      </c>
      <c r="C1179" s="412" t="str">
        <f t="shared" ca="1" si="378"/>
        <v>v1</v>
      </c>
      <c r="D1179" s="413" t="str">
        <f t="shared" ca="1" si="379"/>
        <v>09.99.</v>
      </c>
      <c r="E1179" s="412">
        <f t="shared" si="360"/>
        <v>0</v>
      </c>
      <c r="F1179" s="414">
        <f ca="1">OFFSET('Tabla III.4.'!$H$12,H1179-1,I1179-1)</f>
        <v>0</v>
      </c>
      <c r="G1179" s="412" t="str">
        <f ca="1">OFFSET('Tabla III.4.'!$H$1,0,I1179-1)</f>
        <v>05</v>
      </c>
      <c r="H1179" s="111">
        <f t="shared" si="380"/>
        <v>13</v>
      </c>
      <c r="I1179" s="111">
        <f t="shared" si="381"/>
        <v>5</v>
      </c>
      <c r="J1179" s="111" t="str">
        <f ca="1">+'Tabla III.4.'!$C$9</f>
        <v>Tabla III.4.</v>
      </c>
      <c r="K1179" s="111" t="str">
        <f t="shared" si="377"/>
        <v>A</v>
      </c>
      <c r="L1179" s="412"/>
      <c r="M1179" s="3"/>
    </row>
    <row r="1180" spans="1:13">
      <c r="A1180" s="412" t="s">
        <v>2944</v>
      </c>
      <c r="B1180" s="412" t="str">
        <f t="shared" si="376"/>
        <v>202503</v>
      </c>
      <c r="C1180" s="412" t="str">
        <f t="shared" ca="1" si="378"/>
        <v>v1</v>
      </c>
      <c r="D1180" s="413" t="str">
        <f t="shared" ca="1" si="379"/>
        <v>09.99.</v>
      </c>
      <c r="E1180" s="412">
        <f t="shared" si="360"/>
        <v>0</v>
      </c>
      <c r="F1180" s="414">
        <f ca="1">OFFSET('Tabla III.4.'!$H$12,H1180-1,I1180-1)</f>
        <v>0</v>
      </c>
      <c r="G1180" s="412" t="str">
        <f ca="1">OFFSET('Tabla III.4.'!$H$1,0,I1180-1)</f>
        <v>06</v>
      </c>
      <c r="H1180" s="111">
        <f t="shared" si="380"/>
        <v>13</v>
      </c>
      <c r="I1180" s="111">
        <f t="shared" si="381"/>
        <v>6</v>
      </c>
      <c r="J1180" s="111" t="str">
        <f ca="1">+'Tabla III.4.'!$C$9</f>
        <v>Tabla III.4.</v>
      </c>
      <c r="K1180" s="111" t="str">
        <f t="shared" si="377"/>
        <v>A</v>
      </c>
      <c r="L1180" s="412"/>
      <c r="M1180" s="3"/>
    </row>
    <row r="1181" spans="1:13">
      <c r="A1181" s="412" t="s">
        <v>2944</v>
      </c>
      <c r="B1181" s="412" t="str">
        <f t="shared" si="376"/>
        <v>202503</v>
      </c>
      <c r="C1181" s="412" t="str">
        <f t="shared" ca="1" si="378"/>
        <v>v1</v>
      </c>
      <c r="D1181" s="413" t="str">
        <f t="shared" ca="1" si="379"/>
        <v>09.99.</v>
      </c>
      <c r="E1181" s="412">
        <f t="shared" si="360"/>
        <v>0</v>
      </c>
      <c r="F1181" s="414">
        <f ca="1">OFFSET('Tabla III.4.'!$H$12,H1181-1,I1181-1)</f>
        <v>0</v>
      </c>
      <c r="G1181" s="412" t="str">
        <f ca="1">OFFSET('Tabla III.4.'!$H$1,0,I1181-1)</f>
        <v>07</v>
      </c>
      <c r="H1181" s="111">
        <f t="shared" si="380"/>
        <v>13</v>
      </c>
      <c r="I1181" s="111">
        <f t="shared" si="381"/>
        <v>7</v>
      </c>
      <c r="J1181" s="111" t="str">
        <f ca="1">+'Tabla III.4.'!$C$9</f>
        <v>Tabla III.4.</v>
      </c>
      <c r="K1181" s="111" t="str">
        <f t="shared" si="377"/>
        <v>A</v>
      </c>
      <c r="L1181" s="412"/>
      <c r="M1181" s="3"/>
    </row>
    <row r="1182" spans="1:13">
      <c r="A1182" s="412" t="s">
        <v>2944</v>
      </c>
      <c r="B1182" s="412" t="str">
        <f t="shared" si="376"/>
        <v>202503</v>
      </c>
      <c r="C1182" s="412" t="str">
        <f t="shared" ca="1" si="378"/>
        <v>v1</v>
      </c>
      <c r="D1182" s="413" t="str">
        <f t="shared" ca="1" si="379"/>
        <v>09.99.</v>
      </c>
      <c r="E1182" s="412">
        <f t="shared" si="360"/>
        <v>0</v>
      </c>
      <c r="F1182" s="414">
        <f ca="1">OFFSET('Tabla III.4.'!$H$12,H1182-1,I1182-1)</f>
        <v>0</v>
      </c>
      <c r="G1182" s="412" t="str">
        <f ca="1">OFFSET('Tabla III.4.'!$H$1,0,I1182-1)</f>
        <v>08</v>
      </c>
      <c r="H1182" s="111">
        <f t="shared" si="380"/>
        <v>13</v>
      </c>
      <c r="I1182" s="111">
        <f t="shared" si="381"/>
        <v>8</v>
      </c>
      <c r="J1182" s="111" t="str">
        <f ca="1">+'Tabla III.4.'!$C$9</f>
        <v>Tabla III.4.</v>
      </c>
      <c r="K1182" s="111" t="str">
        <f t="shared" si="377"/>
        <v>A</v>
      </c>
      <c r="L1182" s="412"/>
      <c r="M1182" s="3"/>
    </row>
    <row r="1183" spans="1:13">
      <c r="A1183" s="412" t="s">
        <v>2944</v>
      </c>
      <c r="B1183" s="412" t="str">
        <f t="shared" si="376"/>
        <v>202503</v>
      </c>
      <c r="C1183" s="412" t="str">
        <f t="shared" ca="1" si="378"/>
        <v>v1</v>
      </c>
      <c r="D1183" s="413" t="str">
        <f t="shared" ca="1" si="379"/>
        <v>09.99.</v>
      </c>
      <c r="E1183" s="412">
        <f t="shared" si="360"/>
        <v>0</v>
      </c>
      <c r="F1183" s="414">
        <f ca="1">OFFSET('Tabla III.4.'!$H$12,H1183-1,I1183-1)</f>
        <v>0</v>
      </c>
      <c r="G1183" s="412" t="str">
        <f ca="1">OFFSET('Tabla III.4.'!$H$1,0,I1183-1)</f>
        <v>09</v>
      </c>
      <c r="H1183" s="111">
        <f t="shared" si="380"/>
        <v>13</v>
      </c>
      <c r="I1183" s="111">
        <f t="shared" si="381"/>
        <v>9</v>
      </c>
      <c r="J1183" s="111" t="str">
        <f ca="1">+'Tabla III.4.'!$C$9</f>
        <v>Tabla III.4.</v>
      </c>
      <c r="K1183" s="111" t="str">
        <f t="shared" si="377"/>
        <v>A</v>
      </c>
      <c r="L1183" s="412"/>
      <c r="M1183" s="3"/>
    </row>
    <row r="1184" spans="1:13">
      <c r="A1184" s="412" t="s">
        <v>2944</v>
      </c>
      <c r="B1184" s="412" t="str">
        <f t="shared" si="376"/>
        <v>202503</v>
      </c>
      <c r="C1184" s="412" t="str">
        <f t="shared" ca="1" si="378"/>
        <v>v1</v>
      </c>
      <c r="D1184" s="413" t="str">
        <f t="shared" ca="1" si="379"/>
        <v>09.99.</v>
      </c>
      <c r="E1184" s="412">
        <f t="shared" si="360"/>
        <v>0</v>
      </c>
      <c r="F1184" s="414">
        <f ca="1">OFFSET('Tabla III.4.'!$H$12,H1184-1,I1184-1)</f>
        <v>0</v>
      </c>
      <c r="G1184" s="412" t="str">
        <f ca="1">OFFSET('Tabla III.4.'!$H$1,0,I1184-1)</f>
        <v>10</v>
      </c>
      <c r="H1184" s="111">
        <f t="shared" si="380"/>
        <v>13</v>
      </c>
      <c r="I1184" s="111">
        <f t="shared" si="381"/>
        <v>10</v>
      </c>
      <c r="J1184" s="111" t="str">
        <f ca="1">+'Tabla III.4.'!$C$9</f>
        <v>Tabla III.4.</v>
      </c>
      <c r="K1184" s="111" t="str">
        <f t="shared" si="377"/>
        <v>A</v>
      </c>
      <c r="L1184" s="412"/>
      <c r="M1184" s="3"/>
    </row>
    <row r="1185" spans="1:13">
      <c r="A1185" s="412" t="s">
        <v>2944</v>
      </c>
      <c r="B1185" s="412" t="str">
        <f t="shared" si="376"/>
        <v>202503</v>
      </c>
      <c r="C1185" s="412" t="str">
        <f t="shared" ca="1" si="378"/>
        <v>v1</v>
      </c>
      <c r="D1185" s="413" t="str">
        <f t="shared" ca="1" si="379"/>
        <v>09.99.</v>
      </c>
      <c r="E1185" s="412">
        <f t="shared" si="360"/>
        <v>0</v>
      </c>
      <c r="F1185" s="414">
        <f ca="1">OFFSET('Tabla III.4.'!$H$12,H1185-1,I1185-1)</f>
        <v>0</v>
      </c>
      <c r="G1185" s="412" t="str">
        <f ca="1">OFFSET('Tabla III.4.'!$H$1,0,I1185-1)</f>
        <v>11</v>
      </c>
      <c r="H1185" s="111">
        <f t="shared" si="380"/>
        <v>13</v>
      </c>
      <c r="I1185" s="111">
        <f t="shared" si="381"/>
        <v>11</v>
      </c>
      <c r="J1185" s="111" t="str">
        <f ca="1">+'Tabla III.4.'!$C$9</f>
        <v>Tabla III.4.</v>
      </c>
      <c r="K1185" s="111" t="str">
        <f t="shared" si="377"/>
        <v>A</v>
      </c>
      <c r="L1185" s="412"/>
      <c r="M1185" s="3"/>
    </row>
    <row r="1186" spans="1:13">
      <c r="A1186" s="412" t="s">
        <v>2944</v>
      </c>
      <c r="B1186" s="412" t="str">
        <f t="shared" si="376"/>
        <v>202503</v>
      </c>
      <c r="C1186" s="412" t="str">
        <f t="shared" ca="1" si="378"/>
        <v>v1</v>
      </c>
      <c r="D1186" s="413" t="str">
        <f t="shared" ca="1" si="379"/>
        <v>09.99.</v>
      </c>
      <c r="E1186" s="412">
        <f t="shared" si="360"/>
        <v>0</v>
      </c>
      <c r="F1186" s="414">
        <f ca="1">OFFSET('Tabla III.4.'!$H$12,H1186-1,I1186-1)</f>
        <v>0</v>
      </c>
      <c r="G1186" s="412" t="str">
        <f ca="1">OFFSET('Tabla III.4.'!$H$1,0,I1186-1)</f>
        <v>12</v>
      </c>
      <c r="H1186" s="111">
        <f t="shared" si="380"/>
        <v>13</v>
      </c>
      <c r="I1186" s="111">
        <f t="shared" si="381"/>
        <v>12</v>
      </c>
      <c r="J1186" s="111" t="str">
        <f ca="1">+'Tabla III.4.'!$C$9</f>
        <v>Tabla III.4.</v>
      </c>
      <c r="K1186" s="111" t="str">
        <f t="shared" si="377"/>
        <v>A</v>
      </c>
      <c r="L1186" s="412"/>
      <c r="M1186" s="3"/>
    </row>
    <row r="1187" spans="1:13">
      <c r="A1187" s="107" t="s">
        <v>2944</v>
      </c>
      <c r="B1187" s="107" t="str">
        <f t="shared" si="376"/>
        <v>202503</v>
      </c>
      <c r="C1187" s="107" t="s">
        <v>2945</v>
      </c>
      <c r="D1187" s="399" t="str">
        <f ca="1">OFFSET('Tabla III.4.'!$F$37,H1187-1,0)</f>
        <v>10.01.</v>
      </c>
      <c r="E1187" s="107">
        <f t="shared" si="360"/>
        <v>0</v>
      </c>
      <c r="F1187" s="108">
        <f ca="1">OFFSET('Tabla III.4.'!$H$37,H1187-1,I1187-1)</f>
        <v>0</v>
      </c>
      <c r="G1187" s="107" t="str">
        <f ca="1">OFFSET('Tabla III.4.'!$H$1,0,I1187-1)</f>
        <v>01</v>
      </c>
      <c r="H1187" s="110">
        <v>1</v>
      </c>
      <c r="I1187" s="110">
        <v>1</v>
      </c>
      <c r="J1187" s="110" t="str">
        <f ca="1">+'Tabla III.4.'!$C$9</f>
        <v>Tabla III.4.</v>
      </c>
      <c r="K1187" s="110" t="s">
        <v>2267</v>
      </c>
      <c r="L1187" s="107">
        <v>1</v>
      </c>
      <c r="M1187" s="3"/>
    </row>
    <row r="1188" spans="1:13">
      <c r="A1188" s="107" t="s">
        <v>2944</v>
      </c>
      <c r="B1188" s="107" t="str">
        <f t="shared" si="376"/>
        <v>202503</v>
      </c>
      <c r="C1188" s="107" t="str">
        <f ca="1">IF(G1188="01","v2","v1")</f>
        <v>v1</v>
      </c>
      <c r="D1188" s="399" t="str">
        <f ca="1">+D1187</f>
        <v>10.01.</v>
      </c>
      <c r="E1188" s="107">
        <f t="shared" si="360"/>
        <v>0</v>
      </c>
      <c r="F1188" s="108">
        <f ca="1">OFFSET('Tabla III.4.'!$H$37,H1188-1,I1188-1)</f>
        <v>0</v>
      </c>
      <c r="G1188" s="107" t="str">
        <f ca="1">OFFSET('Tabla III.4.'!$H$1,0,I1188-1)</f>
        <v>02</v>
      </c>
      <c r="H1188" s="110">
        <f>+H1187</f>
        <v>1</v>
      </c>
      <c r="I1188" s="110">
        <f>+I1187+1</f>
        <v>2</v>
      </c>
      <c r="J1188" s="110" t="str">
        <f ca="1">+'Tabla III.4.'!$C$9</f>
        <v>Tabla III.4.</v>
      </c>
      <c r="K1188" s="110" t="str">
        <f t="shared" ref="K1188:K1198" si="382">+K1187</f>
        <v>B</v>
      </c>
      <c r="L1188" s="107"/>
      <c r="M1188" s="3"/>
    </row>
    <row r="1189" spans="1:13">
      <c r="A1189" s="107" t="s">
        <v>2944</v>
      </c>
      <c r="B1189" s="107" t="str">
        <f t="shared" si="376"/>
        <v>202503</v>
      </c>
      <c r="C1189" s="107" t="str">
        <f t="shared" ref="C1189:C1198" ca="1" si="383">IF(G1189="01","v2","v1")</f>
        <v>v1</v>
      </c>
      <c r="D1189" s="399" t="str">
        <f t="shared" ref="D1189:D1198" ca="1" si="384">+D1188</f>
        <v>10.01.</v>
      </c>
      <c r="E1189" s="107">
        <f t="shared" si="360"/>
        <v>0</v>
      </c>
      <c r="F1189" s="108">
        <f ca="1">OFFSET('Tabla III.4.'!$H$37,H1189-1,I1189-1)</f>
        <v>0</v>
      </c>
      <c r="G1189" s="107" t="str">
        <f ca="1">OFFSET('Tabla III.4.'!$H$1,0,I1189-1)</f>
        <v>03</v>
      </c>
      <c r="H1189" s="110">
        <f t="shared" ref="H1189:H1198" si="385">+H1188</f>
        <v>1</v>
      </c>
      <c r="I1189" s="110">
        <f t="shared" ref="I1189:I1198" si="386">+I1188+1</f>
        <v>3</v>
      </c>
      <c r="J1189" s="110" t="str">
        <f ca="1">+'Tabla III.4.'!$C$9</f>
        <v>Tabla III.4.</v>
      </c>
      <c r="K1189" s="110" t="str">
        <f t="shared" si="382"/>
        <v>B</v>
      </c>
      <c r="L1189" s="107"/>
      <c r="M1189" s="3"/>
    </row>
    <row r="1190" spans="1:13">
      <c r="A1190" s="107" t="s">
        <v>2944</v>
      </c>
      <c r="B1190" s="107" t="str">
        <f t="shared" si="376"/>
        <v>202503</v>
      </c>
      <c r="C1190" s="107" t="str">
        <f t="shared" ca="1" si="383"/>
        <v>v1</v>
      </c>
      <c r="D1190" s="399" t="str">
        <f t="shared" ca="1" si="384"/>
        <v>10.01.</v>
      </c>
      <c r="E1190" s="107">
        <f t="shared" si="360"/>
        <v>0</v>
      </c>
      <c r="F1190" s="108">
        <f ca="1">OFFSET('Tabla III.4.'!$H$37,H1190-1,I1190-1)</f>
        <v>0</v>
      </c>
      <c r="G1190" s="107" t="str">
        <f ca="1">OFFSET('Tabla III.4.'!$H$1,0,I1190-1)</f>
        <v>04</v>
      </c>
      <c r="H1190" s="110">
        <f t="shared" si="385"/>
        <v>1</v>
      </c>
      <c r="I1190" s="110">
        <f t="shared" si="386"/>
        <v>4</v>
      </c>
      <c r="J1190" s="110" t="str">
        <f ca="1">+'Tabla III.4.'!$C$9</f>
        <v>Tabla III.4.</v>
      </c>
      <c r="K1190" s="110" t="str">
        <f t="shared" si="382"/>
        <v>B</v>
      </c>
      <c r="L1190" s="107"/>
      <c r="M1190" s="3"/>
    </row>
    <row r="1191" spans="1:13">
      <c r="A1191" s="107" t="s">
        <v>2944</v>
      </c>
      <c r="B1191" s="107" t="str">
        <f t="shared" si="376"/>
        <v>202503</v>
      </c>
      <c r="C1191" s="107" t="str">
        <f t="shared" ca="1" si="383"/>
        <v>v1</v>
      </c>
      <c r="D1191" s="399" t="str">
        <f t="shared" ca="1" si="384"/>
        <v>10.01.</v>
      </c>
      <c r="E1191" s="107">
        <f t="shared" si="360"/>
        <v>0</v>
      </c>
      <c r="F1191" s="108">
        <f ca="1">OFFSET('Tabla III.4.'!$H$37,H1191-1,I1191-1)</f>
        <v>0</v>
      </c>
      <c r="G1191" s="107" t="str">
        <f ca="1">OFFSET('Tabla III.4.'!$H$1,0,I1191-1)</f>
        <v>05</v>
      </c>
      <c r="H1191" s="110">
        <f t="shared" si="385"/>
        <v>1</v>
      </c>
      <c r="I1191" s="110">
        <f t="shared" si="386"/>
        <v>5</v>
      </c>
      <c r="J1191" s="110" t="str">
        <f ca="1">+'Tabla III.4.'!$C$9</f>
        <v>Tabla III.4.</v>
      </c>
      <c r="K1191" s="110" t="str">
        <f t="shared" si="382"/>
        <v>B</v>
      </c>
      <c r="L1191" s="107"/>
      <c r="M1191" s="3"/>
    </row>
    <row r="1192" spans="1:13">
      <c r="A1192" s="107" t="s">
        <v>2944</v>
      </c>
      <c r="B1192" s="107" t="str">
        <f t="shared" si="376"/>
        <v>202503</v>
      </c>
      <c r="C1192" s="107" t="str">
        <f t="shared" ca="1" si="383"/>
        <v>v1</v>
      </c>
      <c r="D1192" s="399" t="str">
        <f t="shared" ca="1" si="384"/>
        <v>10.01.</v>
      </c>
      <c r="E1192" s="107">
        <f t="shared" si="360"/>
        <v>0</v>
      </c>
      <c r="F1192" s="108">
        <f ca="1">OFFSET('Tabla III.4.'!$H$37,H1192-1,I1192-1)</f>
        <v>0</v>
      </c>
      <c r="G1192" s="107" t="str">
        <f ca="1">OFFSET('Tabla III.4.'!$H$1,0,I1192-1)</f>
        <v>06</v>
      </c>
      <c r="H1192" s="110">
        <f t="shared" si="385"/>
        <v>1</v>
      </c>
      <c r="I1192" s="110">
        <f t="shared" si="386"/>
        <v>6</v>
      </c>
      <c r="J1192" s="110" t="str">
        <f ca="1">+'Tabla III.4.'!$C$9</f>
        <v>Tabla III.4.</v>
      </c>
      <c r="K1192" s="110" t="str">
        <f t="shared" si="382"/>
        <v>B</v>
      </c>
      <c r="L1192" s="107"/>
      <c r="M1192" s="3"/>
    </row>
    <row r="1193" spans="1:13">
      <c r="A1193" s="107" t="s">
        <v>2944</v>
      </c>
      <c r="B1193" s="107" t="str">
        <f t="shared" si="376"/>
        <v>202503</v>
      </c>
      <c r="C1193" s="107" t="str">
        <f t="shared" ca="1" si="383"/>
        <v>v1</v>
      </c>
      <c r="D1193" s="399" t="str">
        <f t="shared" ca="1" si="384"/>
        <v>10.01.</v>
      </c>
      <c r="E1193" s="107">
        <f t="shared" si="360"/>
        <v>0</v>
      </c>
      <c r="F1193" s="108">
        <f ca="1">OFFSET('Tabla III.4.'!$H$37,H1193-1,I1193-1)</f>
        <v>0</v>
      </c>
      <c r="G1193" s="107" t="str">
        <f ca="1">OFFSET('Tabla III.4.'!$H$1,0,I1193-1)</f>
        <v>07</v>
      </c>
      <c r="H1193" s="110">
        <f t="shared" si="385"/>
        <v>1</v>
      </c>
      <c r="I1193" s="110">
        <f t="shared" si="386"/>
        <v>7</v>
      </c>
      <c r="J1193" s="110" t="str">
        <f ca="1">+'Tabla III.4.'!$C$9</f>
        <v>Tabla III.4.</v>
      </c>
      <c r="K1193" s="110" t="str">
        <f t="shared" si="382"/>
        <v>B</v>
      </c>
      <c r="L1193" s="107"/>
      <c r="M1193" s="3"/>
    </row>
    <row r="1194" spans="1:13">
      <c r="A1194" s="107" t="s">
        <v>2944</v>
      </c>
      <c r="B1194" s="107" t="str">
        <f t="shared" si="376"/>
        <v>202503</v>
      </c>
      <c r="C1194" s="107" t="str">
        <f t="shared" ca="1" si="383"/>
        <v>v1</v>
      </c>
      <c r="D1194" s="399" t="str">
        <f t="shared" ca="1" si="384"/>
        <v>10.01.</v>
      </c>
      <c r="E1194" s="107">
        <f t="shared" si="360"/>
        <v>0</v>
      </c>
      <c r="F1194" s="108">
        <f ca="1">OFFSET('Tabla III.4.'!$H$37,H1194-1,I1194-1)</f>
        <v>0</v>
      </c>
      <c r="G1194" s="107" t="str">
        <f ca="1">OFFSET('Tabla III.4.'!$H$1,0,I1194-1)</f>
        <v>08</v>
      </c>
      <c r="H1194" s="110">
        <f t="shared" si="385"/>
        <v>1</v>
      </c>
      <c r="I1194" s="110">
        <f t="shared" si="386"/>
        <v>8</v>
      </c>
      <c r="J1194" s="110" t="str">
        <f ca="1">+'Tabla III.4.'!$C$9</f>
        <v>Tabla III.4.</v>
      </c>
      <c r="K1194" s="110" t="str">
        <f t="shared" si="382"/>
        <v>B</v>
      </c>
      <c r="L1194" s="107"/>
      <c r="M1194" s="3"/>
    </row>
    <row r="1195" spans="1:13">
      <c r="A1195" s="107" t="s">
        <v>2944</v>
      </c>
      <c r="B1195" s="107" t="str">
        <f t="shared" si="376"/>
        <v>202503</v>
      </c>
      <c r="C1195" s="107" t="str">
        <f t="shared" ca="1" si="383"/>
        <v>v1</v>
      </c>
      <c r="D1195" s="399" t="str">
        <f t="shared" ca="1" si="384"/>
        <v>10.01.</v>
      </c>
      <c r="E1195" s="107">
        <f t="shared" si="360"/>
        <v>0</v>
      </c>
      <c r="F1195" s="108">
        <f ca="1">OFFSET('Tabla III.4.'!$H$37,H1195-1,I1195-1)</f>
        <v>0</v>
      </c>
      <c r="G1195" s="107" t="str">
        <f ca="1">OFFSET('Tabla III.4.'!$H$1,0,I1195-1)</f>
        <v>09</v>
      </c>
      <c r="H1195" s="110">
        <f t="shared" si="385"/>
        <v>1</v>
      </c>
      <c r="I1195" s="110">
        <f t="shared" si="386"/>
        <v>9</v>
      </c>
      <c r="J1195" s="110" t="str">
        <f ca="1">+'Tabla III.4.'!$C$9</f>
        <v>Tabla III.4.</v>
      </c>
      <c r="K1195" s="110" t="str">
        <f t="shared" si="382"/>
        <v>B</v>
      </c>
      <c r="L1195" s="107"/>
      <c r="M1195" s="3"/>
    </row>
    <row r="1196" spans="1:13">
      <c r="A1196" s="107" t="s">
        <v>2944</v>
      </c>
      <c r="B1196" s="107" t="str">
        <f t="shared" si="376"/>
        <v>202503</v>
      </c>
      <c r="C1196" s="107" t="str">
        <f t="shared" ca="1" si="383"/>
        <v>v1</v>
      </c>
      <c r="D1196" s="399" t="str">
        <f t="shared" ca="1" si="384"/>
        <v>10.01.</v>
      </c>
      <c r="E1196" s="107">
        <f t="shared" si="360"/>
        <v>0</v>
      </c>
      <c r="F1196" s="108">
        <f ca="1">OFFSET('Tabla III.4.'!$H$37,H1196-1,I1196-1)</f>
        <v>0</v>
      </c>
      <c r="G1196" s="107" t="str">
        <f ca="1">OFFSET('Tabla III.4.'!$H$1,0,I1196-1)</f>
        <v>10</v>
      </c>
      <c r="H1196" s="110">
        <f t="shared" si="385"/>
        <v>1</v>
      </c>
      <c r="I1196" s="110">
        <f t="shared" si="386"/>
        <v>10</v>
      </c>
      <c r="J1196" s="110" t="str">
        <f ca="1">+'Tabla III.4.'!$C$9</f>
        <v>Tabla III.4.</v>
      </c>
      <c r="K1196" s="110" t="str">
        <f t="shared" si="382"/>
        <v>B</v>
      </c>
      <c r="L1196" s="107"/>
      <c r="M1196" s="3"/>
    </row>
    <row r="1197" spans="1:13">
      <c r="A1197" s="107" t="s">
        <v>2944</v>
      </c>
      <c r="B1197" s="107" t="str">
        <f t="shared" si="376"/>
        <v>202503</v>
      </c>
      <c r="C1197" s="107" t="str">
        <f t="shared" ca="1" si="383"/>
        <v>v1</v>
      </c>
      <c r="D1197" s="399" t="str">
        <f t="shared" ca="1" si="384"/>
        <v>10.01.</v>
      </c>
      <c r="E1197" s="107">
        <f t="shared" si="360"/>
        <v>0</v>
      </c>
      <c r="F1197" s="108">
        <f ca="1">OFFSET('Tabla III.4.'!$H$37,H1197-1,I1197-1)</f>
        <v>0</v>
      </c>
      <c r="G1197" s="107" t="str">
        <f ca="1">OFFSET('Tabla III.4.'!$H$1,0,I1197-1)</f>
        <v>11</v>
      </c>
      <c r="H1197" s="110">
        <f t="shared" si="385"/>
        <v>1</v>
      </c>
      <c r="I1197" s="110">
        <f t="shared" si="386"/>
        <v>11</v>
      </c>
      <c r="J1197" s="110" t="str">
        <f ca="1">+'Tabla III.4.'!$C$9</f>
        <v>Tabla III.4.</v>
      </c>
      <c r="K1197" s="110" t="str">
        <f t="shared" si="382"/>
        <v>B</v>
      </c>
      <c r="L1197" s="107"/>
      <c r="M1197" s="3"/>
    </row>
    <row r="1198" spans="1:13">
      <c r="A1198" s="107" t="s">
        <v>2944</v>
      </c>
      <c r="B1198" s="107" t="str">
        <f t="shared" si="376"/>
        <v>202503</v>
      </c>
      <c r="C1198" s="107" t="str">
        <f t="shared" ca="1" si="383"/>
        <v>v1</v>
      </c>
      <c r="D1198" s="399" t="str">
        <f t="shared" ca="1" si="384"/>
        <v>10.01.</v>
      </c>
      <c r="E1198" s="107">
        <f t="shared" si="360"/>
        <v>0</v>
      </c>
      <c r="F1198" s="108">
        <f ca="1">OFFSET('Tabla III.4.'!$H$37,H1198-1,I1198-1)</f>
        <v>0</v>
      </c>
      <c r="G1198" s="107" t="str">
        <f ca="1">OFFSET('Tabla III.4.'!$H$1,0,I1198-1)</f>
        <v>12</v>
      </c>
      <c r="H1198" s="110">
        <f t="shared" si="385"/>
        <v>1</v>
      </c>
      <c r="I1198" s="110">
        <f t="shared" si="386"/>
        <v>12</v>
      </c>
      <c r="J1198" s="110" t="str">
        <f ca="1">+'Tabla III.4.'!$C$9</f>
        <v>Tabla III.4.</v>
      </c>
      <c r="K1198" s="110" t="str">
        <f t="shared" si="382"/>
        <v>B</v>
      </c>
      <c r="L1198" s="107"/>
      <c r="M1198" s="3"/>
    </row>
    <row r="1199" spans="1:13">
      <c r="A1199" s="412" t="s">
        <v>2944</v>
      </c>
      <c r="B1199" s="412" t="str">
        <f t="shared" si="376"/>
        <v>202503</v>
      </c>
      <c r="C1199" s="412" t="s">
        <v>2945</v>
      </c>
      <c r="D1199" s="413" t="str">
        <f ca="1">OFFSET('Tabla III.4.'!$F$37,H1199-1,0)</f>
        <v>10.01.01.</v>
      </c>
      <c r="E1199" s="412">
        <f t="shared" si="360"/>
        <v>0</v>
      </c>
      <c r="F1199" s="414">
        <f ca="1">OFFSET('Tabla III.4.'!$H$37,H1199-1,I1199-1)</f>
        <v>0</v>
      </c>
      <c r="G1199" s="412" t="str">
        <f ca="1">OFFSET('Tabla III.4.'!$H$1,0,I1199-1)</f>
        <v>01</v>
      </c>
      <c r="H1199" s="111">
        <f>+H1187+1</f>
        <v>2</v>
      </c>
      <c r="I1199" s="111">
        <v>1</v>
      </c>
      <c r="J1199" s="111" t="str">
        <f ca="1">+'Tabla III.4.'!$C$9</f>
        <v>Tabla III.4.</v>
      </c>
      <c r="K1199" s="111" t="s">
        <v>2267</v>
      </c>
      <c r="L1199" s="412">
        <f>+L1187+1</f>
        <v>2</v>
      </c>
      <c r="M1199" s="3"/>
    </row>
    <row r="1200" spans="1:13">
      <c r="A1200" s="412" t="s">
        <v>2944</v>
      </c>
      <c r="B1200" s="412" t="str">
        <f t="shared" si="376"/>
        <v>202503</v>
      </c>
      <c r="C1200" s="412" t="str">
        <f ca="1">IF(G1200="01","v2","v1")</f>
        <v>v1</v>
      </c>
      <c r="D1200" s="413" t="str">
        <f ca="1">+D1199</f>
        <v>10.01.01.</v>
      </c>
      <c r="E1200" s="412">
        <f t="shared" ref="E1200:E1263" si="387">RUC</f>
        <v>0</v>
      </c>
      <c r="F1200" s="414">
        <f ca="1">OFFSET('Tabla III.4.'!$H$37,H1200-1,I1200-1)</f>
        <v>0</v>
      </c>
      <c r="G1200" s="412" t="str">
        <f ca="1">OFFSET('Tabla III.4.'!$H$1,0,I1200-1)</f>
        <v>02</v>
      </c>
      <c r="H1200" s="111">
        <f>+H1199</f>
        <v>2</v>
      </c>
      <c r="I1200" s="111">
        <f>+I1199+1</f>
        <v>2</v>
      </c>
      <c r="J1200" s="111" t="str">
        <f ca="1">+'Tabla III.4.'!$C$9</f>
        <v>Tabla III.4.</v>
      </c>
      <c r="K1200" s="111" t="str">
        <f t="shared" ref="K1200:K1210" si="388">+K1199</f>
        <v>B</v>
      </c>
      <c r="L1200" s="412"/>
      <c r="M1200" s="3"/>
    </row>
    <row r="1201" spans="1:13">
      <c r="A1201" s="412" t="s">
        <v>2944</v>
      </c>
      <c r="B1201" s="412" t="str">
        <f t="shared" si="376"/>
        <v>202503</v>
      </c>
      <c r="C1201" s="412" t="str">
        <f t="shared" ref="C1201:C1210" ca="1" si="389">IF(G1201="01","v2","v1")</f>
        <v>v1</v>
      </c>
      <c r="D1201" s="413" t="str">
        <f t="shared" ref="D1201:D1210" ca="1" si="390">+D1200</f>
        <v>10.01.01.</v>
      </c>
      <c r="E1201" s="412">
        <f t="shared" si="387"/>
        <v>0</v>
      </c>
      <c r="F1201" s="414">
        <f ca="1">OFFSET('Tabla III.4.'!$H$37,H1201-1,I1201-1)</f>
        <v>0</v>
      </c>
      <c r="G1201" s="412" t="str">
        <f ca="1">OFFSET('Tabla III.4.'!$H$1,0,I1201-1)</f>
        <v>03</v>
      </c>
      <c r="H1201" s="111">
        <f t="shared" ref="H1201:H1210" si="391">+H1200</f>
        <v>2</v>
      </c>
      <c r="I1201" s="111">
        <f t="shared" ref="I1201:I1210" si="392">+I1200+1</f>
        <v>3</v>
      </c>
      <c r="J1201" s="111" t="str">
        <f ca="1">+'Tabla III.4.'!$C$9</f>
        <v>Tabla III.4.</v>
      </c>
      <c r="K1201" s="111" t="str">
        <f t="shared" si="388"/>
        <v>B</v>
      </c>
      <c r="L1201" s="412"/>
      <c r="M1201" s="3"/>
    </row>
    <row r="1202" spans="1:13">
      <c r="A1202" s="412" t="s">
        <v>2944</v>
      </c>
      <c r="B1202" s="412" t="str">
        <f t="shared" si="376"/>
        <v>202503</v>
      </c>
      <c r="C1202" s="412" t="str">
        <f t="shared" ca="1" si="389"/>
        <v>v1</v>
      </c>
      <c r="D1202" s="413" t="str">
        <f t="shared" ca="1" si="390"/>
        <v>10.01.01.</v>
      </c>
      <c r="E1202" s="412">
        <f t="shared" si="387"/>
        <v>0</v>
      </c>
      <c r="F1202" s="414">
        <f ca="1">OFFSET('Tabla III.4.'!$H$37,H1202-1,I1202-1)</f>
        <v>0</v>
      </c>
      <c r="G1202" s="412" t="str">
        <f ca="1">OFFSET('Tabla III.4.'!$H$1,0,I1202-1)</f>
        <v>04</v>
      </c>
      <c r="H1202" s="111">
        <f t="shared" si="391"/>
        <v>2</v>
      </c>
      <c r="I1202" s="111">
        <f t="shared" si="392"/>
        <v>4</v>
      </c>
      <c r="J1202" s="111" t="str">
        <f ca="1">+'Tabla III.4.'!$C$9</f>
        <v>Tabla III.4.</v>
      </c>
      <c r="K1202" s="111" t="str">
        <f t="shared" si="388"/>
        <v>B</v>
      </c>
      <c r="L1202" s="412"/>
      <c r="M1202" s="3"/>
    </row>
    <row r="1203" spans="1:13">
      <c r="A1203" s="412" t="s">
        <v>2944</v>
      </c>
      <c r="B1203" s="412" t="str">
        <f t="shared" si="376"/>
        <v>202503</v>
      </c>
      <c r="C1203" s="412" t="str">
        <f t="shared" ca="1" si="389"/>
        <v>v1</v>
      </c>
      <c r="D1203" s="413" t="str">
        <f t="shared" ca="1" si="390"/>
        <v>10.01.01.</v>
      </c>
      <c r="E1203" s="412">
        <f t="shared" si="387"/>
        <v>0</v>
      </c>
      <c r="F1203" s="414">
        <f ca="1">OFFSET('Tabla III.4.'!$H$37,H1203-1,I1203-1)</f>
        <v>0</v>
      </c>
      <c r="G1203" s="412" t="str">
        <f ca="1">OFFSET('Tabla III.4.'!$H$1,0,I1203-1)</f>
        <v>05</v>
      </c>
      <c r="H1203" s="111">
        <f t="shared" si="391"/>
        <v>2</v>
      </c>
      <c r="I1203" s="111">
        <f t="shared" si="392"/>
        <v>5</v>
      </c>
      <c r="J1203" s="111" t="str">
        <f ca="1">+'Tabla III.4.'!$C$9</f>
        <v>Tabla III.4.</v>
      </c>
      <c r="K1203" s="111" t="str">
        <f t="shared" si="388"/>
        <v>B</v>
      </c>
      <c r="L1203" s="412"/>
      <c r="M1203" s="3"/>
    </row>
    <row r="1204" spans="1:13">
      <c r="A1204" s="412" t="s">
        <v>2944</v>
      </c>
      <c r="B1204" s="412" t="str">
        <f t="shared" si="376"/>
        <v>202503</v>
      </c>
      <c r="C1204" s="412" t="str">
        <f t="shared" ca="1" si="389"/>
        <v>v1</v>
      </c>
      <c r="D1204" s="413" t="str">
        <f t="shared" ca="1" si="390"/>
        <v>10.01.01.</v>
      </c>
      <c r="E1204" s="412">
        <f t="shared" si="387"/>
        <v>0</v>
      </c>
      <c r="F1204" s="414">
        <f ca="1">OFFSET('Tabla III.4.'!$H$37,H1204-1,I1204-1)</f>
        <v>0</v>
      </c>
      <c r="G1204" s="412" t="str">
        <f ca="1">OFFSET('Tabla III.4.'!$H$1,0,I1204-1)</f>
        <v>06</v>
      </c>
      <c r="H1204" s="111">
        <f t="shared" si="391"/>
        <v>2</v>
      </c>
      <c r="I1204" s="111">
        <f t="shared" si="392"/>
        <v>6</v>
      </c>
      <c r="J1204" s="111" t="str">
        <f ca="1">+'Tabla III.4.'!$C$9</f>
        <v>Tabla III.4.</v>
      </c>
      <c r="K1204" s="111" t="str">
        <f t="shared" si="388"/>
        <v>B</v>
      </c>
      <c r="L1204" s="412"/>
      <c r="M1204" s="3"/>
    </row>
    <row r="1205" spans="1:13">
      <c r="A1205" s="412" t="s">
        <v>2944</v>
      </c>
      <c r="B1205" s="412" t="str">
        <f t="shared" si="376"/>
        <v>202503</v>
      </c>
      <c r="C1205" s="412" t="str">
        <f t="shared" ca="1" si="389"/>
        <v>v1</v>
      </c>
      <c r="D1205" s="413" t="str">
        <f t="shared" ca="1" si="390"/>
        <v>10.01.01.</v>
      </c>
      <c r="E1205" s="412">
        <f t="shared" si="387"/>
        <v>0</v>
      </c>
      <c r="F1205" s="414">
        <f ca="1">OFFSET('Tabla III.4.'!$H$37,H1205-1,I1205-1)</f>
        <v>0</v>
      </c>
      <c r="G1205" s="412" t="str">
        <f ca="1">OFFSET('Tabla III.4.'!$H$1,0,I1205-1)</f>
        <v>07</v>
      </c>
      <c r="H1205" s="111">
        <f t="shared" si="391"/>
        <v>2</v>
      </c>
      <c r="I1205" s="111">
        <f t="shared" si="392"/>
        <v>7</v>
      </c>
      <c r="J1205" s="111" t="str">
        <f ca="1">+'Tabla III.4.'!$C$9</f>
        <v>Tabla III.4.</v>
      </c>
      <c r="K1205" s="111" t="str">
        <f t="shared" si="388"/>
        <v>B</v>
      </c>
      <c r="L1205" s="412"/>
      <c r="M1205" s="3"/>
    </row>
    <row r="1206" spans="1:13">
      <c r="A1206" s="412" t="s">
        <v>2944</v>
      </c>
      <c r="B1206" s="412" t="str">
        <f t="shared" si="376"/>
        <v>202503</v>
      </c>
      <c r="C1206" s="412" t="str">
        <f t="shared" ca="1" si="389"/>
        <v>v1</v>
      </c>
      <c r="D1206" s="413" t="str">
        <f t="shared" ca="1" si="390"/>
        <v>10.01.01.</v>
      </c>
      <c r="E1206" s="412">
        <f t="shared" si="387"/>
        <v>0</v>
      </c>
      <c r="F1206" s="414">
        <f ca="1">OFFSET('Tabla III.4.'!$H$37,H1206-1,I1206-1)</f>
        <v>0</v>
      </c>
      <c r="G1206" s="412" t="str">
        <f ca="1">OFFSET('Tabla III.4.'!$H$1,0,I1206-1)</f>
        <v>08</v>
      </c>
      <c r="H1206" s="111">
        <f t="shared" si="391"/>
        <v>2</v>
      </c>
      <c r="I1206" s="111">
        <f t="shared" si="392"/>
        <v>8</v>
      </c>
      <c r="J1206" s="111" t="str">
        <f ca="1">+'Tabla III.4.'!$C$9</f>
        <v>Tabla III.4.</v>
      </c>
      <c r="K1206" s="111" t="str">
        <f t="shared" si="388"/>
        <v>B</v>
      </c>
      <c r="L1206" s="412"/>
      <c r="M1206" s="3"/>
    </row>
    <row r="1207" spans="1:13">
      <c r="A1207" s="412" t="s">
        <v>2944</v>
      </c>
      <c r="B1207" s="412" t="str">
        <f t="shared" si="376"/>
        <v>202503</v>
      </c>
      <c r="C1207" s="412" t="str">
        <f t="shared" ca="1" si="389"/>
        <v>v1</v>
      </c>
      <c r="D1207" s="413" t="str">
        <f t="shared" ca="1" si="390"/>
        <v>10.01.01.</v>
      </c>
      <c r="E1207" s="412">
        <f t="shared" si="387"/>
        <v>0</v>
      </c>
      <c r="F1207" s="414">
        <f ca="1">OFFSET('Tabla III.4.'!$H$37,H1207-1,I1207-1)</f>
        <v>0</v>
      </c>
      <c r="G1207" s="412" t="str">
        <f ca="1">OFFSET('Tabla III.4.'!$H$1,0,I1207-1)</f>
        <v>09</v>
      </c>
      <c r="H1207" s="111">
        <f t="shared" si="391"/>
        <v>2</v>
      </c>
      <c r="I1207" s="111">
        <f t="shared" si="392"/>
        <v>9</v>
      </c>
      <c r="J1207" s="111" t="str">
        <f ca="1">+'Tabla III.4.'!$C$9</f>
        <v>Tabla III.4.</v>
      </c>
      <c r="K1207" s="111" t="str">
        <f t="shared" si="388"/>
        <v>B</v>
      </c>
      <c r="L1207" s="412"/>
      <c r="M1207" s="3"/>
    </row>
    <row r="1208" spans="1:13">
      <c r="A1208" s="412" t="s">
        <v>2944</v>
      </c>
      <c r="B1208" s="412" t="str">
        <f t="shared" si="376"/>
        <v>202503</v>
      </c>
      <c r="C1208" s="412" t="str">
        <f t="shared" ca="1" si="389"/>
        <v>v1</v>
      </c>
      <c r="D1208" s="413" t="str">
        <f t="shared" ca="1" si="390"/>
        <v>10.01.01.</v>
      </c>
      <c r="E1208" s="412">
        <f t="shared" si="387"/>
        <v>0</v>
      </c>
      <c r="F1208" s="414">
        <f ca="1">OFFSET('Tabla III.4.'!$H$37,H1208-1,I1208-1)</f>
        <v>0</v>
      </c>
      <c r="G1208" s="412" t="str">
        <f ca="1">OFFSET('Tabla III.4.'!$H$1,0,I1208-1)</f>
        <v>10</v>
      </c>
      <c r="H1208" s="111">
        <f t="shared" si="391"/>
        <v>2</v>
      </c>
      <c r="I1208" s="111">
        <f t="shared" si="392"/>
        <v>10</v>
      </c>
      <c r="J1208" s="111" t="str">
        <f ca="1">+'Tabla III.4.'!$C$9</f>
        <v>Tabla III.4.</v>
      </c>
      <c r="K1208" s="111" t="str">
        <f t="shared" si="388"/>
        <v>B</v>
      </c>
      <c r="L1208" s="412"/>
      <c r="M1208" s="3"/>
    </row>
    <row r="1209" spans="1:13">
      <c r="A1209" s="412" t="s">
        <v>2944</v>
      </c>
      <c r="B1209" s="412" t="str">
        <f t="shared" si="376"/>
        <v>202503</v>
      </c>
      <c r="C1209" s="412" t="str">
        <f t="shared" ca="1" si="389"/>
        <v>v1</v>
      </c>
      <c r="D1209" s="413" t="str">
        <f t="shared" ca="1" si="390"/>
        <v>10.01.01.</v>
      </c>
      <c r="E1209" s="412">
        <f t="shared" si="387"/>
        <v>0</v>
      </c>
      <c r="F1209" s="414">
        <f ca="1">OFFSET('Tabla III.4.'!$H$37,H1209-1,I1209-1)</f>
        <v>0</v>
      </c>
      <c r="G1209" s="412" t="str">
        <f ca="1">OFFSET('Tabla III.4.'!$H$1,0,I1209-1)</f>
        <v>11</v>
      </c>
      <c r="H1209" s="111">
        <f t="shared" si="391"/>
        <v>2</v>
      </c>
      <c r="I1209" s="111">
        <f t="shared" si="392"/>
        <v>11</v>
      </c>
      <c r="J1209" s="111" t="str">
        <f ca="1">+'Tabla III.4.'!$C$9</f>
        <v>Tabla III.4.</v>
      </c>
      <c r="K1209" s="111" t="str">
        <f t="shared" si="388"/>
        <v>B</v>
      </c>
      <c r="L1209" s="412"/>
      <c r="M1209" s="3"/>
    </row>
    <row r="1210" spans="1:13">
      <c r="A1210" s="412" t="s">
        <v>2944</v>
      </c>
      <c r="B1210" s="412" t="str">
        <f t="shared" si="376"/>
        <v>202503</v>
      </c>
      <c r="C1210" s="412" t="str">
        <f t="shared" ca="1" si="389"/>
        <v>v1</v>
      </c>
      <c r="D1210" s="413" t="str">
        <f t="shared" ca="1" si="390"/>
        <v>10.01.01.</v>
      </c>
      <c r="E1210" s="412">
        <f t="shared" si="387"/>
        <v>0</v>
      </c>
      <c r="F1210" s="414">
        <f ca="1">OFFSET('Tabla III.4.'!$H$37,H1210-1,I1210-1)</f>
        <v>0</v>
      </c>
      <c r="G1210" s="412" t="str">
        <f ca="1">OFFSET('Tabla III.4.'!$H$1,0,I1210-1)</f>
        <v>12</v>
      </c>
      <c r="H1210" s="111">
        <f t="shared" si="391"/>
        <v>2</v>
      </c>
      <c r="I1210" s="111">
        <f t="shared" si="392"/>
        <v>12</v>
      </c>
      <c r="J1210" s="111" t="str">
        <f ca="1">+'Tabla III.4.'!$C$9</f>
        <v>Tabla III.4.</v>
      </c>
      <c r="K1210" s="111" t="str">
        <f t="shared" si="388"/>
        <v>B</v>
      </c>
      <c r="L1210" s="412"/>
      <c r="M1210" s="3"/>
    </row>
    <row r="1211" spans="1:13">
      <c r="A1211" s="107" t="s">
        <v>2944</v>
      </c>
      <c r="B1211" s="107" t="str">
        <f t="shared" si="376"/>
        <v>202503</v>
      </c>
      <c r="C1211" s="107" t="s">
        <v>2945</v>
      </c>
      <c r="D1211" s="399" t="str">
        <f ca="1">OFFSET('Tabla III.4.'!$F$37,H1211-1,0)</f>
        <v>10.01.01.01.</v>
      </c>
      <c r="E1211" s="107">
        <f t="shared" si="387"/>
        <v>0</v>
      </c>
      <c r="F1211" s="108">
        <f ca="1">OFFSET('Tabla III.4.'!$H$37,H1211-1,I1211-1)</f>
        <v>0</v>
      </c>
      <c r="G1211" s="107" t="str">
        <f ca="1">OFFSET('Tabla III.4.'!$H$1,0,I1211-1)</f>
        <v>01</v>
      </c>
      <c r="H1211" s="110">
        <f>+H1199+1</f>
        <v>3</v>
      </c>
      <c r="I1211" s="110">
        <v>1</v>
      </c>
      <c r="J1211" s="110" t="str">
        <f ca="1">+'Tabla III.4.'!$C$9</f>
        <v>Tabla III.4.</v>
      </c>
      <c r="K1211" s="110" t="s">
        <v>2267</v>
      </c>
      <c r="L1211" s="107">
        <f>+L1199+1</f>
        <v>3</v>
      </c>
      <c r="M1211" s="3"/>
    </row>
    <row r="1212" spans="1:13">
      <c r="A1212" s="107" t="s">
        <v>2944</v>
      </c>
      <c r="B1212" s="107" t="str">
        <f t="shared" si="376"/>
        <v>202503</v>
      </c>
      <c r="C1212" s="107" t="str">
        <f ca="1">IF(G1212="01","v2","v1")</f>
        <v>v1</v>
      </c>
      <c r="D1212" s="399" t="str">
        <f ca="1">+D1211</f>
        <v>10.01.01.01.</v>
      </c>
      <c r="E1212" s="107">
        <f t="shared" si="387"/>
        <v>0</v>
      </c>
      <c r="F1212" s="108">
        <f ca="1">OFFSET('Tabla III.4.'!$H$37,H1212-1,I1212-1)</f>
        <v>0</v>
      </c>
      <c r="G1212" s="107" t="str">
        <f ca="1">OFFSET('Tabla III.4.'!$H$1,0,I1212-1)</f>
        <v>02</v>
      </c>
      <c r="H1212" s="110">
        <f>+H1211</f>
        <v>3</v>
      </c>
      <c r="I1212" s="110">
        <f>+I1211+1</f>
        <v>2</v>
      </c>
      <c r="J1212" s="110" t="str">
        <f ca="1">+'Tabla III.4.'!$C$9</f>
        <v>Tabla III.4.</v>
      </c>
      <c r="K1212" s="110" t="str">
        <f t="shared" ref="K1212:K1222" si="393">+K1211</f>
        <v>B</v>
      </c>
      <c r="L1212" s="107"/>
      <c r="M1212" s="3"/>
    </row>
    <row r="1213" spans="1:13">
      <c r="A1213" s="107" t="s">
        <v>2944</v>
      </c>
      <c r="B1213" s="107" t="str">
        <f t="shared" si="376"/>
        <v>202503</v>
      </c>
      <c r="C1213" s="107" t="str">
        <f t="shared" ref="C1213:C1222" ca="1" si="394">IF(G1213="01","v2","v1")</f>
        <v>v1</v>
      </c>
      <c r="D1213" s="399" t="str">
        <f t="shared" ref="D1213:D1222" ca="1" si="395">+D1212</f>
        <v>10.01.01.01.</v>
      </c>
      <c r="E1213" s="107">
        <f t="shared" si="387"/>
        <v>0</v>
      </c>
      <c r="F1213" s="108">
        <f ca="1">OFFSET('Tabla III.4.'!$H$37,H1213-1,I1213-1)</f>
        <v>0</v>
      </c>
      <c r="G1213" s="107" t="str">
        <f ca="1">OFFSET('Tabla III.4.'!$H$1,0,I1213-1)</f>
        <v>03</v>
      </c>
      <c r="H1213" s="110">
        <f t="shared" ref="H1213:H1222" si="396">+H1212</f>
        <v>3</v>
      </c>
      <c r="I1213" s="110">
        <f t="shared" ref="I1213:I1222" si="397">+I1212+1</f>
        <v>3</v>
      </c>
      <c r="J1213" s="110" t="str">
        <f ca="1">+'Tabla III.4.'!$C$9</f>
        <v>Tabla III.4.</v>
      </c>
      <c r="K1213" s="110" t="str">
        <f t="shared" si="393"/>
        <v>B</v>
      </c>
      <c r="L1213" s="107"/>
      <c r="M1213" s="3"/>
    </row>
    <row r="1214" spans="1:13">
      <c r="A1214" s="107" t="s">
        <v>2944</v>
      </c>
      <c r="B1214" s="107" t="str">
        <f t="shared" si="376"/>
        <v>202503</v>
      </c>
      <c r="C1214" s="107" t="str">
        <f t="shared" ca="1" si="394"/>
        <v>v1</v>
      </c>
      <c r="D1214" s="399" t="str">
        <f t="shared" ca="1" si="395"/>
        <v>10.01.01.01.</v>
      </c>
      <c r="E1214" s="107">
        <f t="shared" si="387"/>
        <v>0</v>
      </c>
      <c r="F1214" s="108">
        <f ca="1">OFFSET('Tabla III.4.'!$H$37,H1214-1,I1214-1)</f>
        <v>0</v>
      </c>
      <c r="G1214" s="107" t="str">
        <f ca="1">OFFSET('Tabla III.4.'!$H$1,0,I1214-1)</f>
        <v>04</v>
      </c>
      <c r="H1214" s="110">
        <f t="shared" si="396"/>
        <v>3</v>
      </c>
      <c r="I1214" s="110">
        <f t="shared" si="397"/>
        <v>4</v>
      </c>
      <c r="J1214" s="110" t="str">
        <f ca="1">+'Tabla III.4.'!$C$9</f>
        <v>Tabla III.4.</v>
      </c>
      <c r="K1214" s="110" t="str">
        <f t="shared" si="393"/>
        <v>B</v>
      </c>
      <c r="L1214" s="107"/>
      <c r="M1214" s="3"/>
    </row>
    <row r="1215" spans="1:13">
      <c r="A1215" s="107" t="s">
        <v>2944</v>
      </c>
      <c r="B1215" s="107" t="str">
        <f t="shared" si="376"/>
        <v>202503</v>
      </c>
      <c r="C1215" s="107" t="str">
        <f t="shared" ca="1" si="394"/>
        <v>v1</v>
      </c>
      <c r="D1215" s="399" t="str">
        <f t="shared" ca="1" si="395"/>
        <v>10.01.01.01.</v>
      </c>
      <c r="E1215" s="107">
        <f t="shared" si="387"/>
        <v>0</v>
      </c>
      <c r="F1215" s="108">
        <f ca="1">OFFSET('Tabla III.4.'!$H$37,H1215-1,I1215-1)</f>
        <v>0</v>
      </c>
      <c r="G1215" s="107" t="str">
        <f ca="1">OFFSET('Tabla III.4.'!$H$1,0,I1215-1)</f>
        <v>05</v>
      </c>
      <c r="H1215" s="110">
        <f t="shared" si="396"/>
        <v>3</v>
      </c>
      <c r="I1215" s="110">
        <f t="shared" si="397"/>
        <v>5</v>
      </c>
      <c r="J1215" s="110" t="str">
        <f ca="1">+'Tabla III.4.'!$C$9</f>
        <v>Tabla III.4.</v>
      </c>
      <c r="K1215" s="110" t="str">
        <f t="shared" si="393"/>
        <v>B</v>
      </c>
      <c r="L1215" s="107"/>
      <c r="M1215" s="3"/>
    </row>
    <row r="1216" spans="1:13">
      <c r="A1216" s="107" t="s">
        <v>2944</v>
      </c>
      <c r="B1216" s="107" t="str">
        <f t="shared" si="376"/>
        <v>202503</v>
      </c>
      <c r="C1216" s="107" t="str">
        <f t="shared" ca="1" si="394"/>
        <v>v1</v>
      </c>
      <c r="D1216" s="399" t="str">
        <f t="shared" ca="1" si="395"/>
        <v>10.01.01.01.</v>
      </c>
      <c r="E1216" s="107">
        <f t="shared" si="387"/>
        <v>0</v>
      </c>
      <c r="F1216" s="108">
        <f ca="1">OFFSET('Tabla III.4.'!$H$37,H1216-1,I1216-1)</f>
        <v>0</v>
      </c>
      <c r="G1216" s="107" t="str">
        <f ca="1">OFFSET('Tabla III.4.'!$H$1,0,I1216-1)</f>
        <v>06</v>
      </c>
      <c r="H1216" s="110">
        <f t="shared" si="396"/>
        <v>3</v>
      </c>
      <c r="I1216" s="110">
        <f t="shared" si="397"/>
        <v>6</v>
      </c>
      <c r="J1216" s="110" t="str">
        <f ca="1">+'Tabla III.4.'!$C$9</f>
        <v>Tabla III.4.</v>
      </c>
      <c r="K1216" s="110" t="str">
        <f t="shared" si="393"/>
        <v>B</v>
      </c>
      <c r="L1216" s="107"/>
      <c r="M1216" s="3"/>
    </row>
    <row r="1217" spans="1:13">
      <c r="A1217" s="107" t="s">
        <v>2944</v>
      </c>
      <c r="B1217" s="107" t="str">
        <f t="shared" si="376"/>
        <v>202503</v>
      </c>
      <c r="C1217" s="107" t="str">
        <f t="shared" ca="1" si="394"/>
        <v>v1</v>
      </c>
      <c r="D1217" s="399" t="str">
        <f t="shared" ca="1" si="395"/>
        <v>10.01.01.01.</v>
      </c>
      <c r="E1217" s="107">
        <f t="shared" si="387"/>
        <v>0</v>
      </c>
      <c r="F1217" s="108">
        <f ca="1">OFFSET('Tabla III.4.'!$H$37,H1217-1,I1217-1)</f>
        <v>0</v>
      </c>
      <c r="G1217" s="107" t="str">
        <f ca="1">OFFSET('Tabla III.4.'!$H$1,0,I1217-1)</f>
        <v>07</v>
      </c>
      <c r="H1217" s="110">
        <f t="shared" si="396"/>
        <v>3</v>
      </c>
      <c r="I1217" s="110">
        <f t="shared" si="397"/>
        <v>7</v>
      </c>
      <c r="J1217" s="110" t="str">
        <f ca="1">+'Tabla III.4.'!$C$9</f>
        <v>Tabla III.4.</v>
      </c>
      <c r="K1217" s="110" t="str">
        <f t="shared" si="393"/>
        <v>B</v>
      </c>
      <c r="L1217" s="107"/>
      <c r="M1217" s="3"/>
    </row>
    <row r="1218" spans="1:13">
      <c r="A1218" s="107" t="s">
        <v>2944</v>
      </c>
      <c r="B1218" s="107" t="str">
        <f t="shared" si="376"/>
        <v>202503</v>
      </c>
      <c r="C1218" s="107" t="str">
        <f t="shared" ca="1" si="394"/>
        <v>v1</v>
      </c>
      <c r="D1218" s="399" t="str">
        <f t="shared" ca="1" si="395"/>
        <v>10.01.01.01.</v>
      </c>
      <c r="E1218" s="107">
        <f t="shared" si="387"/>
        <v>0</v>
      </c>
      <c r="F1218" s="108">
        <f ca="1">OFFSET('Tabla III.4.'!$H$37,H1218-1,I1218-1)</f>
        <v>0</v>
      </c>
      <c r="G1218" s="107" t="str">
        <f ca="1">OFFSET('Tabla III.4.'!$H$1,0,I1218-1)</f>
        <v>08</v>
      </c>
      <c r="H1218" s="110">
        <f t="shared" si="396"/>
        <v>3</v>
      </c>
      <c r="I1218" s="110">
        <f t="shared" si="397"/>
        <v>8</v>
      </c>
      <c r="J1218" s="110" t="str">
        <f ca="1">+'Tabla III.4.'!$C$9</f>
        <v>Tabla III.4.</v>
      </c>
      <c r="K1218" s="110" t="str">
        <f t="shared" si="393"/>
        <v>B</v>
      </c>
      <c r="L1218" s="107"/>
      <c r="M1218" s="3"/>
    </row>
    <row r="1219" spans="1:13">
      <c r="A1219" s="107" t="s">
        <v>2944</v>
      </c>
      <c r="B1219" s="107" t="str">
        <f t="shared" si="376"/>
        <v>202503</v>
      </c>
      <c r="C1219" s="107" t="str">
        <f t="shared" ca="1" si="394"/>
        <v>v1</v>
      </c>
      <c r="D1219" s="399" t="str">
        <f t="shared" ca="1" si="395"/>
        <v>10.01.01.01.</v>
      </c>
      <c r="E1219" s="107">
        <f t="shared" si="387"/>
        <v>0</v>
      </c>
      <c r="F1219" s="108">
        <f ca="1">OFFSET('Tabla III.4.'!$H$37,H1219-1,I1219-1)</f>
        <v>0</v>
      </c>
      <c r="G1219" s="107" t="str">
        <f ca="1">OFFSET('Tabla III.4.'!$H$1,0,I1219-1)</f>
        <v>09</v>
      </c>
      <c r="H1219" s="110">
        <f t="shared" si="396"/>
        <v>3</v>
      </c>
      <c r="I1219" s="110">
        <f t="shared" si="397"/>
        <v>9</v>
      </c>
      <c r="J1219" s="110" t="str">
        <f ca="1">+'Tabla III.4.'!$C$9</f>
        <v>Tabla III.4.</v>
      </c>
      <c r="K1219" s="110" t="str">
        <f t="shared" si="393"/>
        <v>B</v>
      </c>
      <c r="L1219" s="107"/>
      <c r="M1219" s="3"/>
    </row>
    <row r="1220" spans="1:13">
      <c r="A1220" s="107" t="s">
        <v>2944</v>
      </c>
      <c r="B1220" s="107" t="str">
        <f t="shared" si="376"/>
        <v>202503</v>
      </c>
      <c r="C1220" s="107" t="str">
        <f t="shared" ca="1" si="394"/>
        <v>v1</v>
      </c>
      <c r="D1220" s="399" t="str">
        <f t="shared" ca="1" si="395"/>
        <v>10.01.01.01.</v>
      </c>
      <c r="E1220" s="107">
        <f t="shared" si="387"/>
        <v>0</v>
      </c>
      <c r="F1220" s="108">
        <f ca="1">OFFSET('Tabla III.4.'!$H$37,H1220-1,I1220-1)</f>
        <v>0</v>
      </c>
      <c r="G1220" s="107" t="str">
        <f ca="1">OFFSET('Tabla III.4.'!$H$1,0,I1220-1)</f>
        <v>10</v>
      </c>
      <c r="H1220" s="110">
        <f t="shared" si="396"/>
        <v>3</v>
      </c>
      <c r="I1220" s="110">
        <f t="shared" si="397"/>
        <v>10</v>
      </c>
      <c r="J1220" s="110" t="str">
        <f ca="1">+'Tabla III.4.'!$C$9</f>
        <v>Tabla III.4.</v>
      </c>
      <c r="K1220" s="110" t="str">
        <f t="shared" si="393"/>
        <v>B</v>
      </c>
      <c r="L1220" s="107"/>
      <c r="M1220" s="3"/>
    </row>
    <row r="1221" spans="1:13">
      <c r="A1221" s="107" t="s">
        <v>2944</v>
      </c>
      <c r="B1221" s="107" t="str">
        <f t="shared" si="376"/>
        <v>202503</v>
      </c>
      <c r="C1221" s="107" t="str">
        <f t="shared" ca="1" si="394"/>
        <v>v1</v>
      </c>
      <c r="D1221" s="399" t="str">
        <f t="shared" ca="1" si="395"/>
        <v>10.01.01.01.</v>
      </c>
      <c r="E1221" s="107">
        <f t="shared" si="387"/>
        <v>0</v>
      </c>
      <c r="F1221" s="108">
        <f ca="1">OFFSET('Tabla III.4.'!$H$37,H1221-1,I1221-1)</f>
        <v>0</v>
      </c>
      <c r="G1221" s="107" t="str">
        <f ca="1">OFFSET('Tabla III.4.'!$H$1,0,I1221-1)</f>
        <v>11</v>
      </c>
      <c r="H1221" s="110">
        <f t="shared" si="396"/>
        <v>3</v>
      </c>
      <c r="I1221" s="110">
        <f t="shared" si="397"/>
        <v>11</v>
      </c>
      <c r="J1221" s="110" t="str">
        <f ca="1">+'Tabla III.4.'!$C$9</f>
        <v>Tabla III.4.</v>
      </c>
      <c r="K1221" s="110" t="str">
        <f t="shared" si="393"/>
        <v>B</v>
      </c>
      <c r="L1221" s="107"/>
      <c r="M1221" s="3"/>
    </row>
    <row r="1222" spans="1:13">
      <c r="A1222" s="107" t="s">
        <v>2944</v>
      </c>
      <c r="B1222" s="107" t="str">
        <f t="shared" si="376"/>
        <v>202503</v>
      </c>
      <c r="C1222" s="107" t="str">
        <f t="shared" ca="1" si="394"/>
        <v>v1</v>
      </c>
      <c r="D1222" s="399" t="str">
        <f t="shared" ca="1" si="395"/>
        <v>10.01.01.01.</v>
      </c>
      <c r="E1222" s="107">
        <f t="shared" si="387"/>
        <v>0</v>
      </c>
      <c r="F1222" s="108">
        <f ca="1">OFFSET('Tabla III.4.'!$H$37,H1222-1,I1222-1)</f>
        <v>0</v>
      </c>
      <c r="G1222" s="107" t="str">
        <f ca="1">OFFSET('Tabla III.4.'!$H$1,0,I1222-1)</f>
        <v>12</v>
      </c>
      <c r="H1222" s="110">
        <f t="shared" si="396"/>
        <v>3</v>
      </c>
      <c r="I1222" s="110">
        <f t="shared" si="397"/>
        <v>12</v>
      </c>
      <c r="J1222" s="110" t="str">
        <f ca="1">+'Tabla III.4.'!$C$9</f>
        <v>Tabla III.4.</v>
      </c>
      <c r="K1222" s="110" t="str">
        <f t="shared" si="393"/>
        <v>B</v>
      </c>
      <c r="L1222" s="107"/>
      <c r="M1222" s="3"/>
    </row>
    <row r="1223" spans="1:13">
      <c r="A1223" s="412" t="s">
        <v>2944</v>
      </c>
      <c r="B1223" s="412" t="str">
        <f t="shared" si="376"/>
        <v>202503</v>
      </c>
      <c r="C1223" s="412" t="s">
        <v>2945</v>
      </c>
      <c r="D1223" s="413" t="str">
        <f ca="1">OFFSET('Tabla III.4.'!$F$37,H1223-1,0)</f>
        <v>10.01.01.02.</v>
      </c>
      <c r="E1223" s="412">
        <f t="shared" si="387"/>
        <v>0</v>
      </c>
      <c r="F1223" s="414">
        <f ca="1">OFFSET('Tabla III.4.'!$H$37,H1223-1,I1223-1)</f>
        <v>0</v>
      </c>
      <c r="G1223" s="412" t="str">
        <f ca="1">OFFSET('Tabla III.4.'!$H$1,0,I1223-1)</f>
        <v>01</v>
      </c>
      <c r="H1223" s="111">
        <f>+H1211+1</f>
        <v>4</v>
      </c>
      <c r="I1223" s="111">
        <v>1</v>
      </c>
      <c r="J1223" s="111" t="str">
        <f ca="1">+'Tabla III.4.'!$C$9</f>
        <v>Tabla III.4.</v>
      </c>
      <c r="K1223" s="111" t="s">
        <v>2267</v>
      </c>
      <c r="L1223" s="412">
        <f>+L1211+1</f>
        <v>4</v>
      </c>
      <c r="M1223" s="3"/>
    </row>
    <row r="1224" spans="1:13">
      <c r="A1224" s="412" t="s">
        <v>2944</v>
      </c>
      <c r="B1224" s="412" t="str">
        <f t="shared" si="376"/>
        <v>202503</v>
      </c>
      <c r="C1224" s="412" t="str">
        <f ca="1">IF(G1224="01","v2","v1")</f>
        <v>v1</v>
      </c>
      <c r="D1224" s="413" t="str">
        <f ca="1">+D1223</f>
        <v>10.01.01.02.</v>
      </c>
      <c r="E1224" s="412">
        <f t="shared" si="387"/>
        <v>0</v>
      </c>
      <c r="F1224" s="414">
        <f ca="1">OFFSET('Tabla III.4.'!$H$37,H1224-1,I1224-1)</f>
        <v>0</v>
      </c>
      <c r="G1224" s="412" t="str">
        <f ca="1">OFFSET('Tabla III.4.'!$H$1,0,I1224-1)</f>
        <v>02</v>
      </c>
      <c r="H1224" s="111">
        <f>+H1223</f>
        <v>4</v>
      </c>
      <c r="I1224" s="111">
        <f>+I1223+1</f>
        <v>2</v>
      </c>
      <c r="J1224" s="111" t="str">
        <f ca="1">+'Tabla III.4.'!$C$9</f>
        <v>Tabla III.4.</v>
      </c>
      <c r="K1224" s="111" t="str">
        <f t="shared" ref="K1224:K1234" si="398">+K1223</f>
        <v>B</v>
      </c>
      <c r="L1224" s="412"/>
      <c r="M1224" s="3"/>
    </row>
    <row r="1225" spans="1:13">
      <c r="A1225" s="412" t="s">
        <v>2944</v>
      </c>
      <c r="B1225" s="412" t="str">
        <f t="shared" si="376"/>
        <v>202503</v>
      </c>
      <c r="C1225" s="412" t="str">
        <f t="shared" ref="C1225:C1234" ca="1" si="399">IF(G1225="01","v2","v1")</f>
        <v>v1</v>
      </c>
      <c r="D1225" s="413" t="str">
        <f t="shared" ref="D1225:D1234" ca="1" si="400">+D1224</f>
        <v>10.01.01.02.</v>
      </c>
      <c r="E1225" s="412">
        <f t="shared" si="387"/>
        <v>0</v>
      </c>
      <c r="F1225" s="414">
        <f ca="1">OFFSET('Tabla III.4.'!$H$37,H1225-1,I1225-1)</f>
        <v>0</v>
      </c>
      <c r="G1225" s="412" t="str">
        <f ca="1">OFFSET('Tabla III.4.'!$H$1,0,I1225-1)</f>
        <v>03</v>
      </c>
      <c r="H1225" s="111">
        <f t="shared" ref="H1225:H1234" si="401">+H1224</f>
        <v>4</v>
      </c>
      <c r="I1225" s="111">
        <f t="shared" ref="I1225:I1234" si="402">+I1224+1</f>
        <v>3</v>
      </c>
      <c r="J1225" s="111" t="str">
        <f ca="1">+'Tabla III.4.'!$C$9</f>
        <v>Tabla III.4.</v>
      </c>
      <c r="K1225" s="111" t="str">
        <f t="shared" si="398"/>
        <v>B</v>
      </c>
      <c r="L1225" s="412"/>
      <c r="M1225" s="3"/>
    </row>
    <row r="1226" spans="1:13">
      <c r="A1226" s="412" t="s">
        <v>2944</v>
      </c>
      <c r="B1226" s="412" t="str">
        <f t="shared" si="376"/>
        <v>202503</v>
      </c>
      <c r="C1226" s="412" t="str">
        <f t="shared" ca="1" si="399"/>
        <v>v1</v>
      </c>
      <c r="D1226" s="413" t="str">
        <f t="shared" ca="1" si="400"/>
        <v>10.01.01.02.</v>
      </c>
      <c r="E1226" s="412">
        <f t="shared" si="387"/>
        <v>0</v>
      </c>
      <c r="F1226" s="414">
        <f ca="1">OFFSET('Tabla III.4.'!$H$37,H1226-1,I1226-1)</f>
        <v>0</v>
      </c>
      <c r="G1226" s="412" t="str">
        <f ca="1">OFFSET('Tabla III.4.'!$H$1,0,I1226-1)</f>
        <v>04</v>
      </c>
      <c r="H1226" s="111">
        <f t="shared" si="401"/>
        <v>4</v>
      </c>
      <c r="I1226" s="111">
        <f t="shared" si="402"/>
        <v>4</v>
      </c>
      <c r="J1226" s="111" t="str">
        <f ca="1">+'Tabla III.4.'!$C$9</f>
        <v>Tabla III.4.</v>
      </c>
      <c r="K1226" s="111" t="str">
        <f t="shared" si="398"/>
        <v>B</v>
      </c>
      <c r="L1226" s="412"/>
      <c r="M1226" s="3"/>
    </row>
    <row r="1227" spans="1:13">
      <c r="A1227" s="412" t="s">
        <v>2944</v>
      </c>
      <c r="B1227" s="412" t="str">
        <f t="shared" si="376"/>
        <v>202503</v>
      </c>
      <c r="C1227" s="412" t="str">
        <f t="shared" ca="1" si="399"/>
        <v>v1</v>
      </c>
      <c r="D1227" s="413" t="str">
        <f t="shared" ca="1" si="400"/>
        <v>10.01.01.02.</v>
      </c>
      <c r="E1227" s="412">
        <f t="shared" si="387"/>
        <v>0</v>
      </c>
      <c r="F1227" s="414">
        <f ca="1">OFFSET('Tabla III.4.'!$H$37,H1227-1,I1227-1)</f>
        <v>0</v>
      </c>
      <c r="G1227" s="412" t="str">
        <f ca="1">OFFSET('Tabla III.4.'!$H$1,0,I1227-1)</f>
        <v>05</v>
      </c>
      <c r="H1227" s="111">
        <f t="shared" si="401"/>
        <v>4</v>
      </c>
      <c r="I1227" s="111">
        <f t="shared" si="402"/>
        <v>5</v>
      </c>
      <c r="J1227" s="111" t="str">
        <f ca="1">+'Tabla III.4.'!$C$9</f>
        <v>Tabla III.4.</v>
      </c>
      <c r="K1227" s="111" t="str">
        <f t="shared" si="398"/>
        <v>B</v>
      </c>
      <c r="L1227" s="412"/>
      <c r="M1227" s="3"/>
    </row>
    <row r="1228" spans="1:13">
      <c r="A1228" s="412" t="s">
        <v>2944</v>
      </c>
      <c r="B1228" s="412" t="str">
        <f t="shared" si="376"/>
        <v>202503</v>
      </c>
      <c r="C1228" s="412" t="str">
        <f t="shared" ca="1" si="399"/>
        <v>v1</v>
      </c>
      <c r="D1228" s="413" t="str">
        <f t="shared" ca="1" si="400"/>
        <v>10.01.01.02.</v>
      </c>
      <c r="E1228" s="412">
        <f t="shared" si="387"/>
        <v>0</v>
      </c>
      <c r="F1228" s="414">
        <f ca="1">OFFSET('Tabla III.4.'!$H$37,H1228-1,I1228-1)</f>
        <v>0</v>
      </c>
      <c r="G1228" s="412" t="str">
        <f ca="1">OFFSET('Tabla III.4.'!$H$1,0,I1228-1)</f>
        <v>06</v>
      </c>
      <c r="H1228" s="111">
        <f t="shared" si="401"/>
        <v>4</v>
      </c>
      <c r="I1228" s="111">
        <f t="shared" si="402"/>
        <v>6</v>
      </c>
      <c r="J1228" s="111" t="str">
        <f ca="1">+'Tabla III.4.'!$C$9</f>
        <v>Tabla III.4.</v>
      </c>
      <c r="K1228" s="111" t="str">
        <f t="shared" si="398"/>
        <v>B</v>
      </c>
      <c r="L1228" s="412"/>
      <c r="M1228" s="3"/>
    </row>
    <row r="1229" spans="1:13">
      <c r="A1229" s="412" t="s">
        <v>2944</v>
      </c>
      <c r="B1229" s="412" t="str">
        <f t="shared" si="376"/>
        <v>202503</v>
      </c>
      <c r="C1229" s="412" t="str">
        <f t="shared" ca="1" si="399"/>
        <v>v1</v>
      </c>
      <c r="D1229" s="413" t="str">
        <f t="shared" ca="1" si="400"/>
        <v>10.01.01.02.</v>
      </c>
      <c r="E1229" s="412">
        <f t="shared" si="387"/>
        <v>0</v>
      </c>
      <c r="F1229" s="414">
        <f ca="1">OFFSET('Tabla III.4.'!$H$37,H1229-1,I1229-1)</f>
        <v>0</v>
      </c>
      <c r="G1229" s="412" t="str">
        <f ca="1">OFFSET('Tabla III.4.'!$H$1,0,I1229-1)</f>
        <v>07</v>
      </c>
      <c r="H1229" s="111">
        <f t="shared" si="401"/>
        <v>4</v>
      </c>
      <c r="I1229" s="111">
        <f t="shared" si="402"/>
        <v>7</v>
      </c>
      <c r="J1229" s="111" t="str">
        <f ca="1">+'Tabla III.4.'!$C$9</f>
        <v>Tabla III.4.</v>
      </c>
      <c r="K1229" s="111" t="str">
        <f t="shared" si="398"/>
        <v>B</v>
      </c>
      <c r="L1229" s="412"/>
      <c r="M1229" s="3"/>
    </row>
    <row r="1230" spans="1:13">
      <c r="A1230" s="412" t="s">
        <v>2944</v>
      </c>
      <c r="B1230" s="412" t="str">
        <f t="shared" si="376"/>
        <v>202503</v>
      </c>
      <c r="C1230" s="412" t="str">
        <f t="shared" ca="1" si="399"/>
        <v>v1</v>
      </c>
      <c r="D1230" s="413" t="str">
        <f t="shared" ca="1" si="400"/>
        <v>10.01.01.02.</v>
      </c>
      <c r="E1230" s="412">
        <f t="shared" si="387"/>
        <v>0</v>
      </c>
      <c r="F1230" s="414">
        <f ca="1">OFFSET('Tabla III.4.'!$H$37,H1230-1,I1230-1)</f>
        <v>0</v>
      </c>
      <c r="G1230" s="412" t="str">
        <f ca="1">OFFSET('Tabla III.4.'!$H$1,0,I1230-1)</f>
        <v>08</v>
      </c>
      <c r="H1230" s="111">
        <f t="shared" si="401"/>
        <v>4</v>
      </c>
      <c r="I1230" s="111">
        <f t="shared" si="402"/>
        <v>8</v>
      </c>
      <c r="J1230" s="111" t="str">
        <f ca="1">+'Tabla III.4.'!$C$9</f>
        <v>Tabla III.4.</v>
      </c>
      <c r="K1230" s="111" t="str">
        <f t="shared" si="398"/>
        <v>B</v>
      </c>
      <c r="L1230" s="412"/>
      <c r="M1230" s="3"/>
    </row>
    <row r="1231" spans="1:13">
      <c r="A1231" s="412" t="s">
        <v>2944</v>
      </c>
      <c r="B1231" s="412" t="str">
        <f t="shared" si="376"/>
        <v>202503</v>
      </c>
      <c r="C1231" s="412" t="str">
        <f t="shared" ca="1" si="399"/>
        <v>v1</v>
      </c>
      <c r="D1231" s="413" t="str">
        <f t="shared" ca="1" si="400"/>
        <v>10.01.01.02.</v>
      </c>
      <c r="E1231" s="412">
        <f t="shared" si="387"/>
        <v>0</v>
      </c>
      <c r="F1231" s="414">
        <f ca="1">OFFSET('Tabla III.4.'!$H$37,H1231-1,I1231-1)</f>
        <v>0</v>
      </c>
      <c r="G1231" s="412" t="str">
        <f ca="1">OFFSET('Tabla III.4.'!$H$1,0,I1231-1)</f>
        <v>09</v>
      </c>
      <c r="H1231" s="111">
        <f t="shared" si="401"/>
        <v>4</v>
      </c>
      <c r="I1231" s="111">
        <f t="shared" si="402"/>
        <v>9</v>
      </c>
      <c r="J1231" s="111" t="str">
        <f ca="1">+'Tabla III.4.'!$C$9</f>
        <v>Tabla III.4.</v>
      </c>
      <c r="K1231" s="111" t="str">
        <f t="shared" si="398"/>
        <v>B</v>
      </c>
      <c r="L1231" s="412"/>
      <c r="M1231" s="3"/>
    </row>
    <row r="1232" spans="1:13">
      <c r="A1232" s="412" t="s">
        <v>2944</v>
      </c>
      <c r="B1232" s="412" t="str">
        <f t="shared" si="376"/>
        <v>202503</v>
      </c>
      <c r="C1232" s="412" t="str">
        <f t="shared" ca="1" si="399"/>
        <v>v1</v>
      </c>
      <c r="D1232" s="413" t="str">
        <f t="shared" ca="1" si="400"/>
        <v>10.01.01.02.</v>
      </c>
      <c r="E1232" s="412">
        <f t="shared" si="387"/>
        <v>0</v>
      </c>
      <c r="F1232" s="414">
        <f ca="1">OFFSET('Tabla III.4.'!$H$37,H1232-1,I1232-1)</f>
        <v>0</v>
      </c>
      <c r="G1232" s="412" t="str">
        <f ca="1">OFFSET('Tabla III.4.'!$H$1,0,I1232-1)</f>
        <v>10</v>
      </c>
      <c r="H1232" s="111">
        <f t="shared" si="401"/>
        <v>4</v>
      </c>
      <c r="I1232" s="111">
        <f t="shared" si="402"/>
        <v>10</v>
      </c>
      <c r="J1232" s="111" t="str">
        <f ca="1">+'Tabla III.4.'!$C$9</f>
        <v>Tabla III.4.</v>
      </c>
      <c r="K1232" s="111" t="str">
        <f t="shared" si="398"/>
        <v>B</v>
      </c>
      <c r="L1232" s="412"/>
      <c r="M1232" s="3"/>
    </row>
    <row r="1233" spans="1:13">
      <c r="A1233" s="412" t="s">
        <v>2944</v>
      </c>
      <c r="B1233" s="412" t="str">
        <f t="shared" si="376"/>
        <v>202503</v>
      </c>
      <c r="C1233" s="412" t="str">
        <f t="shared" ca="1" si="399"/>
        <v>v1</v>
      </c>
      <c r="D1233" s="413" t="str">
        <f t="shared" ca="1" si="400"/>
        <v>10.01.01.02.</v>
      </c>
      <c r="E1233" s="412">
        <f t="shared" si="387"/>
        <v>0</v>
      </c>
      <c r="F1233" s="414">
        <f ca="1">OFFSET('Tabla III.4.'!$H$37,H1233-1,I1233-1)</f>
        <v>0</v>
      </c>
      <c r="G1233" s="412" t="str">
        <f ca="1">OFFSET('Tabla III.4.'!$H$1,0,I1233-1)</f>
        <v>11</v>
      </c>
      <c r="H1233" s="111">
        <f t="shared" si="401"/>
        <v>4</v>
      </c>
      <c r="I1233" s="111">
        <f t="shared" si="402"/>
        <v>11</v>
      </c>
      <c r="J1233" s="111" t="str">
        <f ca="1">+'Tabla III.4.'!$C$9</f>
        <v>Tabla III.4.</v>
      </c>
      <c r="K1233" s="111" t="str">
        <f t="shared" si="398"/>
        <v>B</v>
      </c>
      <c r="L1233" s="412"/>
      <c r="M1233" s="3"/>
    </row>
    <row r="1234" spans="1:13">
      <c r="A1234" s="412" t="s">
        <v>2944</v>
      </c>
      <c r="B1234" s="412" t="str">
        <f t="shared" si="376"/>
        <v>202503</v>
      </c>
      <c r="C1234" s="412" t="str">
        <f t="shared" ca="1" si="399"/>
        <v>v1</v>
      </c>
      <c r="D1234" s="413" t="str">
        <f t="shared" ca="1" si="400"/>
        <v>10.01.01.02.</v>
      </c>
      <c r="E1234" s="412">
        <f t="shared" si="387"/>
        <v>0</v>
      </c>
      <c r="F1234" s="414">
        <f ca="1">OFFSET('Tabla III.4.'!$H$37,H1234-1,I1234-1)</f>
        <v>0</v>
      </c>
      <c r="G1234" s="412" t="str">
        <f ca="1">OFFSET('Tabla III.4.'!$H$1,0,I1234-1)</f>
        <v>12</v>
      </c>
      <c r="H1234" s="111">
        <f t="shared" si="401"/>
        <v>4</v>
      </c>
      <c r="I1234" s="111">
        <f t="shared" si="402"/>
        <v>12</v>
      </c>
      <c r="J1234" s="111" t="str">
        <f ca="1">+'Tabla III.4.'!$C$9</f>
        <v>Tabla III.4.</v>
      </c>
      <c r="K1234" s="111" t="str">
        <f t="shared" si="398"/>
        <v>B</v>
      </c>
      <c r="L1234" s="412"/>
      <c r="M1234" s="3"/>
    </row>
    <row r="1235" spans="1:13">
      <c r="A1235" s="107" t="s">
        <v>2944</v>
      </c>
      <c r="B1235" s="107" t="str">
        <f t="shared" ref="B1235:B1298" si="403">PERIODO</f>
        <v>202503</v>
      </c>
      <c r="C1235" s="107" t="s">
        <v>2945</v>
      </c>
      <c r="D1235" s="399" t="str">
        <f ca="1">OFFSET('Tabla III.4.'!$F$37,H1235-1,0)</f>
        <v>10.01.02.</v>
      </c>
      <c r="E1235" s="107">
        <f t="shared" si="387"/>
        <v>0</v>
      </c>
      <c r="F1235" s="108">
        <f ca="1">OFFSET('Tabla III.4.'!$H$37,H1235-1,I1235-1)</f>
        <v>0</v>
      </c>
      <c r="G1235" s="107" t="str">
        <f ca="1">OFFSET('Tabla III.4.'!$H$1,0,I1235-1)</f>
        <v>01</v>
      </c>
      <c r="H1235" s="110">
        <f>+H1223+1</f>
        <v>5</v>
      </c>
      <c r="I1235" s="110">
        <v>1</v>
      </c>
      <c r="J1235" s="110" t="str">
        <f ca="1">+'Tabla III.4.'!$C$9</f>
        <v>Tabla III.4.</v>
      </c>
      <c r="K1235" s="110" t="s">
        <v>2267</v>
      </c>
      <c r="L1235" s="107">
        <f>+L1223+1</f>
        <v>5</v>
      </c>
      <c r="M1235" s="3"/>
    </row>
    <row r="1236" spans="1:13">
      <c r="A1236" s="107" t="s">
        <v>2944</v>
      </c>
      <c r="B1236" s="107" t="str">
        <f t="shared" si="403"/>
        <v>202503</v>
      </c>
      <c r="C1236" s="107" t="str">
        <f ca="1">IF(G1236="01","v2","v1")</f>
        <v>v1</v>
      </c>
      <c r="D1236" s="399" t="str">
        <f ca="1">+D1235</f>
        <v>10.01.02.</v>
      </c>
      <c r="E1236" s="107">
        <f t="shared" si="387"/>
        <v>0</v>
      </c>
      <c r="F1236" s="108">
        <f ca="1">OFFSET('Tabla III.4.'!$H$37,H1236-1,I1236-1)</f>
        <v>0</v>
      </c>
      <c r="G1236" s="107" t="str">
        <f ca="1">OFFSET('Tabla III.4.'!$H$1,0,I1236-1)</f>
        <v>02</v>
      </c>
      <c r="H1236" s="110">
        <f>+H1235</f>
        <v>5</v>
      </c>
      <c r="I1236" s="110">
        <f>+I1235+1</f>
        <v>2</v>
      </c>
      <c r="J1236" s="110" t="str">
        <f ca="1">+'Tabla III.4.'!$C$9</f>
        <v>Tabla III.4.</v>
      </c>
      <c r="K1236" s="110" t="str">
        <f t="shared" ref="K1236:K1246" si="404">+K1235</f>
        <v>B</v>
      </c>
      <c r="L1236" s="107"/>
      <c r="M1236" s="3"/>
    </row>
    <row r="1237" spans="1:13">
      <c r="A1237" s="107" t="s">
        <v>2944</v>
      </c>
      <c r="B1237" s="107" t="str">
        <f t="shared" si="403"/>
        <v>202503</v>
      </c>
      <c r="C1237" s="107" t="str">
        <f t="shared" ref="C1237:C1246" ca="1" si="405">IF(G1237="01","v2","v1")</f>
        <v>v1</v>
      </c>
      <c r="D1237" s="399" t="str">
        <f t="shared" ref="D1237:D1246" ca="1" si="406">+D1236</f>
        <v>10.01.02.</v>
      </c>
      <c r="E1237" s="107">
        <f t="shared" si="387"/>
        <v>0</v>
      </c>
      <c r="F1237" s="108">
        <f ca="1">OFFSET('Tabla III.4.'!$H$37,H1237-1,I1237-1)</f>
        <v>0</v>
      </c>
      <c r="G1237" s="107" t="str">
        <f ca="1">OFFSET('Tabla III.4.'!$H$1,0,I1237-1)</f>
        <v>03</v>
      </c>
      <c r="H1237" s="110">
        <f t="shared" ref="H1237:H1246" si="407">+H1236</f>
        <v>5</v>
      </c>
      <c r="I1237" s="110">
        <f t="shared" ref="I1237:I1246" si="408">+I1236+1</f>
        <v>3</v>
      </c>
      <c r="J1237" s="110" t="str">
        <f ca="1">+'Tabla III.4.'!$C$9</f>
        <v>Tabla III.4.</v>
      </c>
      <c r="K1237" s="110" t="str">
        <f t="shared" si="404"/>
        <v>B</v>
      </c>
      <c r="L1237" s="107"/>
      <c r="M1237" s="3"/>
    </row>
    <row r="1238" spans="1:13">
      <c r="A1238" s="107" t="s">
        <v>2944</v>
      </c>
      <c r="B1238" s="107" t="str">
        <f t="shared" si="403"/>
        <v>202503</v>
      </c>
      <c r="C1238" s="107" t="str">
        <f t="shared" ca="1" si="405"/>
        <v>v1</v>
      </c>
      <c r="D1238" s="399" t="str">
        <f t="shared" ca="1" si="406"/>
        <v>10.01.02.</v>
      </c>
      <c r="E1238" s="107">
        <f t="shared" si="387"/>
        <v>0</v>
      </c>
      <c r="F1238" s="108">
        <f ca="1">OFFSET('Tabla III.4.'!$H$37,H1238-1,I1238-1)</f>
        <v>0</v>
      </c>
      <c r="G1238" s="107" t="str">
        <f ca="1">OFFSET('Tabla III.4.'!$H$1,0,I1238-1)</f>
        <v>04</v>
      </c>
      <c r="H1238" s="110">
        <f t="shared" si="407"/>
        <v>5</v>
      </c>
      <c r="I1238" s="110">
        <f t="shared" si="408"/>
        <v>4</v>
      </c>
      <c r="J1238" s="110" t="str">
        <f ca="1">+'Tabla III.4.'!$C$9</f>
        <v>Tabla III.4.</v>
      </c>
      <c r="K1238" s="110" t="str">
        <f t="shared" si="404"/>
        <v>B</v>
      </c>
      <c r="L1238" s="107"/>
      <c r="M1238" s="3"/>
    </row>
    <row r="1239" spans="1:13">
      <c r="A1239" s="107" t="s">
        <v>2944</v>
      </c>
      <c r="B1239" s="107" t="str">
        <f t="shared" si="403"/>
        <v>202503</v>
      </c>
      <c r="C1239" s="107" t="str">
        <f t="shared" ca="1" si="405"/>
        <v>v1</v>
      </c>
      <c r="D1239" s="399" t="str">
        <f t="shared" ca="1" si="406"/>
        <v>10.01.02.</v>
      </c>
      <c r="E1239" s="107">
        <f t="shared" si="387"/>
        <v>0</v>
      </c>
      <c r="F1239" s="108">
        <f ca="1">OFFSET('Tabla III.4.'!$H$37,H1239-1,I1239-1)</f>
        <v>0</v>
      </c>
      <c r="G1239" s="107" t="str">
        <f ca="1">OFFSET('Tabla III.4.'!$H$1,0,I1239-1)</f>
        <v>05</v>
      </c>
      <c r="H1239" s="110">
        <f t="shared" si="407"/>
        <v>5</v>
      </c>
      <c r="I1239" s="110">
        <f t="shared" si="408"/>
        <v>5</v>
      </c>
      <c r="J1239" s="110" t="str">
        <f ca="1">+'Tabla III.4.'!$C$9</f>
        <v>Tabla III.4.</v>
      </c>
      <c r="K1239" s="110" t="str">
        <f t="shared" si="404"/>
        <v>B</v>
      </c>
      <c r="L1239" s="107"/>
      <c r="M1239" s="3"/>
    </row>
    <row r="1240" spans="1:13">
      <c r="A1240" s="107" t="s">
        <v>2944</v>
      </c>
      <c r="B1240" s="107" t="str">
        <f t="shared" si="403"/>
        <v>202503</v>
      </c>
      <c r="C1240" s="107" t="str">
        <f t="shared" ca="1" si="405"/>
        <v>v1</v>
      </c>
      <c r="D1240" s="399" t="str">
        <f t="shared" ca="1" si="406"/>
        <v>10.01.02.</v>
      </c>
      <c r="E1240" s="107">
        <f t="shared" si="387"/>
        <v>0</v>
      </c>
      <c r="F1240" s="108">
        <f ca="1">OFFSET('Tabla III.4.'!$H$37,H1240-1,I1240-1)</f>
        <v>0</v>
      </c>
      <c r="G1240" s="107" t="str">
        <f ca="1">OFFSET('Tabla III.4.'!$H$1,0,I1240-1)</f>
        <v>06</v>
      </c>
      <c r="H1240" s="110">
        <f t="shared" si="407"/>
        <v>5</v>
      </c>
      <c r="I1240" s="110">
        <f t="shared" si="408"/>
        <v>6</v>
      </c>
      <c r="J1240" s="110" t="str">
        <f ca="1">+'Tabla III.4.'!$C$9</f>
        <v>Tabla III.4.</v>
      </c>
      <c r="K1240" s="110" t="str">
        <f t="shared" si="404"/>
        <v>B</v>
      </c>
      <c r="L1240" s="107"/>
      <c r="M1240" s="3"/>
    </row>
    <row r="1241" spans="1:13">
      <c r="A1241" s="107" t="s">
        <v>2944</v>
      </c>
      <c r="B1241" s="107" t="str">
        <f t="shared" si="403"/>
        <v>202503</v>
      </c>
      <c r="C1241" s="107" t="str">
        <f t="shared" ca="1" si="405"/>
        <v>v1</v>
      </c>
      <c r="D1241" s="399" t="str">
        <f t="shared" ca="1" si="406"/>
        <v>10.01.02.</v>
      </c>
      <c r="E1241" s="107">
        <f t="shared" si="387"/>
        <v>0</v>
      </c>
      <c r="F1241" s="108">
        <f ca="1">OFFSET('Tabla III.4.'!$H$37,H1241-1,I1241-1)</f>
        <v>0</v>
      </c>
      <c r="G1241" s="107" t="str">
        <f ca="1">OFFSET('Tabla III.4.'!$H$1,0,I1241-1)</f>
        <v>07</v>
      </c>
      <c r="H1241" s="110">
        <f t="shared" si="407"/>
        <v>5</v>
      </c>
      <c r="I1241" s="110">
        <f t="shared" si="408"/>
        <v>7</v>
      </c>
      <c r="J1241" s="110" t="str">
        <f ca="1">+'Tabla III.4.'!$C$9</f>
        <v>Tabla III.4.</v>
      </c>
      <c r="K1241" s="110" t="str">
        <f t="shared" si="404"/>
        <v>B</v>
      </c>
      <c r="L1241" s="107"/>
      <c r="M1241" s="3"/>
    </row>
    <row r="1242" spans="1:13">
      <c r="A1242" s="107" t="s">
        <v>2944</v>
      </c>
      <c r="B1242" s="107" t="str">
        <f t="shared" si="403"/>
        <v>202503</v>
      </c>
      <c r="C1242" s="107" t="str">
        <f t="shared" ca="1" si="405"/>
        <v>v1</v>
      </c>
      <c r="D1242" s="399" t="str">
        <f t="shared" ca="1" si="406"/>
        <v>10.01.02.</v>
      </c>
      <c r="E1242" s="107">
        <f t="shared" si="387"/>
        <v>0</v>
      </c>
      <c r="F1242" s="108">
        <f ca="1">OFFSET('Tabla III.4.'!$H$37,H1242-1,I1242-1)</f>
        <v>0</v>
      </c>
      <c r="G1242" s="107" t="str">
        <f ca="1">OFFSET('Tabla III.4.'!$H$1,0,I1242-1)</f>
        <v>08</v>
      </c>
      <c r="H1242" s="110">
        <f t="shared" si="407"/>
        <v>5</v>
      </c>
      <c r="I1242" s="110">
        <f t="shared" si="408"/>
        <v>8</v>
      </c>
      <c r="J1242" s="110" t="str">
        <f ca="1">+'Tabla III.4.'!$C$9</f>
        <v>Tabla III.4.</v>
      </c>
      <c r="K1242" s="110" t="str">
        <f t="shared" si="404"/>
        <v>B</v>
      </c>
      <c r="L1242" s="107"/>
      <c r="M1242" s="3"/>
    </row>
    <row r="1243" spans="1:13">
      <c r="A1243" s="107" t="s">
        <v>2944</v>
      </c>
      <c r="B1243" s="107" t="str">
        <f t="shared" si="403"/>
        <v>202503</v>
      </c>
      <c r="C1243" s="107" t="str">
        <f t="shared" ca="1" si="405"/>
        <v>v1</v>
      </c>
      <c r="D1243" s="399" t="str">
        <f t="shared" ca="1" si="406"/>
        <v>10.01.02.</v>
      </c>
      <c r="E1243" s="107">
        <f t="shared" si="387"/>
        <v>0</v>
      </c>
      <c r="F1243" s="108">
        <f ca="1">OFFSET('Tabla III.4.'!$H$37,H1243-1,I1243-1)</f>
        <v>0</v>
      </c>
      <c r="G1243" s="107" t="str">
        <f ca="1">OFFSET('Tabla III.4.'!$H$1,0,I1243-1)</f>
        <v>09</v>
      </c>
      <c r="H1243" s="110">
        <f t="shared" si="407"/>
        <v>5</v>
      </c>
      <c r="I1243" s="110">
        <f t="shared" si="408"/>
        <v>9</v>
      </c>
      <c r="J1243" s="110" t="str">
        <f ca="1">+'Tabla III.4.'!$C$9</f>
        <v>Tabla III.4.</v>
      </c>
      <c r="K1243" s="110" t="str">
        <f t="shared" si="404"/>
        <v>B</v>
      </c>
      <c r="L1243" s="107"/>
      <c r="M1243" s="3"/>
    </row>
    <row r="1244" spans="1:13">
      <c r="A1244" s="107" t="s">
        <v>2944</v>
      </c>
      <c r="B1244" s="107" t="str">
        <f t="shared" si="403"/>
        <v>202503</v>
      </c>
      <c r="C1244" s="107" t="str">
        <f t="shared" ca="1" si="405"/>
        <v>v1</v>
      </c>
      <c r="D1244" s="399" t="str">
        <f t="shared" ca="1" si="406"/>
        <v>10.01.02.</v>
      </c>
      <c r="E1244" s="107">
        <f t="shared" si="387"/>
        <v>0</v>
      </c>
      <c r="F1244" s="108">
        <f ca="1">OFFSET('Tabla III.4.'!$H$37,H1244-1,I1244-1)</f>
        <v>0</v>
      </c>
      <c r="G1244" s="107" t="str">
        <f ca="1">OFFSET('Tabla III.4.'!$H$1,0,I1244-1)</f>
        <v>10</v>
      </c>
      <c r="H1244" s="110">
        <f t="shared" si="407"/>
        <v>5</v>
      </c>
      <c r="I1244" s="110">
        <f t="shared" si="408"/>
        <v>10</v>
      </c>
      <c r="J1244" s="110" t="str">
        <f ca="1">+'Tabla III.4.'!$C$9</f>
        <v>Tabla III.4.</v>
      </c>
      <c r="K1244" s="110" t="str">
        <f t="shared" si="404"/>
        <v>B</v>
      </c>
      <c r="L1244" s="107"/>
      <c r="M1244" s="3"/>
    </row>
    <row r="1245" spans="1:13">
      <c r="A1245" s="107" t="s">
        <v>2944</v>
      </c>
      <c r="B1245" s="107" t="str">
        <f t="shared" si="403"/>
        <v>202503</v>
      </c>
      <c r="C1245" s="107" t="str">
        <f t="shared" ca="1" si="405"/>
        <v>v1</v>
      </c>
      <c r="D1245" s="399" t="str">
        <f t="shared" ca="1" si="406"/>
        <v>10.01.02.</v>
      </c>
      <c r="E1245" s="107">
        <f t="shared" si="387"/>
        <v>0</v>
      </c>
      <c r="F1245" s="108">
        <f ca="1">OFFSET('Tabla III.4.'!$H$37,H1245-1,I1245-1)</f>
        <v>0</v>
      </c>
      <c r="G1245" s="107" t="str">
        <f ca="1">OFFSET('Tabla III.4.'!$H$1,0,I1245-1)</f>
        <v>11</v>
      </c>
      <c r="H1245" s="110">
        <f t="shared" si="407"/>
        <v>5</v>
      </c>
      <c r="I1245" s="110">
        <f t="shared" si="408"/>
        <v>11</v>
      </c>
      <c r="J1245" s="110" t="str">
        <f ca="1">+'Tabla III.4.'!$C$9</f>
        <v>Tabla III.4.</v>
      </c>
      <c r="K1245" s="110" t="str">
        <f t="shared" si="404"/>
        <v>B</v>
      </c>
      <c r="L1245" s="107"/>
      <c r="M1245" s="3"/>
    </row>
    <row r="1246" spans="1:13">
      <c r="A1246" s="107" t="s">
        <v>2944</v>
      </c>
      <c r="B1246" s="107" t="str">
        <f t="shared" si="403"/>
        <v>202503</v>
      </c>
      <c r="C1246" s="107" t="str">
        <f t="shared" ca="1" si="405"/>
        <v>v1</v>
      </c>
      <c r="D1246" s="399" t="str">
        <f t="shared" ca="1" si="406"/>
        <v>10.01.02.</v>
      </c>
      <c r="E1246" s="107">
        <f t="shared" si="387"/>
        <v>0</v>
      </c>
      <c r="F1246" s="108">
        <f ca="1">OFFSET('Tabla III.4.'!$H$37,H1246-1,I1246-1)</f>
        <v>0</v>
      </c>
      <c r="G1246" s="107" t="str">
        <f ca="1">OFFSET('Tabla III.4.'!$H$1,0,I1246-1)</f>
        <v>12</v>
      </c>
      <c r="H1246" s="110">
        <f t="shared" si="407"/>
        <v>5</v>
      </c>
      <c r="I1246" s="110">
        <f t="shared" si="408"/>
        <v>12</v>
      </c>
      <c r="J1246" s="110" t="str">
        <f ca="1">+'Tabla III.4.'!$C$9</f>
        <v>Tabla III.4.</v>
      </c>
      <c r="K1246" s="110" t="str">
        <f t="shared" si="404"/>
        <v>B</v>
      </c>
      <c r="L1246" s="107"/>
      <c r="M1246" s="3"/>
    </row>
    <row r="1247" spans="1:13">
      <c r="A1247" s="412" t="s">
        <v>2944</v>
      </c>
      <c r="B1247" s="412" t="str">
        <f t="shared" si="403"/>
        <v>202503</v>
      </c>
      <c r="C1247" s="412" t="s">
        <v>2945</v>
      </c>
      <c r="D1247" s="413" t="str">
        <f ca="1">OFFSET('Tabla III.4.'!$F$37,H1247-1,0)</f>
        <v>10.01.02.01.</v>
      </c>
      <c r="E1247" s="412">
        <f t="shared" si="387"/>
        <v>0</v>
      </c>
      <c r="F1247" s="414">
        <f ca="1">OFFSET('Tabla III.4.'!$H$37,H1247-1,I1247-1)</f>
        <v>0</v>
      </c>
      <c r="G1247" s="412" t="str">
        <f ca="1">OFFSET('Tabla III.4.'!$H$1,0,I1247-1)</f>
        <v>01</v>
      </c>
      <c r="H1247" s="111">
        <f>+H1235+1</f>
        <v>6</v>
      </c>
      <c r="I1247" s="111">
        <v>1</v>
      </c>
      <c r="J1247" s="111" t="str">
        <f ca="1">+'Tabla III.4.'!$C$9</f>
        <v>Tabla III.4.</v>
      </c>
      <c r="K1247" s="111" t="s">
        <v>2267</v>
      </c>
      <c r="L1247" s="412">
        <f>+L1235+1</f>
        <v>6</v>
      </c>
      <c r="M1247" s="3"/>
    </row>
    <row r="1248" spans="1:13">
      <c r="A1248" s="412" t="s">
        <v>2944</v>
      </c>
      <c r="B1248" s="412" t="str">
        <f t="shared" si="403"/>
        <v>202503</v>
      </c>
      <c r="C1248" s="412" t="str">
        <f ca="1">IF(G1248="01","v2","v1")</f>
        <v>v1</v>
      </c>
      <c r="D1248" s="413" t="str">
        <f ca="1">+D1247</f>
        <v>10.01.02.01.</v>
      </c>
      <c r="E1248" s="412">
        <f t="shared" si="387"/>
        <v>0</v>
      </c>
      <c r="F1248" s="414">
        <f ca="1">OFFSET('Tabla III.4.'!$H$37,H1248-1,I1248-1)</f>
        <v>0</v>
      </c>
      <c r="G1248" s="412" t="str">
        <f ca="1">OFFSET('Tabla III.4.'!$H$1,0,I1248-1)</f>
        <v>02</v>
      </c>
      <c r="H1248" s="111">
        <f>+H1247</f>
        <v>6</v>
      </c>
      <c r="I1248" s="111">
        <f>+I1247+1</f>
        <v>2</v>
      </c>
      <c r="J1248" s="111" t="str">
        <f ca="1">+'Tabla III.4.'!$C$9</f>
        <v>Tabla III.4.</v>
      </c>
      <c r="K1248" s="111" t="str">
        <f t="shared" ref="K1248:K1258" si="409">+K1247</f>
        <v>B</v>
      </c>
      <c r="L1248" s="412"/>
      <c r="M1248" s="3"/>
    </row>
    <row r="1249" spans="1:13">
      <c r="A1249" s="412" t="s">
        <v>2944</v>
      </c>
      <c r="B1249" s="412" t="str">
        <f t="shared" si="403"/>
        <v>202503</v>
      </c>
      <c r="C1249" s="412" t="str">
        <f t="shared" ref="C1249:C1258" ca="1" si="410">IF(G1249="01","v2","v1")</f>
        <v>v1</v>
      </c>
      <c r="D1249" s="413" t="str">
        <f t="shared" ref="D1249:D1258" ca="1" si="411">+D1248</f>
        <v>10.01.02.01.</v>
      </c>
      <c r="E1249" s="412">
        <f t="shared" si="387"/>
        <v>0</v>
      </c>
      <c r="F1249" s="414">
        <f ca="1">OFFSET('Tabla III.4.'!$H$37,H1249-1,I1249-1)</f>
        <v>0</v>
      </c>
      <c r="G1249" s="412" t="str">
        <f ca="1">OFFSET('Tabla III.4.'!$H$1,0,I1249-1)</f>
        <v>03</v>
      </c>
      <c r="H1249" s="111">
        <f t="shared" ref="H1249:H1258" si="412">+H1248</f>
        <v>6</v>
      </c>
      <c r="I1249" s="111">
        <f t="shared" ref="I1249:I1258" si="413">+I1248+1</f>
        <v>3</v>
      </c>
      <c r="J1249" s="111" t="str">
        <f ca="1">+'Tabla III.4.'!$C$9</f>
        <v>Tabla III.4.</v>
      </c>
      <c r="K1249" s="111" t="str">
        <f t="shared" si="409"/>
        <v>B</v>
      </c>
      <c r="L1249" s="412"/>
      <c r="M1249" s="3"/>
    </row>
    <row r="1250" spans="1:13">
      <c r="A1250" s="412" t="s">
        <v>2944</v>
      </c>
      <c r="B1250" s="412" t="str">
        <f t="shared" si="403"/>
        <v>202503</v>
      </c>
      <c r="C1250" s="412" t="str">
        <f t="shared" ca="1" si="410"/>
        <v>v1</v>
      </c>
      <c r="D1250" s="413" t="str">
        <f t="shared" ca="1" si="411"/>
        <v>10.01.02.01.</v>
      </c>
      <c r="E1250" s="412">
        <f t="shared" si="387"/>
        <v>0</v>
      </c>
      <c r="F1250" s="414">
        <f ca="1">OFFSET('Tabla III.4.'!$H$37,H1250-1,I1250-1)</f>
        <v>0</v>
      </c>
      <c r="G1250" s="412" t="str">
        <f ca="1">OFFSET('Tabla III.4.'!$H$1,0,I1250-1)</f>
        <v>04</v>
      </c>
      <c r="H1250" s="111">
        <f t="shared" si="412"/>
        <v>6</v>
      </c>
      <c r="I1250" s="111">
        <f t="shared" si="413"/>
        <v>4</v>
      </c>
      <c r="J1250" s="111" t="str">
        <f ca="1">+'Tabla III.4.'!$C$9</f>
        <v>Tabla III.4.</v>
      </c>
      <c r="K1250" s="111" t="str">
        <f t="shared" si="409"/>
        <v>B</v>
      </c>
      <c r="L1250" s="412"/>
      <c r="M1250" s="3"/>
    </row>
    <row r="1251" spans="1:13">
      <c r="A1251" s="412" t="s">
        <v>2944</v>
      </c>
      <c r="B1251" s="412" t="str">
        <f t="shared" si="403"/>
        <v>202503</v>
      </c>
      <c r="C1251" s="412" t="str">
        <f t="shared" ca="1" si="410"/>
        <v>v1</v>
      </c>
      <c r="D1251" s="413" t="str">
        <f t="shared" ca="1" si="411"/>
        <v>10.01.02.01.</v>
      </c>
      <c r="E1251" s="412">
        <f t="shared" si="387"/>
        <v>0</v>
      </c>
      <c r="F1251" s="414">
        <f ca="1">OFFSET('Tabla III.4.'!$H$37,H1251-1,I1251-1)</f>
        <v>0</v>
      </c>
      <c r="G1251" s="412" t="str">
        <f ca="1">OFFSET('Tabla III.4.'!$H$1,0,I1251-1)</f>
        <v>05</v>
      </c>
      <c r="H1251" s="111">
        <f t="shared" si="412"/>
        <v>6</v>
      </c>
      <c r="I1251" s="111">
        <f t="shared" si="413"/>
        <v>5</v>
      </c>
      <c r="J1251" s="111" t="str">
        <f ca="1">+'Tabla III.4.'!$C$9</f>
        <v>Tabla III.4.</v>
      </c>
      <c r="K1251" s="111" t="str">
        <f t="shared" si="409"/>
        <v>B</v>
      </c>
      <c r="L1251" s="412"/>
      <c r="M1251" s="3"/>
    </row>
    <row r="1252" spans="1:13">
      <c r="A1252" s="412" t="s">
        <v>2944</v>
      </c>
      <c r="B1252" s="412" t="str">
        <f t="shared" si="403"/>
        <v>202503</v>
      </c>
      <c r="C1252" s="412" t="str">
        <f t="shared" ca="1" si="410"/>
        <v>v1</v>
      </c>
      <c r="D1252" s="413" t="str">
        <f t="shared" ca="1" si="411"/>
        <v>10.01.02.01.</v>
      </c>
      <c r="E1252" s="412">
        <f t="shared" si="387"/>
        <v>0</v>
      </c>
      <c r="F1252" s="414">
        <f ca="1">OFFSET('Tabla III.4.'!$H$37,H1252-1,I1252-1)</f>
        <v>0</v>
      </c>
      <c r="G1252" s="412" t="str">
        <f ca="1">OFFSET('Tabla III.4.'!$H$1,0,I1252-1)</f>
        <v>06</v>
      </c>
      <c r="H1252" s="111">
        <f t="shared" si="412"/>
        <v>6</v>
      </c>
      <c r="I1252" s="111">
        <f t="shared" si="413"/>
        <v>6</v>
      </c>
      <c r="J1252" s="111" t="str">
        <f ca="1">+'Tabla III.4.'!$C$9</f>
        <v>Tabla III.4.</v>
      </c>
      <c r="K1252" s="111" t="str">
        <f t="shared" si="409"/>
        <v>B</v>
      </c>
      <c r="L1252" s="412"/>
      <c r="M1252" s="3"/>
    </row>
    <row r="1253" spans="1:13">
      <c r="A1253" s="412" t="s">
        <v>2944</v>
      </c>
      <c r="B1253" s="412" t="str">
        <f t="shared" si="403"/>
        <v>202503</v>
      </c>
      <c r="C1253" s="412" t="str">
        <f t="shared" ca="1" si="410"/>
        <v>v1</v>
      </c>
      <c r="D1253" s="413" t="str">
        <f t="shared" ca="1" si="411"/>
        <v>10.01.02.01.</v>
      </c>
      <c r="E1253" s="412">
        <f t="shared" si="387"/>
        <v>0</v>
      </c>
      <c r="F1253" s="414">
        <f ca="1">OFFSET('Tabla III.4.'!$H$37,H1253-1,I1253-1)</f>
        <v>0</v>
      </c>
      <c r="G1253" s="412" t="str">
        <f ca="1">OFFSET('Tabla III.4.'!$H$1,0,I1253-1)</f>
        <v>07</v>
      </c>
      <c r="H1253" s="111">
        <f t="shared" si="412"/>
        <v>6</v>
      </c>
      <c r="I1253" s="111">
        <f t="shared" si="413"/>
        <v>7</v>
      </c>
      <c r="J1253" s="111" t="str">
        <f ca="1">+'Tabla III.4.'!$C$9</f>
        <v>Tabla III.4.</v>
      </c>
      <c r="K1253" s="111" t="str">
        <f t="shared" si="409"/>
        <v>B</v>
      </c>
      <c r="L1253" s="412"/>
      <c r="M1253" s="3"/>
    </row>
    <row r="1254" spans="1:13">
      <c r="A1254" s="412" t="s">
        <v>2944</v>
      </c>
      <c r="B1254" s="412" t="str">
        <f t="shared" si="403"/>
        <v>202503</v>
      </c>
      <c r="C1254" s="412" t="str">
        <f t="shared" ca="1" si="410"/>
        <v>v1</v>
      </c>
      <c r="D1254" s="413" t="str">
        <f t="shared" ca="1" si="411"/>
        <v>10.01.02.01.</v>
      </c>
      <c r="E1254" s="412">
        <f t="shared" si="387"/>
        <v>0</v>
      </c>
      <c r="F1254" s="414">
        <f ca="1">OFFSET('Tabla III.4.'!$H$37,H1254-1,I1254-1)</f>
        <v>0</v>
      </c>
      <c r="G1254" s="412" t="str">
        <f ca="1">OFFSET('Tabla III.4.'!$H$1,0,I1254-1)</f>
        <v>08</v>
      </c>
      <c r="H1254" s="111">
        <f t="shared" si="412"/>
        <v>6</v>
      </c>
      <c r="I1254" s="111">
        <f t="shared" si="413"/>
        <v>8</v>
      </c>
      <c r="J1254" s="111" t="str">
        <f ca="1">+'Tabla III.4.'!$C$9</f>
        <v>Tabla III.4.</v>
      </c>
      <c r="K1254" s="111" t="str">
        <f t="shared" si="409"/>
        <v>B</v>
      </c>
      <c r="L1254" s="412"/>
      <c r="M1254" s="3"/>
    </row>
    <row r="1255" spans="1:13">
      <c r="A1255" s="412" t="s">
        <v>2944</v>
      </c>
      <c r="B1255" s="412" t="str">
        <f t="shared" si="403"/>
        <v>202503</v>
      </c>
      <c r="C1255" s="412" t="str">
        <f t="shared" ca="1" si="410"/>
        <v>v1</v>
      </c>
      <c r="D1255" s="413" t="str">
        <f t="shared" ca="1" si="411"/>
        <v>10.01.02.01.</v>
      </c>
      <c r="E1255" s="412">
        <f t="shared" si="387"/>
        <v>0</v>
      </c>
      <c r="F1255" s="414">
        <f ca="1">OFFSET('Tabla III.4.'!$H$37,H1255-1,I1255-1)</f>
        <v>0</v>
      </c>
      <c r="G1255" s="412" t="str">
        <f ca="1">OFFSET('Tabla III.4.'!$H$1,0,I1255-1)</f>
        <v>09</v>
      </c>
      <c r="H1255" s="111">
        <f t="shared" si="412"/>
        <v>6</v>
      </c>
      <c r="I1255" s="111">
        <f t="shared" si="413"/>
        <v>9</v>
      </c>
      <c r="J1255" s="111" t="str">
        <f ca="1">+'Tabla III.4.'!$C$9</f>
        <v>Tabla III.4.</v>
      </c>
      <c r="K1255" s="111" t="str">
        <f t="shared" si="409"/>
        <v>B</v>
      </c>
      <c r="L1255" s="412"/>
      <c r="M1255" s="3"/>
    </row>
    <row r="1256" spans="1:13">
      <c r="A1256" s="412" t="s">
        <v>2944</v>
      </c>
      <c r="B1256" s="412" t="str">
        <f t="shared" si="403"/>
        <v>202503</v>
      </c>
      <c r="C1256" s="412" t="str">
        <f t="shared" ca="1" si="410"/>
        <v>v1</v>
      </c>
      <c r="D1256" s="413" t="str">
        <f t="shared" ca="1" si="411"/>
        <v>10.01.02.01.</v>
      </c>
      <c r="E1256" s="412">
        <f t="shared" si="387"/>
        <v>0</v>
      </c>
      <c r="F1256" s="414">
        <f ca="1">OFFSET('Tabla III.4.'!$H$37,H1256-1,I1256-1)</f>
        <v>0</v>
      </c>
      <c r="G1256" s="412" t="str">
        <f ca="1">OFFSET('Tabla III.4.'!$H$1,0,I1256-1)</f>
        <v>10</v>
      </c>
      <c r="H1256" s="111">
        <f t="shared" si="412"/>
        <v>6</v>
      </c>
      <c r="I1256" s="111">
        <f t="shared" si="413"/>
        <v>10</v>
      </c>
      <c r="J1256" s="111" t="str">
        <f ca="1">+'Tabla III.4.'!$C$9</f>
        <v>Tabla III.4.</v>
      </c>
      <c r="K1256" s="111" t="str">
        <f t="shared" si="409"/>
        <v>B</v>
      </c>
      <c r="L1256" s="412"/>
      <c r="M1256" s="3"/>
    </row>
    <row r="1257" spans="1:13">
      <c r="A1257" s="412" t="s">
        <v>2944</v>
      </c>
      <c r="B1257" s="412" t="str">
        <f t="shared" si="403"/>
        <v>202503</v>
      </c>
      <c r="C1257" s="412" t="str">
        <f t="shared" ca="1" si="410"/>
        <v>v1</v>
      </c>
      <c r="D1257" s="413" t="str">
        <f t="shared" ca="1" si="411"/>
        <v>10.01.02.01.</v>
      </c>
      <c r="E1257" s="412">
        <f t="shared" si="387"/>
        <v>0</v>
      </c>
      <c r="F1257" s="414">
        <f ca="1">OFFSET('Tabla III.4.'!$H$37,H1257-1,I1257-1)</f>
        <v>0</v>
      </c>
      <c r="G1257" s="412" t="str">
        <f ca="1">OFFSET('Tabla III.4.'!$H$1,0,I1257-1)</f>
        <v>11</v>
      </c>
      <c r="H1257" s="111">
        <f t="shared" si="412"/>
        <v>6</v>
      </c>
      <c r="I1257" s="111">
        <f t="shared" si="413"/>
        <v>11</v>
      </c>
      <c r="J1257" s="111" t="str">
        <f ca="1">+'Tabla III.4.'!$C$9</f>
        <v>Tabla III.4.</v>
      </c>
      <c r="K1257" s="111" t="str">
        <f t="shared" si="409"/>
        <v>B</v>
      </c>
      <c r="L1257" s="412"/>
      <c r="M1257" s="3"/>
    </row>
    <row r="1258" spans="1:13">
      <c r="A1258" s="412" t="s">
        <v>2944</v>
      </c>
      <c r="B1258" s="412" t="str">
        <f t="shared" si="403"/>
        <v>202503</v>
      </c>
      <c r="C1258" s="412" t="str">
        <f t="shared" ca="1" si="410"/>
        <v>v1</v>
      </c>
      <c r="D1258" s="413" t="str">
        <f t="shared" ca="1" si="411"/>
        <v>10.01.02.01.</v>
      </c>
      <c r="E1258" s="412">
        <f t="shared" si="387"/>
        <v>0</v>
      </c>
      <c r="F1258" s="414">
        <f ca="1">OFFSET('Tabla III.4.'!$H$37,H1258-1,I1258-1)</f>
        <v>0</v>
      </c>
      <c r="G1258" s="412" t="str">
        <f ca="1">OFFSET('Tabla III.4.'!$H$1,0,I1258-1)</f>
        <v>12</v>
      </c>
      <c r="H1258" s="111">
        <f t="shared" si="412"/>
        <v>6</v>
      </c>
      <c r="I1258" s="111">
        <f t="shared" si="413"/>
        <v>12</v>
      </c>
      <c r="J1258" s="111" t="str">
        <f ca="1">+'Tabla III.4.'!$C$9</f>
        <v>Tabla III.4.</v>
      </c>
      <c r="K1258" s="111" t="str">
        <f t="shared" si="409"/>
        <v>B</v>
      </c>
      <c r="L1258" s="412"/>
      <c r="M1258" s="3"/>
    </row>
    <row r="1259" spans="1:13">
      <c r="A1259" s="107" t="s">
        <v>2944</v>
      </c>
      <c r="B1259" s="107" t="str">
        <f t="shared" si="403"/>
        <v>202503</v>
      </c>
      <c r="C1259" s="107" t="s">
        <v>2945</v>
      </c>
      <c r="D1259" s="399" t="str">
        <f ca="1">OFFSET('Tabla III.4.'!$F$37,H1259-1,0)</f>
        <v>10.01.02.02.</v>
      </c>
      <c r="E1259" s="107">
        <f t="shared" si="387"/>
        <v>0</v>
      </c>
      <c r="F1259" s="108">
        <f ca="1">OFFSET('Tabla III.4.'!$H$37,H1259-1,I1259-1)</f>
        <v>0</v>
      </c>
      <c r="G1259" s="107" t="str">
        <f ca="1">OFFSET('Tabla III.4.'!$H$1,0,I1259-1)</f>
        <v>01</v>
      </c>
      <c r="H1259" s="110">
        <f>+H1247+1</f>
        <v>7</v>
      </c>
      <c r="I1259" s="110">
        <v>1</v>
      </c>
      <c r="J1259" s="110" t="str">
        <f ca="1">+'Tabla III.4.'!$C$9</f>
        <v>Tabla III.4.</v>
      </c>
      <c r="K1259" s="110" t="s">
        <v>2267</v>
      </c>
      <c r="L1259" s="107">
        <f>+L1247+1</f>
        <v>7</v>
      </c>
      <c r="M1259" s="3"/>
    </row>
    <row r="1260" spans="1:13">
      <c r="A1260" s="107" t="s">
        <v>2944</v>
      </c>
      <c r="B1260" s="107" t="str">
        <f t="shared" si="403"/>
        <v>202503</v>
      </c>
      <c r="C1260" s="107" t="str">
        <f ca="1">IF(G1260="01","v2","v1")</f>
        <v>v1</v>
      </c>
      <c r="D1260" s="399" t="str">
        <f ca="1">+D1259</f>
        <v>10.01.02.02.</v>
      </c>
      <c r="E1260" s="107">
        <f t="shared" si="387"/>
        <v>0</v>
      </c>
      <c r="F1260" s="108">
        <f ca="1">OFFSET('Tabla III.4.'!$H$37,H1260-1,I1260-1)</f>
        <v>0</v>
      </c>
      <c r="G1260" s="107" t="str">
        <f ca="1">OFFSET('Tabla III.4.'!$H$1,0,I1260-1)</f>
        <v>02</v>
      </c>
      <c r="H1260" s="110">
        <f>+H1259</f>
        <v>7</v>
      </c>
      <c r="I1260" s="110">
        <f>+I1259+1</f>
        <v>2</v>
      </c>
      <c r="J1260" s="110" t="str">
        <f ca="1">+'Tabla III.4.'!$C$9</f>
        <v>Tabla III.4.</v>
      </c>
      <c r="K1260" s="110" t="str">
        <f t="shared" ref="K1260:K1270" si="414">+K1259</f>
        <v>B</v>
      </c>
      <c r="L1260" s="107"/>
      <c r="M1260" s="3"/>
    </row>
    <row r="1261" spans="1:13">
      <c r="A1261" s="107" t="s">
        <v>2944</v>
      </c>
      <c r="B1261" s="107" t="str">
        <f t="shared" si="403"/>
        <v>202503</v>
      </c>
      <c r="C1261" s="107" t="str">
        <f t="shared" ref="C1261:C1270" ca="1" si="415">IF(G1261="01","v2","v1")</f>
        <v>v1</v>
      </c>
      <c r="D1261" s="399" t="str">
        <f t="shared" ref="D1261:D1270" ca="1" si="416">+D1260</f>
        <v>10.01.02.02.</v>
      </c>
      <c r="E1261" s="107">
        <f t="shared" si="387"/>
        <v>0</v>
      </c>
      <c r="F1261" s="108">
        <f ca="1">OFFSET('Tabla III.4.'!$H$37,H1261-1,I1261-1)</f>
        <v>0</v>
      </c>
      <c r="G1261" s="107" t="str">
        <f ca="1">OFFSET('Tabla III.4.'!$H$1,0,I1261-1)</f>
        <v>03</v>
      </c>
      <c r="H1261" s="110">
        <f t="shared" ref="H1261:H1270" si="417">+H1260</f>
        <v>7</v>
      </c>
      <c r="I1261" s="110">
        <f t="shared" ref="I1261:I1270" si="418">+I1260+1</f>
        <v>3</v>
      </c>
      <c r="J1261" s="110" t="str">
        <f ca="1">+'Tabla III.4.'!$C$9</f>
        <v>Tabla III.4.</v>
      </c>
      <c r="K1261" s="110" t="str">
        <f t="shared" si="414"/>
        <v>B</v>
      </c>
      <c r="L1261" s="107"/>
      <c r="M1261" s="3"/>
    </row>
    <row r="1262" spans="1:13">
      <c r="A1262" s="107" t="s">
        <v>2944</v>
      </c>
      <c r="B1262" s="107" t="str">
        <f t="shared" si="403"/>
        <v>202503</v>
      </c>
      <c r="C1262" s="107" t="str">
        <f t="shared" ca="1" si="415"/>
        <v>v1</v>
      </c>
      <c r="D1262" s="399" t="str">
        <f t="shared" ca="1" si="416"/>
        <v>10.01.02.02.</v>
      </c>
      <c r="E1262" s="107">
        <f t="shared" si="387"/>
        <v>0</v>
      </c>
      <c r="F1262" s="108">
        <f ca="1">OFFSET('Tabla III.4.'!$H$37,H1262-1,I1262-1)</f>
        <v>0</v>
      </c>
      <c r="G1262" s="107" t="str">
        <f ca="1">OFFSET('Tabla III.4.'!$H$1,0,I1262-1)</f>
        <v>04</v>
      </c>
      <c r="H1262" s="110">
        <f t="shared" si="417"/>
        <v>7</v>
      </c>
      <c r="I1262" s="110">
        <f t="shared" si="418"/>
        <v>4</v>
      </c>
      <c r="J1262" s="110" t="str">
        <f ca="1">+'Tabla III.4.'!$C$9</f>
        <v>Tabla III.4.</v>
      </c>
      <c r="K1262" s="110" t="str">
        <f t="shared" si="414"/>
        <v>B</v>
      </c>
      <c r="L1262" s="107"/>
      <c r="M1262" s="3"/>
    </row>
    <row r="1263" spans="1:13">
      <c r="A1263" s="107" t="s">
        <v>2944</v>
      </c>
      <c r="B1263" s="107" t="str">
        <f t="shared" si="403"/>
        <v>202503</v>
      </c>
      <c r="C1263" s="107" t="str">
        <f t="shared" ca="1" si="415"/>
        <v>v1</v>
      </c>
      <c r="D1263" s="399" t="str">
        <f t="shared" ca="1" si="416"/>
        <v>10.01.02.02.</v>
      </c>
      <c r="E1263" s="107">
        <f t="shared" si="387"/>
        <v>0</v>
      </c>
      <c r="F1263" s="108">
        <f ca="1">OFFSET('Tabla III.4.'!$H$37,H1263-1,I1263-1)</f>
        <v>0</v>
      </c>
      <c r="G1263" s="107" t="str">
        <f ca="1">OFFSET('Tabla III.4.'!$H$1,0,I1263-1)</f>
        <v>05</v>
      </c>
      <c r="H1263" s="110">
        <f t="shared" si="417"/>
        <v>7</v>
      </c>
      <c r="I1263" s="110">
        <f t="shared" si="418"/>
        <v>5</v>
      </c>
      <c r="J1263" s="110" t="str">
        <f ca="1">+'Tabla III.4.'!$C$9</f>
        <v>Tabla III.4.</v>
      </c>
      <c r="K1263" s="110" t="str">
        <f t="shared" si="414"/>
        <v>B</v>
      </c>
      <c r="L1263" s="107"/>
      <c r="M1263" s="3"/>
    </row>
    <row r="1264" spans="1:13">
      <c r="A1264" s="107" t="s">
        <v>2944</v>
      </c>
      <c r="B1264" s="107" t="str">
        <f t="shared" si="403"/>
        <v>202503</v>
      </c>
      <c r="C1264" s="107" t="str">
        <f t="shared" ca="1" si="415"/>
        <v>v1</v>
      </c>
      <c r="D1264" s="399" t="str">
        <f t="shared" ca="1" si="416"/>
        <v>10.01.02.02.</v>
      </c>
      <c r="E1264" s="107">
        <f t="shared" ref="E1264:E1327" si="419">RUC</f>
        <v>0</v>
      </c>
      <c r="F1264" s="108">
        <f ca="1">OFFSET('Tabla III.4.'!$H$37,H1264-1,I1264-1)</f>
        <v>0</v>
      </c>
      <c r="G1264" s="107" t="str">
        <f ca="1">OFFSET('Tabla III.4.'!$H$1,0,I1264-1)</f>
        <v>06</v>
      </c>
      <c r="H1264" s="110">
        <f t="shared" si="417"/>
        <v>7</v>
      </c>
      <c r="I1264" s="110">
        <f t="shared" si="418"/>
        <v>6</v>
      </c>
      <c r="J1264" s="110" t="str">
        <f ca="1">+'Tabla III.4.'!$C$9</f>
        <v>Tabla III.4.</v>
      </c>
      <c r="K1264" s="110" t="str">
        <f t="shared" si="414"/>
        <v>B</v>
      </c>
      <c r="L1264" s="107"/>
      <c r="M1264" s="3"/>
    </row>
    <row r="1265" spans="1:13">
      <c r="A1265" s="107" t="s">
        <v>2944</v>
      </c>
      <c r="B1265" s="107" t="str">
        <f t="shared" si="403"/>
        <v>202503</v>
      </c>
      <c r="C1265" s="107" t="str">
        <f t="shared" ca="1" si="415"/>
        <v>v1</v>
      </c>
      <c r="D1265" s="399" t="str">
        <f t="shared" ca="1" si="416"/>
        <v>10.01.02.02.</v>
      </c>
      <c r="E1265" s="107">
        <f t="shared" si="419"/>
        <v>0</v>
      </c>
      <c r="F1265" s="108">
        <f ca="1">OFFSET('Tabla III.4.'!$H$37,H1265-1,I1265-1)</f>
        <v>0</v>
      </c>
      <c r="G1265" s="107" t="str">
        <f ca="1">OFFSET('Tabla III.4.'!$H$1,0,I1265-1)</f>
        <v>07</v>
      </c>
      <c r="H1265" s="110">
        <f t="shared" si="417"/>
        <v>7</v>
      </c>
      <c r="I1265" s="110">
        <f t="shared" si="418"/>
        <v>7</v>
      </c>
      <c r="J1265" s="110" t="str">
        <f ca="1">+'Tabla III.4.'!$C$9</f>
        <v>Tabla III.4.</v>
      </c>
      <c r="K1265" s="110" t="str">
        <f t="shared" si="414"/>
        <v>B</v>
      </c>
      <c r="L1265" s="107"/>
      <c r="M1265" s="3"/>
    </row>
    <row r="1266" spans="1:13">
      <c r="A1266" s="107" t="s">
        <v>2944</v>
      </c>
      <c r="B1266" s="107" t="str">
        <f t="shared" si="403"/>
        <v>202503</v>
      </c>
      <c r="C1266" s="107" t="str">
        <f t="shared" ca="1" si="415"/>
        <v>v1</v>
      </c>
      <c r="D1266" s="399" t="str">
        <f t="shared" ca="1" si="416"/>
        <v>10.01.02.02.</v>
      </c>
      <c r="E1266" s="107">
        <f t="shared" si="419"/>
        <v>0</v>
      </c>
      <c r="F1266" s="108">
        <f ca="1">OFFSET('Tabla III.4.'!$H$37,H1266-1,I1266-1)</f>
        <v>0</v>
      </c>
      <c r="G1266" s="107" t="str">
        <f ca="1">OFFSET('Tabla III.4.'!$H$1,0,I1266-1)</f>
        <v>08</v>
      </c>
      <c r="H1266" s="110">
        <f t="shared" si="417"/>
        <v>7</v>
      </c>
      <c r="I1266" s="110">
        <f t="shared" si="418"/>
        <v>8</v>
      </c>
      <c r="J1266" s="110" t="str">
        <f ca="1">+'Tabla III.4.'!$C$9</f>
        <v>Tabla III.4.</v>
      </c>
      <c r="K1266" s="110" t="str">
        <f t="shared" si="414"/>
        <v>B</v>
      </c>
      <c r="L1266" s="107"/>
      <c r="M1266" s="3"/>
    </row>
    <row r="1267" spans="1:13">
      <c r="A1267" s="107" t="s">
        <v>2944</v>
      </c>
      <c r="B1267" s="107" t="str">
        <f t="shared" si="403"/>
        <v>202503</v>
      </c>
      <c r="C1267" s="107" t="str">
        <f t="shared" ca="1" si="415"/>
        <v>v1</v>
      </c>
      <c r="D1267" s="399" t="str">
        <f t="shared" ca="1" si="416"/>
        <v>10.01.02.02.</v>
      </c>
      <c r="E1267" s="107">
        <f t="shared" si="419"/>
        <v>0</v>
      </c>
      <c r="F1267" s="108">
        <f ca="1">OFFSET('Tabla III.4.'!$H$37,H1267-1,I1267-1)</f>
        <v>0</v>
      </c>
      <c r="G1267" s="107" t="str">
        <f ca="1">OFFSET('Tabla III.4.'!$H$1,0,I1267-1)</f>
        <v>09</v>
      </c>
      <c r="H1267" s="110">
        <f t="shared" si="417"/>
        <v>7</v>
      </c>
      <c r="I1267" s="110">
        <f t="shared" si="418"/>
        <v>9</v>
      </c>
      <c r="J1267" s="110" t="str">
        <f ca="1">+'Tabla III.4.'!$C$9</f>
        <v>Tabla III.4.</v>
      </c>
      <c r="K1267" s="110" t="str">
        <f t="shared" si="414"/>
        <v>B</v>
      </c>
      <c r="L1267" s="107"/>
      <c r="M1267" s="3"/>
    </row>
    <row r="1268" spans="1:13">
      <c r="A1268" s="107" t="s">
        <v>2944</v>
      </c>
      <c r="B1268" s="107" t="str">
        <f t="shared" si="403"/>
        <v>202503</v>
      </c>
      <c r="C1268" s="107" t="str">
        <f t="shared" ca="1" si="415"/>
        <v>v1</v>
      </c>
      <c r="D1268" s="399" t="str">
        <f t="shared" ca="1" si="416"/>
        <v>10.01.02.02.</v>
      </c>
      <c r="E1268" s="107">
        <f t="shared" si="419"/>
        <v>0</v>
      </c>
      <c r="F1268" s="108">
        <f ca="1">OFFSET('Tabla III.4.'!$H$37,H1268-1,I1268-1)</f>
        <v>0</v>
      </c>
      <c r="G1268" s="107" t="str">
        <f ca="1">OFFSET('Tabla III.4.'!$H$1,0,I1268-1)</f>
        <v>10</v>
      </c>
      <c r="H1268" s="110">
        <f t="shared" si="417"/>
        <v>7</v>
      </c>
      <c r="I1268" s="110">
        <f t="shared" si="418"/>
        <v>10</v>
      </c>
      <c r="J1268" s="110" t="str">
        <f ca="1">+'Tabla III.4.'!$C$9</f>
        <v>Tabla III.4.</v>
      </c>
      <c r="K1268" s="110" t="str">
        <f t="shared" si="414"/>
        <v>B</v>
      </c>
      <c r="L1268" s="107"/>
      <c r="M1268" s="3"/>
    </row>
    <row r="1269" spans="1:13">
      <c r="A1269" s="107" t="s">
        <v>2944</v>
      </c>
      <c r="B1269" s="107" t="str">
        <f t="shared" si="403"/>
        <v>202503</v>
      </c>
      <c r="C1269" s="107" t="str">
        <f t="shared" ca="1" si="415"/>
        <v>v1</v>
      </c>
      <c r="D1269" s="399" t="str">
        <f t="shared" ca="1" si="416"/>
        <v>10.01.02.02.</v>
      </c>
      <c r="E1269" s="107">
        <f t="shared" si="419"/>
        <v>0</v>
      </c>
      <c r="F1269" s="108">
        <f ca="1">OFFSET('Tabla III.4.'!$H$37,H1269-1,I1269-1)</f>
        <v>0</v>
      </c>
      <c r="G1269" s="107" t="str">
        <f ca="1">OFFSET('Tabla III.4.'!$H$1,0,I1269-1)</f>
        <v>11</v>
      </c>
      <c r="H1269" s="110">
        <f t="shared" si="417"/>
        <v>7</v>
      </c>
      <c r="I1269" s="110">
        <f t="shared" si="418"/>
        <v>11</v>
      </c>
      <c r="J1269" s="110" t="str">
        <f ca="1">+'Tabla III.4.'!$C$9</f>
        <v>Tabla III.4.</v>
      </c>
      <c r="K1269" s="110" t="str">
        <f t="shared" si="414"/>
        <v>B</v>
      </c>
      <c r="L1269" s="107"/>
      <c r="M1269" s="3"/>
    </row>
    <row r="1270" spans="1:13">
      <c r="A1270" s="107" t="s">
        <v>2944</v>
      </c>
      <c r="B1270" s="107" t="str">
        <f t="shared" si="403"/>
        <v>202503</v>
      </c>
      <c r="C1270" s="107" t="str">
        <f t="shared" ca="1" si="415"/>
        <v>v1</v>
      </c>
      <c r="D1270" s="399" t="str">
        <f t="shared" ca="1" si="416"/>
        <v>10.01.02.02.</v>
      </c>
      <c r="E1270" s="107">
        <f t="shared" si="419"/>
        <v>0</v>
      </c>
      <c r="F1270" s="108">
        <f ca="1">OFFSET('Tabla III.4.'!$H$37,H1270-1,I1270-1)</f>
        <v>0</v>
      </c>
      <c r="G1270" s="107" t="str">
        <f ca="1">OFFSET('Tabla III.4.'!$H$1,0,I1270-1)</f>
        <v>12</v>
      </c>
      <c r="H1270" s="110">
        <f t="shared" si="417"/>
        <v>7</v>
      </c>
      <c r="I1270" s="110">
        <f t="shared" si="418"/>
        <v>12</v>
      </c>
      <c r="J1270" s="110" t="str">
        <f ca="1">+'Tabla III.4.'!$C$9</f>
        <v>Tabla III.4.</v>
      </c>
      <c r="K1270" s="110" t="str">
        <f t="shared" si="414"/>
        <v>B</v>
      </c>
      <c r="L1270" s="107"/>
      <c r="M1270" s="3"/>
    </row>
    <row r="1271" spans="1:13">
      <c r="A1271" s="412" t="s">
        <v>2944</v>
      </c>
      <c r="B1271" s="412" t="str">
        <f t="shared" si="403"/>
        <v>202503</v>
      </c>
      <c r="C1271" s="412" t="s">
        <v>2945</v>
      </c>
      <c r="D1271" s="413" t="str">
        <f ca="1">OFFSET('Tabla III.4.'!$F$37,H1271-1,0)</f>
        <v>10.01.03.</v>
      </c>
      <c r="E1271" s="412">
        <f t="shared" si="419"/>
        <v>0</v>
      </c>
      <c r="F1271" s="414">
        <f ca="1">OFFSET('Tabla III.4.'!$H$37,H1271-1,I1271-1)</f>
        <v>0</v>
      </c>
      <c r="G1271" s="412" t="str">
        <f ca="1">OFFSET('Tabla III.4.'!$H$1,0,I1271-1)</f>
        <v>01</v>
      </c>
      <c r="H1271" s="111">
        <f>+H1259+1</f>
        <v>8</v>
      </c>
      <c r="I1271" s="111">
        <v>1</v>
      </c>
      <c r="J1271" s="111" t="str">
        <f ca="1">+'Tabla III.4.'!$C$9</f>
        <v>Tabla III.4.</v>
      </c>
      <c r="K1271" s="111" t="s">
        <v>2267</v>
      </c>
      <c r="L1271" s="412">
        <f>+L1259+1</f>
        <v>8</v>
      </c>
      <c r="M1271" s="3"/>
    </row>
    <row r="1272" spans="1:13">
      <c r="A1272" s="412" t="s">
        <v>2944</v>
      </c>
      <c r="B1272" s="412" t="str">
        <f t="shared" si="403"/>
        <v>202503</v>
      </c>
      <c r="C1272" s="412" t="str">
        <f ca="1">IF(G1272="01","v2","v1")</f>
        <v>v1</v>
      </c>
      <c r="D1272" s="413" t="str">
        <f ca="1">+D1271</f>
        <v>10.01.03.</v>
      </c>
      <c r="E1272" s="412">
        <f t="shared" si="419"/>
        <v>0</v>
      </c>
      <c r="F1272" s="414">
        <f ca="1">OFFSET('Tabla III.4.'!$H$37,H1272-1,I1272-1)</f>
        <v>0</v>
      </c>
      <c r="G1272" s="412" t="str">
        <f ca="1">OFFSET('Tabla III.4.'!$H$1,0,I1272-1)</f>
        <v>02</v>
      </c>
      <c r="H1272" s="111">
        <f>+H1271</f>
        <v>8</v>
      </c>
      <c r="I1272" s="111">
        <f>+I1271+1</f>
        <v>2</v>
      </c>
      <c r="J1272" s="111" t="str">
        <f ca="1">+'Tabla III.4.'!$C$9</f>
        <v>Tabla III.4.</v>
      </c>
      <c r="K1272" s="111" t="str">
        <f t="shared" ref="K1272:K1282" si="420">+K1271</f>
        <v>B</v>
      </c>
      <c r="L1272" s="412"/>
      <c r="M1272" s="3"/>
    </row>
    <row r="1273" spans="1:13">
      <c r="A1273" s="412" t="s">
        <v>2944</v>
      </c>
      <c r="B1273" s="412" t="str">
        <f t="shared" si="403"/>
        <v>202503</v>
      </c>
      <c r="C1273" s="412" t="str">
        <f t="shared" ref="C1273:C1282" ca="1" si="421">IF(G1273="01","v2","v1")</f>
        <v>v1</v>
      </c>
      <c r="D1273" s="413" t="str">
        <f t="shared" ref="D1273:D1282" ca="1" si="422">+D1272</f>
        <v>10.01.03.</v>
      </c>
      <c r="E1273" s="412">
        <f t="shared" si="419"/>
        <v>0</v>
      </c>
      <c r="F1273" s="414">
        <f ca="1">OFFSET('Tabla III.4.'!$H$37,H1273-1,I1273-1)</f>
        <v>0</v>
      </c>
      <c r="G1273" s="412" t="str">
        <f ca="1">OFFSET('Tabla III.4.'!$H$1,0,I1273-1)</f>
        <v>03</v>
      </c>
      <c r="H1273" s="111">
        <f t="shared" ref="H1273:H1282" si="423">+H1272</f>
        <v>8</v>
      </c>
      <c r="I1273" s="111">
        <f t="shared" ref="I1273:I1282" si="424">+I1272+1</f>
        <v>3</v>
      </c>
      <c r="J1273" s="111" t="str">
        <f ca="1">+'Tabla III.4.'!$C$9</f>
        <v>Tabla III.4.</v>
      </c>
      <c r="K1273" s="111" t="str">
        <f t="shared" si="420"/>
        <v>B</v>
      </c>
      <c r="L1273" s="412"/>
      <c r="M1273" s="3"/>
    </row>
    <row r="1274" spans="1:13">
      <c r="A1274" s="412" t="s">
        <v>2944</v>
      </c>
      <c r="B1274" s="412" t="str">
        <f t="shared" si="403"/>
        <v>202503</v>
      </c>
      <c r="C1274" s="412" t="str">
        <f t="shared" ca="1" si="421"/>
        <v>v1</v>
      </c>
      <c r="D1274" s="413" t="str">
        <f t="shared" ca="1" si="422"/>
        <v>10.01.03.</v>
      </c>
      <c r="E1274" s="412">
        <f t="shared" si="419"/>
        <v>0</v>
      </c>
      <c r="F1274" s="414">
        <f ca="1">OFFSET('Tabla III.4.'!$H$37,H1274-1,I1274-1)</f>
        <v>0</v>
      </c>
      <c r="G1274" s="412" t="str">
        <f ca="1">OFFSET('Tabla III.4.'!$H$1,0,I1274-1)</f>
        <v>04</v>
      </c>
      <c r="H1274" s="111">
        <f t="shared" si="423"/>
        <v>8</v>
      </c>
      <c r="I1274" s="111">
        <f t="shared" si="424"/>
        <v>4</v>
      </c>
      <c r="J1274" s="111" t="str">
        <f ca="1">+'Tabla III.4.'!$C$9</f>
        <v>Tabla III.4.</v>
      </c>
      <c r="K1274" s="111" t="str">
        <f t="shared" si="420"/>
        <v>B</v>
      </c>
      <c r="L1274" s="412"/>
      <c r="M1274" s="3"/>
    </row>
    <row r="1275" spans="1:13">
      <c r="A1275" s="412" t="s">
        <v>2944</v>
      </c>
      <c r="B1275" s="412" t="str">
        <f t="shared" si="403"/>
        <v>202503</v>
      </c>
      <c r="C1275" s="412" t="str">
        <f t="shared" ca="1" si="421"/>
        <v>v1</v>
      </c>
      <c r="D1275" s="413" t="str">
        <f t="shared" ca="1" si="422"/>
        <v>10.01.03.</v>
      </c>
      <c r="E1275" s="412">
        <f t="shared" si="419"/>
        <v>0</v>
      </c>
      <c r="F1275" s="414">
        <f ca="1">OFFSET('Tabla III.4.'!$H$37,H1275-1,I1275-1)</f>
        <v>0</v>
      </c>
      <c r="G1275" s="412" t="str">
        <f ca="1">OFFSET('Tabla III.4.'!$H$1,0,I1275-1)</f>
        <v>05</v>
      </c>
      <c r="H1275" s="111">
        <f t="shared" si="423"/>
        <v>8</v>
      </c>
      <c r="I1275" s="111">
        <f t="shared" si="424"/>
        <v>5</v>
      </c>
      <c r="J1275" s="111" t="str">
        <f ca="1">+'Tabla III.4.'!$C$9</f>
        <v>Tabla III.4.</v>
      </c>
      <c r="K1275" s="111" t="str">
        <f t="shared" si="420"/>
        <v>B</v>
      </c>
      <c r="L1275" s="412"/>
      <c r="M1275" s="3"/>
    </row>
    <row r="1276" spans="1:13">
      <c r="A1276" s="412" t="s">
        <v>2944</v>
      </c>
      <c r="B1276" s="412" t="str">
        <f t="shared" si="403"/>
        <v>202503</v>
      </c>
      <c r="C1276" s="412" t="str">
        <f t="shared" ca="1" si="421"/>
        <v>v1</v>
      </c>
      <c r="D1276" s="413" t="str">
        <f t="shared" ca="1" si="422"/>
        <v>10.01.03.</v>
      </c>
      <c r="E1276" s="412">
        <f t="shared" si="419"/>
        <v>0</v>
      </c>
      <c r="F1276" s="414">
        <f ca="1">OFFSET('Tabla III.4.'!$H$37,H1276-1,I1276-1)</f>
        <v>0</v>
      </c>
      <c r="G1276" s="412" t="str">
        <f ca="1">OFFSET('Tabla III.4.'!$H$1,0,I1276-1)</f>
        <v>06</v>
      </c>
      <c r="H1276" s="111">
        <f t="shared" si="423"/>
        <v>8</v>
      </c>
      <c r="I1276" s="111">
        <f t="shared" si="424"/>
        <v>6</v>
      </c>
      <c r="J1276" s="111" t="str">
        <f ca="1">+'Tabla III.4.'!$C$9</f>
        <v>Tabla III.4.</v>
      </c>
      <c r="K1276" s="111" t="str">
        <f t="shared" si="420"/>
        <v>B</v>
      </c>
      <c r="L1276" s="412"/>
      <c r="M1276" s="3"/>
    </row>
    <row r="1277" spans="1:13">
      <c r="A1277" s="412" t="s">
        <v>2944</v>
      </c>
      <c r="B1277" s="412" t="str">
        <f t="shared" si="403"/>
        <v>202503</v>
      </c>
      <c r="C1277" s="412" t="str">
        <f t="shared" ca="1" si="421"/>
        <v>v1</v>
      </c>
      <c r="D1277" s="413" t="str">
        <f t="shared" ca="1" si="422"/>
        <v>10.01.03.</v>
      </c>
      <c r="E1277" s="412">
        <f t="shared" si="419"/>
        <v>0</v>
      </c>
      <c r="F1277" s="414">
        <f ca="1">OFFSET('Tabla III.4.'!$H$37,H1277-1,I1277-1)</f>
        <v>0</v>
      </c>
      <c r="G1277" s="412" t="str">
        <f ca="1">OFFSET('Tabla III.4.'!$H$1,0,I1277-1)</f>
        <v>07</v>
      </c>
      <c r="H1277" s="111">
        <f t="shared" si="423"/>
        <v>8</v>
      </c>
      <c r="I1277" s="111">
        <f t="shared" si="424"/>
        <v>7</v>
      </c>
      <c r="J1277" s="111" t="str">
        <f ca="1">+'Tabla III.4.'!$C$9</f>
        <v>Tabla III.4.</v>
      </c>
      <c r="K1277" s="111" t="str">
        <f t="shared" si="420"/>
        <v>B</v>
      </c>
      <c r="L1277" s="412"/>
      <c r="M1277" s="3"/>
    </row>
    <row r="1278" spans="1:13">
      <c r="A1278" s="412" t="s">
        <v>2944</v>
      </c>
      <c r="B1278" s="412" t="str">
        <f t="shared" si="403"/>
        <v>202503</v>
      </c>
      <c r="C1278" s="412" t="str">
        <f t="shared" ca="1" si="421"/>
        <v>v1</v>
      </c>
      <c r="D1278" s="413" t="str">
        <f t="shared" ca="1" si="422"/>
        <v>10.01.03.</v>
      </c>
      <c r="E1278" s="412">
        <f t="shared" si="419"/>
        <v>0</v>
      </c>
      <c r="F1278" s="414">
        <f ca="1">OFFSET('Tabla III.4.'!$H$37,H1278-1,I1278-1)</f>
        <v>0</v>
      </c>
      <c r="G1278" s="412" t="str">
        <f ca="1">OFFSET('Tabla III.4.'!$H$1,0,I1278-1)</f>
        <v>08</v>
      </c>
      <c r="H1278" s="111">
        <f t="shared" si="423"/>
        <v>8</v>
      </c>
      <c r="I1278" s="111">
        <f t="shared" si="424"/>
        <v>8</v>
      </c>
      <c r="J1278" s="111" t="str">
        <f ca="1">+'Tabla III.4.'!$C$9</f>
        <v>Tabla III.4.</v>
      </c>
      <c r="K1278" s="111" t="str">
        <f t="shared" si="420"/>
        <v>B</v>
      </c>
      <c r="L1278" s="412"/>
      <c r="M1278" s="3"/>
    </row>
    <row r="1279" spans="1:13">
      <c r="A1279" s="412" t="s">
        <v>2944</v>
      </c>
      <c r="B1279" s="412" t="str">
        <f t="shared" si="403"/>
        <v>202503</v>
      </c>
      <c r="C1279" s="412" t="str">
        <f t="shared" ca="1" si="421"/>
        <v>v1</v>
      </c>
      <c r="D1279" s="413" t="str">
        <f t="shared" ca="1" si="422"/>
        <v>10.01.03.</v>
      </c>
      <c r="E1279" s="412">
        <f t="shared" si="419"/>
        <v>0</v>
      </c>
      <c r="F1279" s="414">
        <f ca="1">OFFSET('Tabla III.4.'!$H$37,H1279-1,I1279-1)</f>
        <v>0</v>
      </c>
      <c r="G1279" s="412" t="str">
        <f ca="1">OFFSET('Tabla III.4.'!$H$1,0,I1279-1)</f>
        <v>09</v>
      </c>
      <c r="H1279" s="111">
        <f t="shared" si="423"/>
        <v>8</v>
      </c>
      <c r="I1279" s="111">
        <f t="shared" si="424"/>
        <v>9</v>
      </c>
      <c r="J1279" s="111" t="str">
        <f ca="1">+'Tabla III.4.'!$C$9</f>
        <v>Tabla III.4.</v>
      </c>
      <c r="K1279" s="111" t="str">
        <f t="shared" si="420"/>
        <v>B</v>
      </c>
      <c r="L1279" s="412"/>
      <c r="M1279" s="3"/>
    </row>
    <row r="1280" spans="1:13">
      <c r="A1280" s="412" t="s">
        <v>2944</v>
      </c>
      <c r="B1280" s="412" t="str">
        <f t="shared" si="403"/>
        <v>202503</v>
      </c>
      <c r="C1280" s="412" t="str">
        <f t="shared" ca="1" si="421"/>
        <v>v1</v>
      </c>
      <c r="D1280" s="413" t="str">
        <f t="shared" ca="1" si="422"/>
        <v>10.01.03.</v>
      </c>
      <c r="E1280" s="412">
        <f t="shared" si="419"/>
        <v>0</v>
      </c>
      <c r="F1280" s="414">
        <f ca="1">OFFSET('Tabla III.4.'!$H$37,H1280-1,I1280-1)</f>
        <v>0</v>
      </c>
      <c r="G1280" s="412" t="str">
        <f ca="1">OFFSET('Tabla III.4.'!$H$1,0,I1280-1)</f>
        <v>10</v>
      </c>
      <c r="H1280" s="111">
        <f t="shared" si="423"/>
        <v>8</v>
      </c>
      <c r="I1280" s="111">
        <f t="shared" si="424"/>
        <v>10</v>
      </c>
      <c r="J1280" s="111" t="str">
        <f ca="1">+'Tabla III.4.'!$C$9</f>
        <v>Tabla III.4.</v>
      </c>
      <c r="K1280" s="111" t="str">
        <f t="shared" si="420"/>
        <v>B</v>
      </c>
      <c r="L1280" s="412"/>
      <c r="M1280" s="3"/>
    </row>
    <row r="1281" spans="1:13">
      <c r="A1281" s="412" t="s">
        <v>2944</v>
      </c>
      <c r="B1281" s="412" t="str">
        <f t="shared" si="403"/>
        <v>202503</v>
      </c>
      <c r="C1281" s="412" t="str">
        <f t="shared" ca="1" si="421"/>
        <v>v1</v>
      </c>
      <c r="D1281" s="413" t="str">
        <f t="shared" ca="1" si="422"/>
        <v>10.01.03.</v>
      </c>
      <c r="E1281" s="412">
        <f t="shared" si="419"/>
        <v>0</v>
      </c>
      <c r="F1281" s="414">
        <f ca="1">OFFSET('Tabla III.4.'!$H$37,H1281-1,I1281-1)</f>
        <v>0</v>
      </c>
      <c r="G1281" s="412" t="str">
        <f ca="1">OFFSET('Tabla III.4.'!$H$1,0,I1281-1)</f>
        <v>11</v>
      </c>
      <c r="H1281" s="111">
        <f t="shared" si="423"/>
        <v>8</v>
      </c>
      <c r="I1281" s="111">
        <f t="shared" si="424"/>
        <v>11</v>
      </c>
      <c r="J1281" s="111" t="str">
        <f ca="1">+'Tabla III.4.'!$C$9</f>
        <v>Tabla III.4.</v>
      </c>
      <c r="K1281" s="111" t="str">
        <f t="shared" si="420"/>
        <v>B</v>
      </c>
      <c r="L1281" s="412"/>
      <c r="M1281" s="3"/>
    </row>
    <row r="1282" spans="1:13">
      <c r="A1282" s="412" t="s">
        <v>2944</v>
      </c>
      <c r="B1282" s="412" t="str">
        <f t="shared" si="403"/>
        <v>202503</v>
      </c>
      <c r="C1282" s="412" t="str">
        <f t="shared" ca="1" si="421"/>
        <v>v1</v>
      </c>
      <c r="D1282" s="413" t="str">
        <f t="shared" ca="1" si="422"/>
        <v>10.01.03.</v>
      </c>
      <c r="E1282" s="412">
        <f t="shared" si="419"/>
        <v>0</v>
      </c>
      <c r="F1282" s="414">
        <f ca="1">OFFSET('Tabla III.4.'!$H$37,H1282-1,I1282-1)</f>
        <v>0</v>
      </c>
      <c r="G1282" s="412" t="str">
        <f ca="1">OFFSET('Tabla III.4.'!$H$1,0,I1282-1)</f>
        <v>12</v>
      </c>
      <c r="H1282" s="111">
        <f t="shared" si="423"/>
        <v>8</v>
      </c>
      <c r="I1282" s="111">
        <f t="shared" si="424"/>
        <v>12</v>
      </c>
      <c r="J1282" s="111" t="str">
        <f ca="1">+'Tabla III.4.'!$C$9</f>
        <v>Tabla III.4.</v>
      </c>
      <c r="K1282" s="111" t="str">
        <f t="shared" si="420"/>
        <v>B</v>
      </c>
      <c r="L1282" s="412"/>
      <c r="M1282" s="3"/>
    </row>
    <row r="1283" spans="1:13">
      <c r="A1283" s="107" t="s">
        <v>2944</v>
      </c>
      <c r="B1283" s="107" t="str">
        <f t="shared" si="403"/>
        <v>202503</v>
      </c>
      <c r="C1283" s="107" t="s">
        <v>2945</v>
      </c>
      <c r="D1283" s="399" t="str">
        <f ca="1">OFFSET('Tabla III.4.'!$F$37,H1283-1,0)</f>
        <v>10.01.03.01.</v>
      </c>
      <c r="E1283" s="107">
        <f t="shared" si="419"/>
        <v>0</v>
      </c>
      <c r="F1283" s="108">
        <f ca="1">OFFSET('Tabla III.4.'!$H$37,H1283-1,I1283-1)</f>
        <v>0</v>
      </c>
      <c r="G1283" s="107" t="str">
        <f ca="1">OFFSET('Tabla III.4.'!$H$1,0,I1283-1)</f>
        <v>01</v>
      </c>
      <c r="H1283" s="110">
        <f>+H1271+1</f>
        <v>9</v>
      </c>
      <c r="I1283" s="110">
        <v>1</v>
      </c>
      <c r="J1283" s="110" t="str">
        <f ca="1">+'Tabla III.4.'!$C$9</f>
        <v>Tabla III.4.</v>
      </c>
      <c r="K1283" s="110" t="s">
        <v>2267</v>
      </c>
      <c r="L1283" s="107">
        <f>+L1271+1</f>
        <v>9</v>
      </c>
      <c r="M1283" s="3"/>
    </row>
    <row r="1284" spans="1:13">
      <c r="A1284" s="107" t="s">
        <v>2944</v>
      </c>
      <c r="B1284" s="107" t="str">
        <f t="shared" si="403"/>
        <v>202503</v>
      </c>
      <c r="C1284" s="107" t="str">
        <f ca="1">IF(G1284="01","v2","v1")</f>
        <v>v1</v>
      </c>
      <c r="D1284" s="399" t="str">
        <f ca="1">+D1283</f>
        <v>10.01.03.01.</v>
      </c>
      <c r="E1284" s="107">
        <f t="shared" si="419"/>
        <v>0</v>
      </c>
      <c r="F1284" s="108">
        <f ca="1">OFFSET('Tabla III.4.'!$H$37,H1284-1,I1284-1)</f>
        <v>0</v>
      </c>
      <c r="G1284" s="107" t="str">
        <f ca="1">OFFSET('Tabla III.4.'!$H$1,0,I1284-1)</f>
        <v>02</v>
      </c>
      <c r="H1284" s="110">
        <f>+H1283</f>
        <v>9</v>
      </c>
      <c r="I1284" s="110">
        <f>+I1283+1</f>
        <v>2</v>
      </c>
      <c r="J1284" s="110" t="str">
        <f ca="1">+'Tabla III.4.'!$C$9</f>
        <v>Tabla III.4.</v>
      </c>
      <c r="K1284" s="110" t="str">
        <f t="shared" ref="K1284:K1294" si="425">+K1283</f>
        <v>B</v>
      </c>
      <c r="L1284" s="107"/>
      <c r="M1284" s="3"/>
    </row>
    <row r="1285" spans="1:13">
      <c r="A1285" s="107" t="s">
        <v>2944</v>
      </c>
      <c r="B1285" s="107" t="str">
        <f t="shared" si="403"/>
        <v>202503</v>
      </c>
      <c r="C1285" s="107" t="str">
        <f t="shared" ref="C1285:C1294" ca="1" si="426">IF(G1285="01","v2","v1")</f>
        <v>v1</v>
      </c>
      <c r="D1285" s="399" t="str">
        <f t="shared" ref="D1285:D1294" ca="1" si="427">+D1284</f>
        <v>10.01.03.01.</v>
      </c>
      <c r="E1285" s="107">
        <f t="shared" si="419"/>
        <v>0</v>
      </c>
      <c r="F1285" s="108">
        <f ca="1">OFFSET('Tabla III.4.'!$H$37,H1285-1,I1285-1)</f>
        <v>0</v>
      </c>
      <c r="G1285" s="107" t="str">
        <f ca="1">OFFSET('Tabla III.4.'!$H$1,0,I1285-1)</f>
        <v>03</v>
      </c>
      <c r="H1285" s="110">
        <f t="shared" ref="H1285:H1294" si="428">+H1284</f>
        <v>9</v>
      </c>
      <c r="I1285" s="110">
        <f t="shared" ref="I1285:I1294" si="429">+I1284+1</f>
        <v>3</v>
      </c>
      <c r="J1285" s="110" t="str">
        <f ca="1">+'Tabla III.4.'!$C$9</f>
        <v>Tabla III.4.</v>
      </c>
      <c r="K1285" s="110" t="str">
        <f t="shared" si="425"/>
        <v>B</v>
      </c>
      <c r="L1285" s="107"/>
      <c r="M1285" s="3"/>
    </row>
    <row r="1286" spans="1:13">
      <c r="A1286" s="107" t="s">
        <v>2944</v>
      </c>
      <c r="B1286" s="107" t="str">
        <f t="shared" si="403"/>
        <v>202503</v>
      </c>
      <c r="C1286" s="107" t="str">
        <f t="shared" ca="1" si="426"/>
        <v>v1</v>
      </c>
      <c r="D1286" s="399" t="str">
        <f t="shared" ca="1" si="427"/>
        <v>10.01.03.01.</v>
      </c>
      <c r="E1286" s="107">
        <f t="shared" si="419"/>
        <v>0</v>
      </c>
      <c r="F1286" s="108">
        <f ca="1">OFFSET('Tabla III.4.'!$H$37,H1286-1,I1286-1)</f>
        <v>0</v>
      </c>
      <c r="G1286" s="107" t="str">
        <f ca="1">OFFSET('Tabla III.4.'!$H$1,0,I1286-1)</f>
        <v>04</v>
      </c>
      <c r="H1286" s="110">
        <f t="shared" si="428"/>
        <v>9</v>
      </c>
      <c r="I1286" s="110">
        <f t="shared" si="429"/>
        <v>4</v>
      </c>
      <c r="J1286" s="110" t="str">
        <f ca="1">+'Tabla III.4.'!$C$9</f>
        <v>Tabla III.4.</v>
      </c>
      <c r="K1286" s="110" t="str">
        <f t="shared" si="425"/>
        <v>B</v>
      </c>
      <c r="L1286" s="107"/>
      <c r="M1286" s="3"/>
    </row>
    <row r="1287" spans="1:13">
      <c r="A1287" s="107" t="s">
        <v>2944</v>
      </c>
      <c r="B1287" s="107" t="str">
        <f t="shared" si="403"/>
        <v>202503</v>
      </c>
      <c r="C1287" s="107" t="str">
        <f t="shared" ca="1" si="426"/>
        <v>v1</v>
      </c>
      <c r="D1287" s="399" t="str">
        <f t="shared" ca="1" si="427"/>
        <v>10.01.03.01.</v>
      </c>
      <c r="E1287" s="107">
        <f t="shared" si="419"/>
        <v>0</v>
      </c>
      <c r="F1287" s="108">
        <f ca="1">OFFSET('Tabla III.4.'!$H$37,H1287-1,I1287-1)</f>
        <v>0</v>
      </c>
      <c r="G1287" s="107" t="str">
        <f ca="1">OFFSET('Tabla III.4.'!$H$1,0,I1287-1)</f>
        <v>05</v>
      </c>
      <c r="H1287" s="110">
        <f t="shared" si="428"/>
        <v>9</v>
      </c>
      <c r="I1287" s="110">
        <f t="shared" si="429"/>
        <v>5</v>
      </c>
      <c r="J1287" s="110" t="str">
        <f ca="1">+'Tabla III.4.'!$C$9</f>
        <v>Tabla III.4.</v>
      </c>
      <c r="K1287" s="110" t="str">
        <f t="shared" si="425"/>
        <v>B</v>
      </c>
      <c r="L1287" s="107"/>
      <c r="M1287" s="3"/>
    </row>
    <row r="1288" spans="1:13">
      <c r="A1288" s="107" t="s">
        <v>2944</v>
      </c>
      <c r="B1288" s="107" t="str">
        <f t="shared" si="403"/>
        <v>202503</v>
      </c>
      <c r="C1288" s="107" t="str">
        <f t="shared" ca="1" si="426"/>
        <v>v1</v>
      </c>
      <c r="D1288" s="399" t="str">
        <f t="shared" ca="1" si="427"/>
        <v>10.01.03.01.</v>
      </c>
      <c r="E1288" s="107">
        <f t="shared" si="419"/>
        <v>0</v>
      </c>
      <c r="F1288" s="108">
        <f ca="1">OFFSET('Tabla III.4.'!$H$37,H1288-1,I1288-1)</f>
        <v>0</v>
      </c>
      <c r="G1288" s="107" t="str">
        <f ca="1">OFFSET('Tabla III.4.'!$H$1,0,I1288-1)</f>
        <v>06</v>
      </c>
      <c r="H1288" s="110">
        <f t="shared" si="428"/>
        <v>9</v>
      </c>
      <c r="I1288" s="110">
        <f t="shared" si="429"/>
        <v>6</v>
      </c>
      <c r="J1288" s="110" t="str">
        <f ca="1">+'Tabla III.4.'!$C$9</f>
        <v>Tabla III.4.</v>
      </c>
      <c r="K1288" s="110" t="str">
        <f t="shared" si="425"/>
        <v>B</v>
      </c>
      <c r="L1288" s="107"/>
      <c r="M1288" s="3"/>
    </row>
    <row r="1289" spans="1:13">
      <c r="A1289" s="107" t="s">
        <v>2944</v>
      </c>
      <c r="B1289" s="107" t="str">
        <f t="shared" si="403"/>
        <v>202503</v>
      </c>
      <c r="C1289" s="107" t="str">
        <f t="shared" ca="1" si="426"/>
        <v>v1</v>
      </c>
      <c r="D1289" s="399" t="str">
        <f t="shared" ca="1" si="427"/>
        <v>10.01.03.01.</v>
      </c>
      <c r="E1289" s="107">
        <f t="shared" si="419"/>
        <v>0</v>
      </c>
      <c r="F1289" s="108">
        <f ca="1">OFFSET('Tabla III.4.'!$H$37,H1289-1,I1289-1)</f>
        <v>0</v>
      </c>
      <c r="G1289" s="107" t="str">
        <f ca="1">OFFSET('Tabla III.4.'!$H$1,0,I1289-1)</f>
        <v>07</v>
      </c>
      <c r="H1289" s="110">
        <f t="shared" si="428"/>
        <v>9</v>
      </c>
      <c r="I1289" s="110">
        <f t="shared" si="429"/>
        <v>7</v>
      </c>
      <c r="J1289" s="110" t="str">
        <f ca="1">+'Tabla III.4.'!$C$9</f>
        <v>Tabla III.4.</v>
      </c>
      <c r="K1289" s="110" t="str">
        <f t="shared" si="425"/>
        <v>B</v>
      </c>
      <c r="L1289" s="107"/>
      <c r="M1289" s="3"/>
    </row>
    <row r="1290" spans="1:13">
      <c r="A1290" s="107" t="s">
        <v>2944</v>
      </c>
      <c r="B1290" s="107" t="str">
        <f t="shared" si="403"/>
        <v>202503</v>
      </c>
      <c r="C1290" s="107" t="str">
        <f t="shared" ca="1" si="426"/>
        <v>v1</v>
      </c>
      <c r="D1290" s="399" t="str">
        <f t="shared" ca="1" si="427"/>
        <v>10.01.03.01.</v>
      </c>
      <c r="E1290" s="107">
        <f t="shared" si="419"/>
        <v>0</v>
      </c>
      <c r="F1290" s="108">
        <f ca="1">OFFSET('Tabla III.4.'!$H$37,H1290-1,I1290-1)</f>
        <v>0</v>
      </c>
      <c r="G1290" s="107" t="str">
        <f ca="1">OFFSET('Tabla III.4.'!$H$1,0,I1290-1)</f>
        <v>08</v>
      </c>
      <c r="H1290" s="110">
        <f t="shared" si="428"/>
        <v>9</v>
      </c>
      <c r="I1290" s="110">
        <f t="shared" si="429"/>
        <v>8</v>
      </c>
      <c r="J1290" s="110" t="str">
        <f ca="1">+'Tabla III.4.'!$C$9</f>
        <v>Tabla III.4.</v>
      </c>
      <c r="K1290" s="110" t="str">
        <f t="shared" si="425"/>
        <v>B</v>
      </c>
      <c r="L1290" s="107"/>
      <c r="M1290" s="3"/>
    </row>
    <row r="1291" spans="1:13">
      <c r="A1291" s="107" t="s">
        <v>2944</v>
      </c>
      <c r="B1291" s="107" t="str">
        <f t="shared" si="403"/>
        <v>202503</v>
      </c>
      <c r="C1291" s="107" t="str">
        <f t="shared" ca="1" si="426"/>
        <v>v1</v>
      </c>
      <c r="D1291" s="399" t="str">
        <f t="shared" ca="1" si="427"/>
        <v>10.01.03.01.</v>
      </c>
      <c r="E1291" s="107">
        <f t="shared" si="419"/>
        <v>0</v>
      </c>
      <c r="F1291" s="108">
        <f ca="1">OFFSET('Tabla III.4.'!$H$37,H1291-1,I1291-1)</f>
        <v>0</v>
      </c>
      <c r="G1291" s="107" t="str">
        <f ca="1">OFFSET('Tabla III.4.'!$H$1,0,I1291-1)</f>
        <v>09</v>
      </c>
      <c r="H1291" s="110">
        <f t="shared" si="428"/>
        <v>9</v>
      </c>
      <c r="I1291" s="110">
        <f t="shared" si="429"/>
        <v>9</v>
      </c>
      <c r="J1291" s="110" t="str">
        <f ca="1">+'Tabla III.4.'!$C$9</f>
        <v>Tabla III.4.</v>
      </c>
      <c r="K1291" s="110" t="str">
        <f t="shared" si="425"/>
        <v>B</v>
      </c>
      <c r="L1291" s="107"/>
      <c r="M1291" s="3"/>
    </row>
    <row r="1292" spans="1:13">
      <c r="A1292" s="107" t="s">
        <v>2944</v>
      </c>
      <c r="B1292" s="107" t="str">
        <f t="shared" si="403"/>
        <v>202503</v>
      </c>
      <c r="C1292" s="107" t="str">
        <f t="shared" ca="1" si="426"/>
        <v>v1</v>
      </c>
      <c r="D1292" s="399" t="str">
        <f t="shared" ca="1" si="427"/>
        <v>10.01.03.01.</v>
      </c>
      <c r="E1292" s="107">
        <f t="shared" si="419"/>
        <v>0</v>
      </c>
      <c r="F1292" s="108">
        <f ca="1">OFFSET('Tabla III.4.'!$H$37,H1292-1,I1292-1)</f>
        <v>0</v>
      </c>
      <c r="G1292" s="107" t="str">
        <f ca="1">OFFSET('Tabla III.4.'!$H$1,0,I1292-1)</f>
        <v>10</v>
      </c>
      <c r="H1292" s="110">
        <f t="shared" si="428"/>
        <v>9</v>
      </c>
      <c r="I1292" s="110">
        <f t="shared" si="429"/>
        <v>10</v>
      </c>
      <c r="J1292" s="110" t="str">
        <f ca="1">+'Tabla III.4.'!$C$9</f>
        <v>Tabla III.4.</v>
      </c>
      <c r="K1292" s="110" t="str">
        <f t="shared" si="425"/>
        <v>B</v>
      </c>
      <c r="L1292" s="107"/>
      <c r="M1292" s="3"/>
    </row>
    <row r="1293" spans="1:13">
      <c r="A1293" s="107" t="s">
        <v>2944</v>
      </c>
      <c r="B1293" s="107" t="str">
        <f t="shared" si="403"/>
        <v>202503</v>
      </c>
      <c r="C1293" s="107" t="str">
        <f t="shared" ca="1" si="426"/>
        <v>v1</v>
      </c>
      <c r="D1293" s="399" t="str">
        <f t="shared" ca="1" si="427"/>
        <v>10.01.03.01.</v>
      </c>
      <c r="E1293" s="107">
        <f t="shared" si="419"/>
        <v>0</v>
      </c>
      <c r="F1293" s="108">
        <f ca="1">OFFSET('Tabla III.4.'!$H$37,H1293-1,I1293-1)</f>
        <v>0</v>
      </c>
      <c r="G1293" s="107" t="str">
        <f ca="1">OFFSET('Tabla III.4.'!$H$1,0,I1293-1)</f>
        <v>11</v>
      </c>
      <c r="H1293" s="110">
        <f t="shared" si="428"/>
        <v>9</v>
      </c>
      <c r="I1293" s="110">
        <f t="shared" si="429"/>
        <v>11</v>
      </c>
      <c r="J1293" s="110" t="str">
        <f ca="1">+'Tabla III.4.'!$C$9</f>
        <v>Tabla III.4.</v>
      </c>
      <c r="K1293" s="110" t="str">
        <f t="shared" si="425"/>
        <v>B</v>
      </c>
      <c r="L1293" s="107"/>
      <c r="M1293" s="3"/>
    </row>
    <row r="1294" spans="1:13">
      <c r="A1294" s="107" t="s">
        <v>2944</v>
      </c>
      <c r="B1294" s="107" t="str">
        <f t="shared" si="403"/>
        <v>202503</v>
      </c>
      <c r="C1294" s="107" t="str">
        <f t="shared" ca="1" si="426"/>
        <v>v1</v>
      </c>
      <c r="D1294" s="399" t="str">
        <f t="shared" ca="1" si="427"/>
        <v>10.01.03.01.</v>
      </c>
      <c r="E1294" s="107">
        <f t="shared" si="419"/>
        <v>0</v>
      </c>
      <c r="F1294" s="108">
        <f ca="1">OFFSET('Tabla III.4.'!$H$37,H1294-1,I1294-1)</f>
        <v>0</v>
      </c>
      <c r="G1294" s="107" t="str">
        <f ca="1">OFFSET('Tabla III.4.'!$H$1,0,I1294-1)</f>
        <v>12</v>
      </c>
      <c r="H1294" s="110">
        <f t="shared" si="428"/>
        <v>9</v>
      </c>
      <c r="I1294" s="110">
        <f t="shared" si="429"/>
        <v>12</v>
      </c>
      <c r="J1294" s="110" t="str">
        <f ca="1">+'Tabla III.4.'!$C$9</f>
        <v>Tabla III.4.</v>
      </c>
      <c r="K1294" s="110" t="str">
        <f t="shared" si="425"/>
        <v>B</v>
      </c>
      <c r="L1294" s="107"/>
      <c r="M1294" s="3"/>
    </row>
    <row r="1295" spans="1:13">
      <c r="A1295" s="412" t="s">
        <v>2944</v>
      </c>
      <c r="B1295" s="412" t="str">
        <f t="shared" si="403"/>
        <v>202503</v>
      </c>
      <c r="C1295" s="412" t="s">
        <v>2945</v>
      </c>
      <c r="D1295" s="413" t="str">
        <f ca="1">OFFSET('Tabla III.4.'!$F$37,H1295-1,0)</f>
        <v>10.01.03.02.</v>
      </c>
      <c r="E1295" s="412">
        <f t="shared" si="419"/>
        <v>0</v>
      </c>
      <c r="F1295" s="414">
        <f ca="1">OFFSET('Tabla III.4.'!$H$37,H1295-1,I1295-1)</f>
        <v>0</v>
      </c>
      <c r="G1295" s="412" t="str">
        <f ca="1">OFFSET('Tabla III.4.'!$H$1,0,I1295-1)</f>
        <v>01</v>
      </c>
      <c r="H1295" s="111">
        <f>+H1283+1</f>
        <v>10</v>
      </c>
      <c r="I1295" s="111">
        <v>1</v>
      </c>
      <c r="J1295" s="111" t="str">
        <f ca="1">+'Tabla III.4.'!$C$9</f>
        <v>Tabla III.4.</v>
      </c>
      <c r="K1295" s="111" t="s">
        <v>2267</v>
      </c>
      <c r="L1295" s="412">
        <f>+L1283+1</f>
        <v>10</v>
      </c>
      <c r="M1295" s="3"/>
    </row>
    <row r="1296" spans="1:13">
      <c r="A1296" s="412" t="s">
        <v>2944</v>
      </c>
      <c r="B1296" s="412" t="str">
        <f t="shared" si="403"/>
        <v>202503</v>
      </c>
      <c r="C1296" s="412" t="str">
        <f ca="1">IF(G1296="01","v2","v1")</f>
        <v>v1</v>
      </c>
      <c r="D1296" s="413" t="str">
        <f ca="1">+D1295</f>
        <v>10.01.03.02.</v>
      </c>
      <c r="E1296" s="412">
        <f t="shared" si="419"/>
        <v>0</v>
      </c>
      <c r="F1296" s="414">
        <f ca="1">OFFSET('Tabla III.4.'!$H$37,H1296-1,I1296-1)</f>
        <v>0</v>
      </c>
      <c r="G1296" s="412" t="str">
        <f ca="1">OFFSET('Tabla III.4.'!$H$1,0,I1296-1)</f>
        <v>02</v>
      </c>
      <c r="H1296" s="111">
        <f>+H1295</f>
        <v>10</v>
      </c>
      <c r="I1296" s="111">
        <f>+I1295+1</f>
        <v>2</v>
      </c>
      <c r="J1296" s="111" t="str">
        <f ca="1">+'Tabla III.4.'!$C$9</f>
        <v>Tabla III.4.</v>
      </c>
      <c r="K1296" s="111" t="str">
        <f t="shared" ref="K1296:K1306" si="430">+K1295</f>
        <v>B</v>
      </c>
      <c r="L1296" s="412"/>
      <c r="M1296" s="3"/>
    </row>
    <row r="1297" spans="1:13">
      <c r="A1297" s="412" t="s">
        <v>2944</v>
      </c>
      <c r="B1297" s="412" t="str">
        <f t="shared" si="403"/>
        <v>202503</v>
      </c>
      <c r="C1297" s="412" t="str">
        <f t="shared" ref="C1297:C1306" ca="1" si="431">IF(G1297="01","v2","v1")</f>
        <v>v1</v>
      </c>
      <c r="D1297" s="413" t="str">
        <f t="shared" ref="D1297:D1306" ca="1" si="432">+D1296</f>
        <v>10.01.03.02.</v>
      </c>
      <c r="E1297" s="412">
        <f t="shared" si="419"/>
        <v>0</v>
      </c>
      <c r="F1297" s="414">
        <f ca="1">OFFSET('Tabla III.4.'!$H$37,H1297-1,I1297-1)</f>
        <v>0</v>
      </c>
      <c r="G1297" s="412" t="str">
        <f ca="1">OFFSET('Tabla III.4.'!$H$1,0,I1297-1)</f>
        <v>03</v>
      </c>
      <c r="H1297" s="111">
        <f t="shared" ref="H1297:H1306" si="433">+H1296</f>
        <v>10</v>
      </c>
      <c r="I1297" s="111">
        <f t="shared" ref="I1297:I1306" si="434">+I1296+1</f>
        <v>3</v>
      </c>
      <c r="J1297" s="111" t="str">
        <f ca="1">+'Tabla III.4.'!$C$9</f>
        <v>Tabla III.4.</v>
      </c>
      <c r="K1297" s="111" t="str">
        <f t="shared" si="430"/>
        <v>B</v>
      </c>
      <c r="L1297" s="412"/>
      <c r="M1297" s="3"/>
    </row>
    <row r="1298" spans="1:13">
      <c r="A1298" s="412" t="s">
        <v>2944</v>
      </c>
      <c r="B1298" s="412" t="str">
        <f t="shared" si="403"/>
        <v>202503</v>
      </c>
      <c r="C1298" s="412" t="str">
        <f t="shared" ca="1" si="431"/>
        <v>v1</v>
      </c>
      <c r="D1298" s="413" t="str">
        <f t="shared" ca="1" si="432"/>
        <v>10.01.03.02.</v>
      </c>
      <c r="E1298" s="412">
        <f t="shared" si="419"/>
        <v>0</v>
      </c>
      <c r="F1298" s="414">
        <f ca="1">OFFSET('Tabla III.4.'!$H$37,H1298-1,I1298-1)</f>
        <v>0</v>
      </c>
      <c r="G1298" s="412" t="str">
        <f ca="1">OFFSET('Tabla III.4.'!$H$1,0,I1298-1)</f>
        <v>04</v>
      </c>
      <c r="H1298" s="111">
        <f t="shared" si="433"/>
        <v>10</v>
      </c>
      <c r="I1298" s="111">
        <f t="shared" si="434"/>
        <v>4</v>
      </c>
      <c r="J1298" s="111" t="str">
        <f ca="1">+'Tabla III.4.'!$C$9</f>
        <v>Tabla III.4.</v>
      </c>
      <c r="K1298" s="111" t="str">
        <f t="shared" si="430"/>
        <v>B</v>
      </c>
      <c r="L1298" s="412"/>
      <c r="M1298" s="3"/>
    </row>
    <row r="1299" spans="1:13">
      <c r="A1299" s="412" t="s">
        <v>2944</v>
      </c>
      <c r="B1299" s="412" t="str">
        <f t="shared" ref="B1299:B1362" si="435">PERIODO</f>
        <v>202503</v>
      </c>
      <c r="C1299" s="412" t="str">
        <f t="shared" ca="1" si="431"/>
        <v>v1</v>
      </c>
      <c r="D1299" s="413" t="str">
        <f t="shared" ca="1" si="432"/>
        <v>10.01.03.02.</v>
      </c>
      <c r="E1299" s="412">
        <f t="shared" si="419"/>
        <v>0</v>
      </c>
      <c r="F1299" s="414">
        <f ca="1">OFFSET('Tabla III.4.'!$H$37,H1299-1,I1299-1)</f>
        <v>0</v>
      </c>
      <c r="G1299" s="412" t="str">
        <f ca="1">OFFSET('Tabla III.4.'!$H$1,0,I1299-1)</f>
        <v>05</v>
      </c>
      <c r="H1299" s="111">
        <f t="shared" si="433"/>
        <v>10</v>
      </c>
      <c r="I1299" s="111">
        <f t="shared" si="434"/>
        <v>5</v>
      </c>
      <c r="J1299" s="111" t="str">
        <f ca="1">+'Tabla III.4.'!$C$9</f>
        <v>Tabla III.4.</v>
      </c>
      <c r="K1299" s="111" t="str">
        <f t="shared" si="430"/>
        <v>B</v>
      </c>
      <c r="L1299" s="412"/>
      <c r="M1299" s="3"/>
    </row>
    <row r="1300" spans="1:13">
      <c r="A1300" s="412" t="s">
        <v>2944</v>
      </c>
      <c r="B1300" s="412" t="str">
        <f t="shared" si="435"/>
        <v>202503</v>
      </c>
      <c r="C1300" s="412" t="str">
        <f t="shared" ca="1" si="431"/>
        <v>v1</v>
      </c>
      <c r="D1300" s="413" t="str">
        <f t="shared" ca="1" si="432"/>
        <v>10.01.03.02.</v>
      </c>
      <c r="E1300" s="412">
        <f t="shared" si="419"/>
        <v>0</v>
      </c>
      <c r="F1300" s="414">
        <f ca="1">OFFSET('Tabla III.4.'!$H$37,H1300-1,I1300-1)</f>
        <v>0</v>
      </c>
      <c r="G1300" s="412" t="str">
        <f ca="1">OFFSET('Tabla III.4.'!$H$1,0,I1300-1)</f>
        <v>06</v>
      </c>
      <c r="H1300" s="111">
        <f t="shared" si="433"/>
        <v>10</v>
      </c>
      <c r="I1300" s="111">
        <f t="shared" si="434"/>
        <v>6</v>
      </c>
      <c r="J1300" s="111" t="str">
        <f ca="1">+'Tabla III.4.'!$C$9</f>
        <v>Tabla III.4.</v>
      </c>
      <c r="K1300" s="111" t="str">
        <f t="shared" si="430"/>
        <v>B</v>
      </c>
      <c r="L1300" s="412"/>
      <c r="M1300" s="3"/>
    </row>
    <row r="1301" spans="1:13">
      <c r="A1301" s="412" t="s">
        <v>2944</v>
      </c>
      <c r="B1301" s="412" t="str">
        <f t="shared" si="435"/>
        <v>202503</v>
      </c>
      <c r="C1301" s="412" t="str">
        <f t="shared" ca="1" si="431"/>
        <v>v1</v>
      </c>
      <c r="D1301" s="413" t="str">
        <f t="shared" ca="1" si="432"/>
        <v>10.01.03.02.</v>
      </c>
      <c r="E1301" s="412">
        <f t="shared" si="419"/>
        <v>0</v>
      </c>
      <c r="F1301" s="414">
        <f ca="1">OFFSET('Tabla III.4.'!$H$37,H1301-1,I1301-1)</f>
        <v>0</v>
      </c>
      <c r="G1301" s="412" t="str">
        <f ca="1">OFFSET('Tabla III.4.'!$H$1,0,I1301-1)</f>
        <v>07</v>
      </c>
      <c r="H1301" s="111">
        <f t="shared" si="433"/>
        <v>10</v>
      </c>
      <c r="I1301" s="111">
        <f t="shared" si="434"/>
        <v>7</v>
      </c>
      <c r="J1301" s="111" t="str">
        <f ca="1">+'Tabla III.4.'!$C$9</f>
        <v>Tabla III.4.</v>
      </c>
      <c r="K1301" s="111" t="str">
        <f t="shared" si="430"/>
        <v>B</v>
      </c>
      <c r="L1301" s="412"/>
      <c r="M1301" s="3"/>
    </row>
    <row r="1302" spans="1:13">
      <c r="A1302" s="412" t="s">
        <v>2944</v>
      </c>
      <c r="B1302" s="412" t="str">
        <f t="shared" si="435"/>
        <v>202503</v>
      </c>
      <c r="C1302" s="412" t="str">
        <f t="shared" ca="1" si="431"/>
        <v>v1</v>
      </c>
      <c r="D1302" s="413" t="str">
        <f t="shared" ca="1" si="432"/>
        <v>10.01.03.02.</v>
      </c>
      <c r="E1302" s="412">
        <f t="shared" si="419"/>
        <v>0</v>
      </c>
      <c r="F1302" s="414">
        <f ca="1">OFFSET('Tabla III.4.'!$H$37,H1302-1,I1302-1)</f>
        <v>0</v>
      </c>
      <c r="G1302" s="412" t="str">
        <f ca="1">OFFSET('Tabla III.4.'!$H$1,0,I1302-1)</f>
        <v>08</v>
      </c>
      <c r="H1302" s="111">
        <f t="shared" si="433"/>
        <v>10</v>
      </c>
      <c r="I1302" s="111">
        <f t="shared" si="434"/>
        <v>8</v>
      </c>
      <c r="J1302" s="111" t="str">
        <f ca="1">+'Tabla III.4.'!$C$9</f>
        <v>Tabla III.4.</v>
      </c>
      <c r="K1302" s="111" t="str">
        <f t="shared" si="430"/>
        <v>B</v>
      </c>
      <c r="L1302" s="412"/>
      <c r="M1302" s="3"/>
    </row>
    <row r="1303" spans="1:13">
      <c r="A1303" s="412" t="s">
        <v>2944</v>
      </c>
      <c r="B1303" s="412" t="str">
        <f t="shared" si="435"/>
        <v>202503</v>
      </c>
      <c r="C1303" s="412" t="str">
        <f t="shared" ca="1" si="431"/>
        <v>v1</v>
      </c>
      <c r="D1303" s="413" t="str">
        <f t="shared" ca="1" si="432"/>
        <v>10.01.03.02.</v>
      </c>
      <c r="E1303" s="412">
        <f t="shared" si="419"/>
        <v>0</v>
      </c>
      <c r="F1303" s="414">
        <f ca="1">OFFSET('Tabla III.4.'!$H$37,H1303-1,I1303-1)</f>
        <v>0</v>
      </c>
      <c r="G1303" s="412" t="str">
        <f ca="1">OFFSET('Tabla III.4.'!$H$1,0,I1303-1)</f>
        <v>09</v>
      </c>
      <c r="H1303" s="111">
        <f t="shared" si="433"/>
        <v>10</v>
      </c>
      <c r="I1303" s="111">
        <f t="shared" si="434"/>
        <v>9</v>
      </c>
      <c r="J1303" s="111" t="str">
        <f ca="1">+'Tabla III.4.'!$C$9</f>
        <v>Tabla III.4.</v>
      </c>
      <c r="K1303" s="111" t="str">
        <f t="shared" si="430"/>
        <v>B</v>
      </c>
      <c r="L1303" s="412"/>
      <c r="M1303" s="3"/>
    </row>
    <row r="1304" spans="1:13">
      <c r="A1304" s="412" t="s">
        <v>2944</v>
      </c>
      <c r="B1304" s="412" t="str">
        <f t="shared" si="435"/>
        <v>202503</v>
      </c>
      <c r="C1304" s="412" t="str">
        <f t="shared" ca="1" si="431"/>
        <v>v1</v>
      </c>
      <c r="D1304" s="413" t="str">
        <f t="shared" ca="1" si="432"/>
        <v>10.01.03.02.</v>
      </c>
      <c r="E1304" s="412">
        <f t="shared" si="419"/>
        <v>0</v>
      </c>
      <c r="F1304" s="414">
        <f ca="1">OFFSET('Tabla III.4.'!$H$37,H1304-1,I1304-1)</f>
        <v>0</v>
      </c>
      <c r="G1304" s="412" t="str">
        <f ca="1">OFFSET('Tabla III.4.'!$H$1,0,I1304-1)</f>
        <v>10</v>
      </c>
      <c r="H1304" s="111">
        <f t="shared" si="433"/>
        <v>10</v>
      </c>
      <c r="I1304" s="111">
        <f t="shared" si="434"/>
        <v>10</v>
      </c>
      <c r="J1304" s="111" t="str">
        <f ca="1">+'Tabla III.4.'!$C$9</f>
        <v>Tabla III.4.</v>
      </c>
      <c r="K1304" s="111" t="str">
        <f t="shared" si="430"/>
        <v>B</v>
      </c>
      <c r="L1304" s="412"/>
      <c r="M1304" s="3"/>
    </row>
    <row r="1305" spans="1:13">
      <c r="A1305" s="412" t="s">
        <v>2944</v>
      </c>
      <c r="B1305" s="412" t="str">
        <f t="shared" si="435"/>
        <v>202503</v>
      </c>
      <c r="C1305" s="412" t="str">
        <f t="shared" ca="1" si="431"/>
        <v>v1</v>
      </c>
      <c r="D1305" s="413" t="str">
        <f t="shared" ca="1" si="432"/>
        <v>10.01.03.02.</v>
      </c>
      <c r="E1305" s="412">
        <f t="shared" si="419"/>
        <v>0</v>
      </c>
      <c r="F1305" s="414">
        <f ca="1">OFFSET('Tabla III.4.'!$H$37,H1305-1,I1305-1)</f>
        <v>0</v>
      </c>
      <c r="G1305" s="412" t="str">
        <f ca="1">OFFSET('Tabla III.4.'!$H$1,0,I1305-1)</f>
        <v>11</v>
      </c>
      <c r="H1305" s="111">
        <f t="shared" si="433"/>
        <v>10</v>
      </c>
      <c r="I1305" s="111">
        <f t="shared" si="434"/>
        <v>11</v>
      </c>
      <c r="J1305" s="111" t="str">
        <f ca="1">+'Tabla III.4.'!$C$9</f>
        <v>Tabla III.4.</v>
      </c>
      <c r="K1305" s="111" t="str">
        <f t="shared" si="430"/>
        <v>B</v>
      </c>
      <c r="L1305" s="412"/>
      <c r="M1305" s="3"/>
    </row>
    <row r="1306" spans="1:13">
      <c r="A1306" s="412" t="s">
        <v>2944</v>
      </c>
      <c r="B1306" s="412" t="str">
        <f t="shared" si="435"/>
        <v>202503</v>
      </c>
      <c r="C1306" s="412" t="str">
        <f t="shared" ca="1" si="431"/>
        <v>v1</v>
      </c>
      <c r="D1306" s="413" t="str">
        <f t="shared" ca="1" si="432"/>
        <v>10.01.03.02.</v>
      </c>
      <c r="E1306" s="412">
        <f t="shared" si="419"/>
        <v>0</v>
      </c>
      <c r="F1306" s="414">
        <f ca="1">OFFSET('Tabla III.4.'!$H$37,H1306-1,I1306-1)</f>
        <v>0</v>
      </c>
      <c r="G1306" s="412" t="str">
        <f ca="1">OFFSET('Tabla III.4.'!$H$1,0,I1306-1)</f>
        <v>12</v>
      </c>
      <c r="H1306" s="111">
        <f t="shared" si="433"/>
        <v>10</v>
      </c>
      <c r="I1306" s="111">
        <f t="shared" si="434"/>
        <v>12</v>
      </c>
      <c r="J1306" s="111" t="str">
        <f ca="1">+'Tabla III.4.'!$C$9</f>
        <v>Tabla III.4.</v>
      </c>
      <c r="K1306" s="111" t="str">
        <f t="shared" si="430"/>
        <v>B</v>
      </c>
      <c r="L1306" s="412"/>
      <c r="M1306" s="3"/>
    </row>
    <row r="1307" spans="1:13">
      <c r="A1307" s="107" t="s">
        <v>2944</v>
      </c>
      <c r="B1307" s="107" t="str">
        <f t="shared" si="435"/>
        <v>202503</v>
      </c>
      <c r="C1307" s="107" t="s">
        <v>2945</v>
      </c>
      <c r="D1307" s="399" t="str">
        <f ca="1">OFFSET('Tabla III.4.'!$F$37,H1307-1,0)</f>
        <v>10.02.</v>
      </c>
      <c r="E1307" s="107">
        <f t="shared" si="419"/>
        <v>0</v>
      </c>
      <c r="F1307" s="108">
        <f ca="1">OFFSET('Tabla III.4.'!$H$37,H1307-1,I1307-1)</f>
        <v>0</v>
      </c>
      <c r="G1307" s="107" t="str">
        <f ca="1">OFFSET('Tabla III.4.'!$H$1,0,I1307-1)</f>
        <v>01</v>
      </c>
      <c r="H1307" s="110">
        <f>+H1295+1</f>
        <v>11</v>
      </c>
      <c r="I1307" s="110">
        <v>1</v>
      </c>
      <c r="J1307" s="110" t="str">
        <f ca="1">+'Tabla III.4.'!$C$9</f>
        <v>Tabla III.4.</v>
      </c>
      <c r="K1307" s="110" t="s">
        <v>2267</v>
      </c>
      <c r="L1307" s="107">
        <f>+L1295+1</f>
        <v>11</v>
      </c>
      <c r="M1307" s="3"/>
    </row>
    <row r="1308" spans="1:13">
      <c r="A1308" s="107" t="s">
        <v>2944</v>
      </c>
      <c r="B1308" s="107" t="str">
        <f t="shared" si="435"/>
        <v>202503</v>
      </c>
      <c r="C1308" s="107" t="str">
        <f ca="1">IF(G1308="01","v2","v1")</f>
        <v>v1</v>
      </c>
      <c r="D1308" s="399" t="str">
        <f ca="1">+D1307</f>
        <v>10.02.</v>
      </c>
      <c r="E1308" s="107">
        <f t="shared" si="419"/>
        <v>0</v>
      </c>
      <c r="F1308" s="108">
        <f ca="1">OFFSET('Tabla III.4.'!$H$37,H1308-1,I1308-1)</f>
        <v>0</v>
      </c>
      <c r="G1308" s="107" t="str">
        <f ca="1">OFFSET('Tabla III.4.'!$H$1,0,I1308-1)</f>
        <v>02</v>
      </c>
      <c r="H1308" s="110">
        <f>+H1307</f>
        <v>11</v>
      </c>
      <c r="I1308" s="110">
        <f>+I1307+1</f>
        <v>2</v>
      </c>
      <c r="J1308" s="110" t="str">
        <f ca="1">+'Tabla III.4.'!$C$9</f>
        <v>Tabla III.4.</v>
      </c>
      <c r="K1308" s="110" t="str">
        <f t="shared" ref="K1308:K1318" si="436">+K1307</f>
        <v>B</v>
      </c>
      <c r="L1308" s="107"/>
      <c r="M1308" s="3"/>
    </row>
    <row r="1309" spans="1:13">
      <c r="A1309" s="107" t="s">
        <v>2944</v>
      </c>
      <c r="B1309" s="107" t="str">
        <f t="shared" si="435"/>
        <v>202503</v>
      </c>
      <c r="C1309" s="107" t="str">
        <f t="shared" ref="C1309:C1318" ca="1" si="437">IF(G1309="01","v2","v1")</f>
        <v>v1</v>
      </c>
      <c r="D1309" s="399" t="str">
        <f t="shared" ref="D1309:D1318" ca="1" si="438">+D1308</f>
        <v>10.02.</v>
      </c>
      <c r="E1309" s="107">
        <f t="shared" si="419"/>
        <v>0</v>
      </c>
      <c r="F1309" s="108">
        <f ca="1">OFFSET('Tabla III.4.'!$H$37,H1309-1,I1309-1)</f>
        <v>0</v>
      </c>
      <c r="G1309" s="107" t="str">
        <f ca="1">OFFSET('Tabla III.4.'!$H$1,0,I1309-1)</f>
        <v>03</v>
      </c>
      <c r="H1309" s="110">
        <f t="shared" ref="H1309:H1318" si="439">+H1308</f>
        <v>11</v>
      </c>
      <c r="I1309" s="110">
        <f t="shared" ref="I1309:I1318" si="440">+I1308+1</f>
        <v>3</v>
      </c>
      <c r="J1309" s="110" t="str">
        <f ca="1">+'Tabla III.4.'!$C$9</f>
        <v>Tabla III.4.</v>
      </c>
      <c r="K1309" s="110" t="str">
        <f t="shared" si="436"/>
        <v>B</v>
      </c>
      <c r="L1309" s="107"/>
      <c r="M1309" s="3"/>
    </row>
    <row r="1310" spans="1:13">
      <c r="A1310" s="107" t="s">
        <v>2944</v>
      </c>
      <c r="B1310" s="107" t="str">
        <f t="shared" si="435"/>
        <v>202503</v>
      </c>
      <c r="C1310" s="107" t="str">
        <f t="shared" ca="1" si="437"/>
        <v>v1</v>
      </c>
      <c r="D1310" s="399" t="str">
        <f t="shared" ca="1" si="438"/>
        <v>10.02.</v>
      </c>
      <c r="E1310" s="107">
        <f t="shared" si="419"/>
        <v>0</v>
      </c>
      <c r="F1310" s="108">
        <f ca="1">OFFSET('Tabla III.4.'!$H$37,H1310-1,I1310-1)</f>
        <v>0</v>
      </c>
      <c r="G1310" s="107" t="str">
        <f ca="1">OFFSET('Tabla III.4.'!$H$1,0,I1310-1)</f>
        <v>04</v>
      </c>
      <c r="H1310" s="110">
        <f t="shared" si="439"/>
        <v>11</v>
      </c>
      <c r="I1310" s="110">
        <f t="shared" si="440"/>
        <v>4</v>
      </c>
      <c r="J1310" s="110" t="str">
        <f ca="1">+'Tabla III.4.'!$C$9</f>
        <v>Tabla III.4.</v>
      </c>
      <c r="K1310" s="110" t="str">
        <f t="shared" si="436"/>
        <v>B</v>
      </c>
      <c r="L1310" s="107"/>
      <c r="M1310" s="3"/>
    </row>
    <row r="1311" spans="1:13">
      <c r="A1311" s="107" t="s">
        <v>2944</v>
      </c>
      <c r="B1311" s="107" t="str">
        <f t="shared" si="435"/>
        <v>202503</v>
      </c>
      <c r="C1311" s="107" t="str">
        <f t="shared" ca="1" si="437"/>
        <v>v1</v>
      </c>
      <c r="D1311" s="399" t="str">
        <f t="shared" ca="1" si="438"/>
        <v>10.02.</v>
      </c>
      <c r="E1311" s="107">
        <f t="shared" si="419"/>
        <v>0</v>
      </c>
      <c r="F1311" s="108">
        <f ca="1">OFFSET('Tabla III.4.'!$H$37,H1311-1,I1311-1)</f>
        <v>0</v>
      </c>
      <c r="G1311" s="107" t="str">
        <f ca="1">OFFSET('Tabla III.4.'!$H$1,0,I1311-1)</f>
        <v>05</v>
      </c>
      <c r="H1311" s="110">
        <f t="shared" si="439"/>
        <v>11</v>
      </c>
      <c r="I1311" s="110">
        <f t="shared" si="440"/>
        <v>5</v>
      </c>
      <c r="J1311" s="110" t="str">
        <f ca="1">+'Tabla III.4.'!$C$9</f>
        <v>Tabla III.4.</v>
      </c>
      <c r="K1311" s="110" t="str">
        <f t="shared" si="436"/>
        <v>B</v>
      </c>
      <c r="L1311" s="107"/>
      <c r="M1311" s="3"/>
    </row>
    <row r="1312" spans="1:13">
      <c r="A1312" s="107" t="s">
        <v>2944</v>
      </c>
      <c r="B1312" s="107" t="str">
        <f t="shared" si="435"/>
        <v>202503</v>
      </c>
      <c r="C1312" s="107" t="str">
        <f t="shared" ca="1" si="437"/>
        <v>v1</v>
      </c>
      <c r="D1312" s="399" t="str">
        <f t="shared" ca="1" si="438"/>
        <v>10.02.</v>
      </c>
      <c r="E1312" s="107">
        <f t="shared" si="419"/>
        <v>0</v>
      </c>
      <c r="F1312" s="108">
        <f ca="1">OFFSET('Tabla III.4.'!$H$37,H1312-1,I1312-1)</f>
        <v>0</v>
      </c>
      <c r="G1312" s="107" t="str">
        <f ca="1">OFFSET('Tabla III.4.'!$H$1,0,I1312-1)</f>
        <v>06</v>
      </c>
      <c r="H1312" s="110">
        <f t="shared" si="439"/>
        <v>11</v>
      </c>
      <c r="I1312" s="110">
        <f t="shared" si="440"/>
        <v>6</v>
      </c>
      <c r="J1312" s="110" t="str">
        <f ca="1">+'Tabla III.4.'!$C$9</f>
        <v>Tabla III.4.</v>
      </c>
      <c r="K1312" s="110" t="str">
        <f t="shared" si="436"/>
        <v>B</v>
      </c>
      <c r="L1312" s="107"/>
      <c r="M1312" s="3"/>
    </row>
    <row r="1313" spans="1:13">
      <c r="A1313" s="107" t="s">
        <v>2944</v>
      </c>
      <c r="B1313" s="107" t="str">
        <f t="shared" si="435"/>
        <v>202503</v>
      </c>
      <c r="C1313" s="107" t="str">
        <f t="shared" ca="1" si="437"/>
        <v>v1</v>
      </c>
      <c r="D1313" s="399" t="str">
        <f t="shared" ca="1" si="438"/>
        <v>10.02.</v>
      </c>
      <c r="E1313" s="107">
        <f t="shared" si="419"/>
        <v>0</v>
      </c>
      <c r="F1313" s="108">
        <f ca="1">OFFSET('Tabla III.4.'!$H$37,H1313-1,I1313-1)</f>
        <v>0</v>
      </c>
      <c r="G1313" s="107" t="str">
        <f ca="1">OFFSET('Tabla III.4.'!$H$1,0,I1313-1)</f>
        <v>07</v>
      </c>
      <c r="H1313" s="110">
        <f t="shared" si="439"/>
        <v>11</v>
      </c>
      <c r="I1313" s="110">
        <f t="shared" si="440"/>
        <v>7</v>
      </c>
      <c r="J1313" s="110" t="str">
        <f ca="1">+'Tabla III.4.'!$C$9</f>
        <v>Tabla III.4.</v>
      </c>
      <c r="K1313" s="110" t="str">
        <f t="shared" si="436"/>
        <v>B</v>
      </c>
      <c r="L1313" s="107"/>
      <c r="M1313" s="3"/>
    </row>
    <row r="1314" spans="1:13">
      <c r="A1314" s="107" t="s">
        <v>2944</v>
      </c>
      <c r="B1314" s="107" t="str">
        <f t="shared" si="435"/>
        <v>202503</v>
      </c>
      <c r="C1314" s="107" t="str">
        <f t="shared" ca="1" si="437"/>
        <v>v1</v>
      </c>
      <c r="D1314" s="399" t="str">
        <f t="shared" ca="1" si="438"/>
        <v>10.02.</v>
      </c>
      <c r="E1314" s="107">
        <f t="shared" si="419"/>
        <v>0</v>
      </c>
      <c r="F1314" s="108">
        <f ca="1">OFFSET('Tabla III.4.'!$H$37,H1314-1,I1314-1)</f>
        <v>0</v>
      </c>
      <c r="G1314" s="107" t="str">
        <f ca="1">OFFSET('Tabla III.4.'!$H$1,0,I1314-1)</f>
        <v>08</v>
      </c>
      <c r="H1314" s="110">
        <f t="shared" si="439"/>
        <v>11</v>
      </c>
      <c r="I1314" s="110">
        <f t="shared" si="440"/>
        <v>8</v>
      </c>
      <c r="J1314" s="110" t="str">
        <f ca="1">+'Tabla III.4.'!$C$9</f>
        <v>Tabla III.4.</v>
      </c>
      <c r="K1314" s="110" t="str">
        <f t="shared" si="436"/>
        <v>B</v>
      </c>
      <c r="L1314" s="107"/>
      <c r="M1314" s="3"/>
    </row>
    <row r="1315" spans="1:13">
      <c r="A1315" s="107" t="s">
        <v>2944</v>
      </c>
      <c r="B1315" s="107" t="str">
        <f t="shared" si="435"/>
        <v>202503</v>
      </c>
      <c r="C1315" s="107" t="str">
        <f t="shared" ca="1" si="437"/>
        <v>v1</v>
      </c>
      <c r="D1315" s="399" t="str">
        <f t="shared" ca="1" si="438"/>
        <v>10.02.</v>
      </c>
      <c r="E1315" s="107">
        <f t="shared" si="419"/>
        <v>0</v>
      </c>
      <c r="F1315" s="108">
        <f ca="1">OFFSET('Tabla III.4.'!$H$37,H1315-1,I1315-1)</f>
        <v>0</v>
      </c>
      <c r="G1315" s="107" t="str">
        <f ca="1">OFFSET('Tabla III.4.'!$H$1,0,I1315-1)</f>
        <v>09</v>
      </c>
      <c r="H1315" s="110">
        <f t="shared" si="439"/>
        <v>11</v>
      </c>
      <c r="I1315" s="110">
        <f t="shared" si="440"/>
        <v>9</v>
      </c>
      <c r="J1315" s="110" t="str">
        <f ca="1">+'Tabla III.4.'!$C$9</f>
        <v>Tabla III.4.</v>
      </c>
      <c r="K1315" s="110" t="str">
        <f t="shared" si="436"/>
        <v>B</v>
      </c>
      <c r="L1315" s="107"/>
      <c r="M1315" s="3"/>
    </row>
    <row r="1316" spans="1:13">
      <c r="A1316" s="107" t="s">
        <v>2944</v>
      </c>
      <c r="B1316" s="107" t="str">
        <f t="shared" si="435"/>
        <v>202503</v>
      </c>
      <c r="C1316" s="107" t="str">
        <f t="shared" ca="1" si="437"/>
        <v>v1</v>
      </c>
      <c r="D1316" s="399" t="str">
        <f t="shared" ca="1" si="438"/>
        <v>10.02.</v>
      </c>
      <c r="E1316" s="107">
        <f t="shared" si="419"/>
        <v>0</v>
      </c>
      <c r="F1316" s="108">
        <f ca="1">OFFSET('Tabla III.4.'!$H$37,H1316-1,I1316-1)</f>
        <v>0</v>
      </c>
      <c r="G1316" s="107" t="str">
        <f ca="1">OFFSET('Tabla III.4.'!$H$1,0,I1316-1)</f>
        <v>10</v>
      </c>
      <c r="H1316" s="110">
        <f t="shared" si="439"/>
        <v>11</v>
      </c>
      <c r="I1316" s="110">
        <f t="shared" si="440"/>
        <v>10</v>
      </c>
      <c r="J1316" s="110" t="str">
        <f ca="1">+'Tabla III.4.'!$C$9</f>
        <v>Tabla III.4.</v>
      </c>
      <c r="K1316" s="110" t="str">
        <f t="shared" si="436"/>
        <v>B</v>
      </c>
      <c r="L1316" s="107"/>
      <c r="M1316" s="3"/>
    </row>
    <row r="1317" spans="1:13">
      <c r="A1317" s="107" t="s">
        <v>2944</v>
      </c>
      <c r="B1317" s="107" t="str">
        <f t="shared" si="435"/>
        <v>202503</v>
      </c>
      <c r="C1317" s="107" t="str">
        <f t="shared" ca="1" si="437"/>
        <v>v1</v>
      </c>
      <c r="D1317" s="399" t="str">
        <f t="shared" ca="1" si="438"/>
        <v>10.02.</v>
      </c>
      <c r="E1317" s="107">
        <f t="shared" si="419"/>
        <v>0</v>
      </c>
      <c r="F1317" s="108">
        <f ca="1">OFFSET('Tabla III.4.'!$H$37,H1317-1,I1317-1)</f>
        <v>0</v>
      </c>
      <c r="G1317" s="107" t="str">
        <f ca="1">OFFSET('Tabla III.4.'!$H$1,0,I1317-1)</f>
        <v>11</v>
      </c>
      <c r="H1317" s="110">
        <f t="shared" si="439"/>
        <v>11</v>
      </c>
      <c r="I1317" s="110">
        <f t="shared" si="440"/>
        <v>11</v>
      </c>
      <c r="J1317" s="110" t="str">
        <f ca="1">+'Tabla III.4.'!$C$9</f>
        <v>Tabla III.4.</v>
      </c>
      <c r="K1317" s="110" t="str">
        <f t="shared" si="436"/>
        <v>B</v>
      </c>
      <c r="L1317" s="107"/>
      <c r="M1317" s="3"/>
    </row>
    <row r="1318" spans="1:13">
      <c r="A1318" s="107" t="s">
        <v>2944</v>
      </c>
      <c r="B1318" s="107" t="str">
        <f t="shared" si="435"/>
        <v>202503</v>
      </c>
      <c r="C1318" s="107" t="str">
        <f t="shared" ca="1" si="437"/>
        <v>v1</v>
      </c>
      <c r="D1318" s="399" t="str">
        <f t="shared" ca="1" si="438"/>
        <v>10.02.</v>
      </c>
      <c r="E1318" s="107">
        <f t="shared" si="419"/>
        <v>0</v>
      </c>
      <c r="F1318" s="108">
        <f ca="1">OFFSET('Tabla III.4.'!$H$37,H1318-1,I1318-1)</f>
        <v>0</v>
      </c>
      <c r="G1318" s="107" t="str">
        <f ca="1">OFFSET('Tabla III.4.'!$H$1,0,I1318-1)</f>
        <v>12</v>
      </c>
      <c r="H1318" s="110">
        <f t="shared" si="439"/>
        <v>11</v>
      </c>
      <c r="I1318" s="110">
        <f t="shared" si="440"/>
        <v>12</v>
      </c>
      <c r="J1318" s="110" t="str">
        <f ca="1">+'Tabla III.4.'!$C$9</f>
        <v>Tabla III.4.</v>
      </c>
      <c r="K1318" s="110" t="str">
        <f t="shared" si="436"/>
        <v>B</v>
      </c>
      <c r="L1318" s="107"/>
      <c r="M1318" s="3"/>
    </row>
    <row r="1319" spans="1:13">
      <c r="A1319" s="412" t="s">
        <v>2944</v>
      </c>
      <c r="B1319" s="412" t="str">
        <f t="shared" si="435"/>
        <v>202503</v>
      </c>
      <c r="C1319" s="412" t="s">
        <v>2945</v>
      </c>
      <c r="D1319" s="413" t="str">
        <f ca="1">OFFSET('Tabla III.4.'!$F$37,H1319-1,0)</f>
        <v>10.02.00.01.</v>
      </c>
      <c r="E1319" s="412">
        <f t="shared" si="419"/>
        <v>0</v>
      </c>
      <c r="F1319" s="414">
        <f ca="1">OFFSET('Tabla III.4.'!$H$37,H1319-1,I1319-1)</f>
        <v>0</v>
      </c>
      <c r="G1319" s="412" t="str">
        <f ca="1">OFFSET('Tabla III.4.'!$H$1,0,I1319-1)</f>
        <v>01</v>
      </c>
      <c r="H1319" s="111">
        <f>+H1307+1</f>
        <v>12</v>
      </c>
      <c r="I1319" s="111">
        <v>1</v>
      </c>
      <c r="J1319" s="111" t="str">
        <f ca="1">+'Tabla III.4.'!$C$9</f>
        <v>Tabla III.4.</v>
      </c>
      <c r="K1319" s="111" t="s">
        <v>2267</v>
      </c>
      <c r="L1319" s="412">
        <f>+L1307+1</f>
        <v>12</v>
      </c>
      <c r="M1319" s="3"/>
    </row>
    <row r="1320" spans="1:13">
      <c r="A1320" s="412" t="s">
        <v>2944</v>
      </c>
      <c r="B1320" s="412" t="str">
        <f t="shared" si="435"/>
        <v>202503</v>
      </c>
      <c r="C1320" s="412" t="str">
        <f ca="1">IF(G1320="01","v2","v1")</f>
        <v>v1</v>
      </c>
      <c r="D1320" s="413" t="str">
        <f ca="1">+D1319</f>
        <v>10.02.00.01.</v>
      </c>
      <c r="E1320" s="412">
        <f t="shared" si="419"/>
        <v>0</v>
      </c>
      <c r="F1320" s="414">
        <f ca="1">OFFSET('Tabla III.4.'!$H$37,H1320-1,I1320-1)</f>
        <v>0</v>
      </c>
      <c r="G1320" s="412" t="str">
        <f ca="1">OFFSET('Tabla III.4.'!$H$1,0,I1320-1)</f>
        <v>02</v>
      </c>
      <c r="H1320" s="111">
        <f>+H1319</f>
        <v>12</v>
      </c>
      <c r="I1320" s="111">
        <f>+I1319+1</f>
        <v>2</v>
      </c>
      <c r="J1320" s="111" t="str">
        <f ca="1">+'Tabla III.4.'!$C$9</f>
        <v>Tabla III.4.</v>
      </c>
      <c r="K1320" s="111" t="str">
        <f t="shared" ref="K1320:K1330" si="441">+K1319</f>
        <v>B</v>
      </c>
      <c r="L1320" s="412"/>
      <c r="M1320" s="3"/>
    </row>
    <row r="1321" spans="1:13">
      <c r="A1321" s="412" t="s">
        <v>2944</v>
      </c>
      <c r="B1321" s="412" t="str">
        <f t="shared" si="435"/>
        <v>202503</v>
      </c>
      <c r="C1321" s="412" t="str">
        <f t="shared" ref="C1321:C1330" ca="1" si="442">IF(G1321="01","v2","v1")</f>
        <v>v1</v>
      </c>
      <c r="D1321" s="413" t="str">
        <f t="shared" ref="D1321:D1330" ca="1" si="443">+D1320</f>
        <v>10.02.00.01.</v>
      </c>
      <c r="E1321" s="412">
        <f t="shared" si="419"/>
        <v>0</v>
      </c>
      <c r="F1321" s="414">
        <f ca="1">OFFSET('Tabla III.4.'!$H$37,H1321-1,I1321-1)</f>
        <v>0</v>
      </c>
      <c r="G1321" s="412" t="str">
        <f ca="1">OFFSET('Tabla III.4.'!$H$1,0,I1321-1)</f>
        <v>03</v>
      </c>
      <c r="H1321" s="111">
        <f t="shared" ref="H1321:H1330" si="444">+H1320</f>
        <v>12</v>
      </c>
      <c r="I1321" s="111">
        <f t="shared" ref="I1321:I1330" si="445">+I1320+1</f>
        <v>3</v>
      </c>
      <c r="J1321" s="111" t="str">
        <f ca="1">+'Tabla III.4.'!$C$9</f>
        <v>Tabla III.4.</v>
      </c>
      <c r="K1321" s="111" t="str">
        <f t="shared" si="441"/>
        <v>B</v>
      </c>
      <c r="L1321" s="412"/>
      <c r="M1321" s="3"/>
    </row>
    <row r="1322" spans="1:13">
      <c r="A1322" s="412" t="s">
        <v>2944</v>
      </c>
      <c r="B1322" s="412" t="str">
        <f t="shared" si="435"/>
        <v>202503</v>
      </c>
      <c r="C1322" s="412" t="str">
        <f t="shared" ca="1" si="442"/>
        <v>v1</v>
      </c>
      <c r="D1322" s="413" t="str">
        <f t="shared" ca="1" si="443"/>
        <v>10.02.00.01.</v>
      </c>
      <c r="E1322" s="412">
        <f t="shared" si="419"/>
        <v>0</v>
      </c>
      <c r="F1322" s="414">
        <f ca="1">OFFSET('Tabla III.4.'!$H$37,H1322-1,I1322-1)</f>
        <v>0</v>
      </c>
      <c r="G1322" s="412" t="str">
        <f ca="1">OFFSET('Tabla III.4.'!$H$1,0,I1322-1)</f>
        <v>04</v>
      </c>
      <c r="H1322" s="111">
        <f t="shared" si="444"/>
        <v>12</v>
      </c>
      <c r="I1322" s="111">
        <f t="shared" si="445"/>
        <v>4</v>
      </c>
      <c r="J1322" s="111" t="str">
        <f ca="1">+'Tabla III.4.'!$C$9</f>
        <v>Tabla III.4.</v>
      </c>
      <c r="K1322" s="111" t="str">
        <f t="shared" si="441"/>
        <v>B</v>
      </c>
      <c r="L1322" s="412"/>
      <c r="M1322" s="3"/>
    </row>
    <row r="1323" spans="1:13">
      <c r="A1323" s="412" t="s">
        <v>2944</v>
      </c>
      <c r="B1323" s="412" t="str">
        <f t="shared" si="435"/>
        <v>202503</v>
      </c>
      <c r="C1323" s="412" t="str">
        <f t="shared" ca="1" si="442"/>
        <v>v1</v>
      </c>
      <c r="D1323" s="413" t="str">
        <f t="shared" ca="1" si="443"/>
        <v>10.02.00.01.</v>
      </c>
      <c r="E1323" s="412">
        <f t="shared" si="419"/>
        <v>0</v>
      </c>
      <c r="F1323" s="414">
        <f ca="1">OFFSET('Tabla III.4.'!$H$37,H1323-1,I1323-1)</f>
        <v>0</v>
      </c>
      <c r="G1323" s="412" t="str">
        <f ca="1">OFFSET('Tabla III.4.'!$H$1,0,I1323-1)</f>
        <v>05</v>
      </c>
      <c r="H1323" s="111">
        <f t="shared" si="444"/>
        <v>12</v>
      </c>
      <c r="I1323" s="111">
        <f t="shared" si="445"/>
        <v>5</v>
      </c>
      <c r="J1323" s="111" t="str">
        <f ca="1">+'Tabla III.4.'!$C$9</f>
        <v>Tabla III.4.</v>
      </c>
      <c r="K1323" s="111" t="str">
        <f t="shared" si="441"/>
        <v>B</v>
      </c>
      <c r="L1323" s="412"/>
      <c r="M1323" s="3"/>
    </row>
    <row r="1324" spans="1:13">
      <c r="A1324" s="412" t="s">
        <v>2944</v>
      </c>
      <c r="B1324" s="412" t="str">
        <f t="shared" si="435"/>
        <v>202503</v>
      </c>
      <c r="C1324" s="412" t="str">
        <f t="shared" ca="1" si="442"/>
        <v>v1</v>
      </c>
      <c r="D1324" s="413" t="str">
        <f t="shared" ca="1" si="443"/>
        <v>10.02.00.01.</v>
      </c>
      <c r="E1324" s="412">
        <f t="shared" si="419"/>
        <v>0</v>
      </c>
      <c r="F1324" s="414">
        <f ca="1">OFFSET('Tabla III.4.'!$H$37,H1324-1,I1324-1)</f>
        <v>0</v>
      </c>
      <c r="G1324" s="412" t="str">
        <f ca="1">OFFSET('Tabla III.4.'!$H$1,0,I1324-1)</f>
        <v>06</v>
      </c>
      <c r="H1324" s="111">
        <f t="shared" si="444"/>
        <v>12</v>
      </c>
      <c r="I1324" s="111">
        <f t="shared" si="445"/>
        <v>6</v>
      </c>
      <c r="J1324" s="111" t="str">
        <f ca="1">+'Tabla III.4.'!$C$9</f>
        <v>Tabla III.4.</v>
      </c>
      <c r="K1324" s="111" t="str">
        <f t="shared" si="441"/>
        <v>B</v>
      </c>
      <c r="L1324" s="412"/>
      <c r="M1324" s="3"/>
    </row>
    <row r="1325" spans="1:13">
      <c r="A1325" s="412" t="s">
        <v>2944</v>
      </c>
      <c r="B1325" s="412" t="str">
        <f t="shared" si="435"/>
        <v>202503</v>
      </c>
      <c r="C1325" s="412" t="str">
        <f t="shared" ca="1" si="442"/>
        <v>v1</v>
      </c>
      <c r="D1325" s="413" t="str">
        <f t="shared" ca="1" si="443"/>
        <v>10.02.00.01.</v>
      </c>
      <c r="E1325" s="412">
        <f t="shared" si="419"/>
        <v>0</v>
      </c>
      <c r="F1325" s="414">
        <f ca="1">OFFSET('Tabla III.4.'!$H$37,H1325-1,I1325-1)</f>
        <v>0</v>
      </c>
      <c r="G1325" s="412" t="str">
        <f ca="1">OFFSET('Tabla III.4.'!$H$1,0,I1325-1)</f>
        <v>07</v>
      </c>
      <c r="H1325" s="111">
        <f t="shared" si="444"/>
        <v>12</v>
      </c>
      <c r="I1325" s="111">
        <f t="shared" si="445"/>
        <v>7</v>
      </c>
      <c r="J1325" s="111" t="str">
        <f ca="1">+'Tabla III.4.'!$C$9</f>
        <v>Tabla III.4.</v>
      </c>
      <c r="K1325" s="111" t="str">
        <f t="shared" si="441"/>
        <v>B</v>
      </c>
      <c r="L1325" s="412"/>
      <c r="M1325" s="3"/>
    </row>
    <row r="1326" spans="1:13">
      <c r="A1326" s="412" t="s">
        <v>2944</v>
      </c>
      <c r="B1326" s="412" t="str">
        <f t="shared" si="435"/>
        <v>202503</v>
      </c>
      <c r="C1326" s="412" t="str">
        <f t="shared" ca="1" si="442"/>
        <v>v1</v>
      </c>
      <c r="D1326" s="413" t="str">
        <f t="shared" ca="1" si="443"/>
        <v>10.02.00.01.</v>
      </c>
      <c r="E1326" s="412">
        <f t="shared" si="419"/>
        <v>0</v>
      </c>
      <c r="F1326" s="414">
        <f ca="1">OFFSET('Tabla III.4.'!$H$37,H1326-1,I1326-1)</f>
        <v>0</v>
      </c>
      <c r="G1326" s="412" t="str">
        <f ca="1">OFFSET('Tabla III.4.'!$H$1,0,I1326-1)</f>
        <v>08</v>
      </c>
      <c r="H1326" s="111">
        <f t="shared" si="444"/>
        <v>12</v>
      </c>
      <c r="I1326" s="111">
        <f t="shared" si="445"/>
        <v>8</v>
      </c>
      <c r="J1326" s="111" t="str">
        <f ca="1">+'Tabla III.4.'!$C$9</f>
        <v>Tabla III.4.</v>
      </c>
      <c r="K1326" s="111" t="str">
        <f t="shared" si="441"/>
        <v>B</v>
      </c>
      <c r="L1326" s="412"/>
      <c r="M1326" s="3"/>
    </row>
    <row r="1327" spans="1:13">
      <c r="A1327" s="412" t="s">
        <v>2944</v>
      </c>
      <c r="B1327" s="412" t="str">
        <f t="shared" si="435"/>
        <v>202503</v>
      </c>
      <c r="C1327" s="412" t="str">
        <f t="shared" ca="1" si="442"/>
        <v>v1</v>
      </c>
      <c r="D1327" s="413" t="str">
        <f t="shared" ca="1" si="443"/>
        <v>10.02.00.01.</v>
      </c>
      <c r="E1327" s="412">
        <f t="shared" si="419"/>
        <v>0</v>
      </c>
      <c r="F1327" s="414">
        <f ca="1">OFFSET('Tabla III.4.'!$H$37,H1327-1,I1327-1)</f>
        <v>0</v>
      </c>
      <c r="G1327" s="412" t="str">
        <f ca="1">OFFSET('Tabla III.4.'!$H$1,0,I1327-1)</f>
        <v>09</v>
      </c>
      <c r="H1327" s="111">
        <f t="shared" si="444"/>
        <v>12</v>
      </c>
      <c r="I1327" s="111">
        <f t="shared" si="445"/>
        <v>9</v>
      </c>
      <c r="J1327" s="111" t="str">
        <f ca="1">+'Tabla III.4.'!$C$9</f>
        <v>Tabla III.4.</v>
      </c>
      <c r="K1327" s="111" t="str">
        <f t="shared" si="441"/>
        <v>B</v>
      </c>
      <c r="L1327" s="412"/>
      <c r="M1327" s="3"/>
    </row>
    <row r="1328" spans="1:13">
      <c r="A1328" s="412" t="s">
        <v>2944</v>
      </c>
      <c r="B1328" s="412" t="str">
        <f t="shared" si="435"/>
        <v>202503</v>
      </c>
      <c r="C1328" s="412" t="str">
        <f t="shared" ca="1" si="442"/>
        <v>v1</v>
      </c>
      <c r="D1328" s="413" t="str">
        <f t="shared" ca="1" si="443"/>
        <v>10.02.00.01.</v>
      </c>
      <c r="E1328" s="412">
        <f t="shared" ref="E1328:E1391" si="446">RUC</f>
        <v>0</v>
      </c>
      <c r="F1328" s="414">
        <f ca="1">OFFSET('Tabla III.4.'!$H$37,H1328-1,I1328-1)</f>
        <v>0</v>
      </c>
      <c r="G1328" s="412" t="str">
        <f ca="1">OFFSET('Tabla III.4.'!$H$1,0,I1328-1)</f>
        <v>10</v>
      </c>
      <c r="H1328" s="111">
        <f t="shared" si="444"/>
        <v>12</v>
      </c>
      <c r="I1328" s="111">
        <f t="shared" si="445"/>
        <v>10</v>
      </c>
      <c r="J1328" s="111" t="str">
        <f ca="1">+'Tabla III.4.'!$C$9</f>
        <v>Tabla III.4.</v>
      </c>
      <c r="K1328" s="111" t="str">
        <f t="shared" si="441"/>
        <v>B</v>
      </c>
      <c r="L1328" s="412"/>
      <c r="M1328" s="3"/>
    </row>
    <row r="1329" spans="1:13">
      <c r="A1329" s="412" t="s">
        <v>2944</v>
      </c>
      <c r="B1329" s="412" t="str">
        <f t="shared" si="435"/>
        <v>202503</v>
      </c>
      <c r="C1329" s="412" t="str">
        <f t="shared" ca="1" si="442"/>
        <v>v1</v>
      </c>
      <c r="D1329" s="413" t="str">
        <f t="shared" ca="1" si="443"/>
        <v>10.02.00.01.</v>
      </c>
      <c r="E1329" s="412">
        <f t="shared" si="446"/>
        <v>0</v>
      </c>
      <c r="F1329" s="414">
        <f ca="1">OFFSET('Tabla III.4.'!$H$37,H1329-1,I1329-1)</f>
        <v>0</v>
      </c>
      <c r="G1329" s="412" t="str">
        <f ca="1">OFFSET('Tabla III.4.'!$H$1,0,I1329-1)</f>
        <v>11</v>
      </c>
      <c r="H1329" s="111">
        <f t="shared" si="444"/>
        <v>12</v>
      </c>
      <c r="I1329" s="111">
        <f t="shared" si="445"/>
        <v>11</v>
      </c>
      <c r="J1329" s="111" t="str">
        <f ca="1">+'Tabla III.4.'!$C$9</f>
        <v>Tabla III.4.</v>
      </c>
      <c r="K1329" s="111" t="str">
        <f t="shared" si="441"/>
        <v>B</v>
      </c>
      <c r="L1329" s="412"/>
      <c r="M1329" s="3"/>
    </row>
    <row r="1330" spans="1:13">
      <c r="A1330" s="412" t="s">
        <v>2944</v>
      </c>
      <c r="B1330" s="412" t="str">
        <f t="shared" si="435"/>
        <v>202503</v>
      </c>
      <c r="C1330" s="412" t="str">
        <f t="shared" ca="1" si="442"/>
        <v>v1</v>
      </c>
      <c r="D1330" s="413" t="str">
        <f t="shared" ca="1" si="443"/>
        <v>10.02.00.01.</v>
      </c>
      <c r="E1330" s="412">
        <f t="shared" si="446"/>
        <v>0</v>
      </c>
      <c r="F1330" s="414">
        <f ca="1">OFFSET('Tabla III.4.'!$H$37,H1330-1,I1330-1)</f>
        <v>0</v>
      </c>
      <c r="G1330" s="412" t="str">
        <f ca="1">OFFSET('Tabla III.4.'!$H$1,0,I1330-1)</f>
        <v>12</v>
      </c>
      <c r="H1330" s="111">
        <f t="shared" si="444"/>
        <v>12</v>
      </c>
      <c r="I1330" s="111">
        <f t="shared" si="445"/>
        <v>12</v>
      </c>
      <c r="J1330" s="111" t="str">
        <f ca="1">+'Tabla III.4.'!$C$9</f>
        <v>Tabla III.4.</v>
      </c>
      <c r="K1330" s="111" t="str">
        <f t="shared" si="441"/>
        <v>B</v>
      </c>
      <c r="L1330" s="412"/>
      <c r="M1330" s="3"/>
    </row>
    <row r="1331" spans="1:13">
      <c r="A1331" s="107" t="s">
        <v>2944</v>
      </c>
      <c r="B1331" s="107" t="str">
        <f t="shared" si="435"/>
        <v>202503</v>
      </c>
      <c r="C1331" s="107" t="s">
        <v>2945</v>
      </c>
      <c r="D1331" s="399" t="str">
        <f ca="1">OFFSET('Tabla III.4.'!$F$37,H1331-1,0)</f>
        <v>10.02.00.02.</v>
      </c>
      <c r="E1331" s="107">
        <f t="shared" si="446"/>
        <v>0</v>
      </c>
      <c r="F1331" s="108">
        <f ca="1">OFFSET('Tabla III.4.'!$H$37,H1331-1,I1331-1)</f>
        <v>0</v>
      </c>
      <c r="G1331" s="107" t="str">
        <f ca="1">OFFSET('Tabla III.4.'!$H$1,0,I1331-1)</f>
        <v>01</v>
      </c>
      <c r="H1331" s="110">
        <f>+H1319+1</f>
        <v>13</v>
      </c>
      <c r="I1331" s="110">
        <v>1</v>
      </c>
      <c r="J1331" s="110" t="str">
        <f ca="1">+'Tabla III.4.'!$C$9</f>
        <v>Tabla III.4.</v>
      </c>
      <c r="K1331" s="110" t="s">
        <v>2267</v>
      </c>
      <c r="L1331" s="107">
        <f>+L1319+1</f>
        <v>13</v>
      </c>
      <c r="M1331" s="3"/>
    </row>
    <row r="1332" spans="1:13">
      <c r="A1332" s="107" t="s">
        <v>2944</v>
      </c>
      <c r="B1332" s="107" t="str">
        <f t="shared" si="435"/>
        <v>202503</v>
      </c>
      <c r="C1332" s="107" t="str">
        <f ca="1">IF(G1332="01","v2","v1")</f>
        <v>v1</v>
      </c>
      <c r="D1332" s="399" t="str">
        <f ca="1">+D1331</f>
        <v>10.02.00.02.</v>
      </c>
      <c r="E1332" s="107">
        <f t="shared" si="446"/>
        <v>0</v>
      </c>
      <c r="F1332" s="108">
        <f ca="1">OFFSET('Tabla III.4.'!$H$37,H1332-1,I1332-1)</f>
        <v>0</v>
      </c>
      <c r="G1332" s="107" t="str">
        <f ca="1">OFFSET('Tabla III.4.'!$H$1,0,I1332-1)</f>
        <v>02</v>
      </c>
      <c r="H1332" s="110">
        <f>+H1331</f>
        <v>13</v>
      </c>
      <c r="I1332" s="110">
        <f>+I1331+1</f>
        <v>2</v>
      </c>
      <c r="J1332" s="110" t="str">
        <f ca="1">+'Tabla III.4.'!$C$9</f>
        <v>Tabla III.4.</v>
      </c>
      <c r="K1332" s="110" t="str">
        <f t="shared" ref="K1332:K1342" si="447">+K1331</f>
        <v>B</v>
      </c>
      <c r="L1332" s="107"/>
      <c r="M1332" s="3"/>
    </row>
    <row r="1333" spans="1:13">
      <c r="A1333" s="107" t="s">
        <v>2944</v>
      </c>
      <c r="B1333" s="107" t="str">
        <f t="shared" si="435"/>
        <v>202503</v>
      </c>
      <c r="C1333" s="107" t="str">
        <f t="shared" ref="C1333:C1342" ca="1" si="448">IF(G1333="01","v2","v1")</f>
        <v>v1</v>
      </c>
      <c r="D1333" s="399" t="str">
        <f t="shared" ref="D1333:D1342" ca="1" si="449">+D1332</f>
        <v>10.02.00.02.</v>
      </c>
      <c r="E1333" s="107">
        <f t="shared" si="446"/>
        <v>0</v>
      </c>
      <c r="F1333" s="108">
        <f ca="1">OFFSET('Tabla III.4.'!$H$37,H1333-1,I1333-1)</f>
        <v>0</v>
      </c>
      <c r="G1333" s="107" t="str">
        <f ca="1">OFFSET('Tabla III.4.'!$H$1,0,I1333-1)</f>
        <v>03</v>
      </c>
      <c r="H1333" s="110">
        <f t="shared" ref="H1333:H1342" si="450">+H1332</f>
        <v>13</v>
      </c>
      <c r="I1333" s="110">
        <f t="shared" ref="I1333:I1342" si="451">+I1332+1</f>
        <v>3</v>
      </c>
      <c r="J1333" s="110" t="str">
        <f ca="1">+'Tabla III.4.'!$C$9</f>
        <v>Tabla III.4.</v>
      </c>
      <c r="K1333" s="110" t="str">
        <f t="shared" si="447"/>
        <v>B</v>
      </c>
      <c r="L1333" s="107"/>
      <c r="M1333" s="3"/>
    </row>
    <row r="1334" spans="1:13">
      <c r="A1334" s="107" t="s">
        <v>2944</v>
      </c>
      <c r="B1334" s="107" t="str">
        <f t="shared" si="435"/>
        <v>202503</v>
      </c>
      <c r="C1334" s="107" t="str">
        <f t="shared" ca="1" si="448"/>
        <v>v1</v>
      </c>
      <c r="D1334" s="399" t="str">
        <f t="shared" ca="1" si="449"/>
        <v>10.02.00.02.</v>
      </c>
      <c r="E1334" s="107">
        <f t="shared" si="446"/>
        <v>0</v>
      </c>
      <c r="F1334" s="108">
        <f ca="1">OFFSET('Tabla III.4.'!$H$37,H1334-1,I1334-1)</f>
        <v>0</v>
      </c>
      <c r="G1334" s="107" t="str">
        <f ca="1">OFFSET('Tabla III.4.'!$H$1,0,I1334-1)</f>
        <v>04</v>
      </c>
      <c r="H1334" s="110">
        <f t="shared" si="450"/>
        <v>13</v>
      </c>
      <c r="I1334" s="110">
        <f t="shared" si="451"/>
        <v>4</v>
      </c>
      <c r="J1334" s="110" t="str">
        <f ca="1">+'Tabla III.4.'!$C$9</f>
        <v>Tabla III.4.</v>
      </c>
      <c r="K1334" s="110" t="str">
        <f t="shared" si="447"/>
        <v>B</v>
      </c>
      <c r="L1334" s="107"/>
      <c r="M1334" s="3"/>
    </row>
    <row r="1335" spans="1:13">
      <c r="A1335" s="107" t="s">
        <v>2944</v>
      </c>
      <c r="B1335" s="107" t="str">
        <f t="shared" si="435"/>
        <v>202503</v>
      </c>
      <c r="C1335" s="107" t="str">
        <f t="shared" ca="1" si="448"/>
        <v>v1</v>
      </c>
      <c r="D1335" s="399" t="str">
        <f t="shared" ca="1" si="449"/>
        <v>10.02.00.02.</v>
      </c>
      <c r="E1335" s="107">
        <f t="shared" si="446"/>
        <v>0</v>
      </c>
      <c r="F1335" s="108">
        <f ca="1">OFFSET('Tabla III.4.'!$H$37,H1335-1,I1335-1)</f>
        <v>0</v>
      </c>
      <c r="G1335" s="107" t="str">
        <f ca="1">OFFSET('Tabla III.4.'!$H$1,0,I1335-1)</f>
        <v>05</v>
      </c>
      <c r="H1335" s="110">
        <f t="shared" si="450"/>
        <v>13</v>
      </c>
      <c r="I1335" s="110">
        <f t="shared" si="451"/>
        <v>5</v>
      </c>
      <c r="J1335" s="110" t="str">
        <f ca="1">+'Tabla III.4.'!$C$9</f>
        <v>Tabla III.4.</v>
      </c>
      <c r="K1335" s="110" t="str">
        <f t="shared" si="447"/>
        <v>B</v>
      </c>
      <c r="L1335" s="107"/>
      <c r="M1335" s="3"/>
    </row>
    <row r="1336" spans="1:13">
      <c r="A1336" s="107" t="s">
        <v>2944</v>
      </c>
      <c r="B1336" s="107" t="str">
        <f t="shared" si="435"/>
        <v>202503</v>
      </c>
      <c r="C1336" s="107" t="str">
        <f t="shared" ca="1" si="448"/>
        <v>v1</v>
      </c>
      <c r="D1336" s="399" t="str">
        <f t="shared" ca="1" si="449"/>
        <v>10.02.00.02.</v>
      </c>
      <c r="E1336" s="107">
        <f t="shared" si="446"/>
        <v>0</v>
      </c>
      <c r="F1336" s="108">
        <f ca="1">OFFSET('Tabla III.4.'!$H$37,H1336-1,I1336-1)</f>
        <v>0</v>
      </c>
      <c r="G1336" s="107" t="str">
        <f ca="1">OFFSET('Tabla III.4.'!$H$1,0,I1336-1)</f>
        <v>06</v>
      </c>
      <c r="H1336" s="110">
        <f t="shared" si="450"/>
        <v>13</v>
      </c>
      <c r="I1336" s="110">
        <f t="shared" si="451"/>
        <v>6</v>
      </c>
      <c r="J1336" s="110" t="str">
        <f ca="1">+'Tabla III.4.'!$C$9</f>
        <v>Tabla III.4.</v>
      </c>
      <c r="K1336" s="110" t="str">
        <f t="shared" si="447"/>
        <v>B</v>
      </c>
      <c r="L1336" s="107"/>
      <c r="M1336" s="3"/>
    </row>
    <row r="1337" spans="1:13">
      <c r="A1337" s="107" t="s">
        <v>2944</v>
      </c>
      <c r="B1337" s="107" t="str">
        <f t="shared" si="435"/>
        <v>202503</v>
      </c>
      <c r="C1337" s="107" t="str">
        <f t="shared" ca="1" si="448"/>
        <v>v1</v>
      </c>
      <c r="D1337" s="399" t="str">
        <f t="shared" ca="1" si="449"/>
        <v>10.02.00.02.</v>
      </c>
      <c r="E1337" s="107">
        <f t="shared" si="446"/>
        <v>0</v>
      </c>
      <c r="F1337" s="108">
        <f ca="1">OFFSET('Tabla III.4.'!$H$37,H1337-1,I1337-1)</f>
        <v>0</v>
      </c>
      <c r="G1337" s="107" t="str">
        <f ca="1">OFFSET('Tabla III.4.'!$H$1,0,I1337-1)</f>
        <v>07</v>
      </c>
      <c r="H1337" s="110">
        <f t="shared" si="450"/>
        <v>13</v>
      </c>
      <c r="I1337" s="110">
        <f t="shared" si="451"/>
        <v>7</v>
      </c>
      <c r="J1337" s="110" t="str">
        <f ca="1">+'Tabla III.4.'!$C$9</f>
        <v>Tabla III.4.</v>
      </c>
      <c r="K1337" s="110" t="str">
        <f t="shared" si="447"/>
        <v>B</v>
      </c>
      <c r="L1337" s="107"/>
      <c r="M1337" s="3"/>
    </row>
    <row r="1338" spans="1:13">
      <c r="A1338" s="107" t="s">
        <v>2944</v>
      </c>
      <c r="B1338" s="107" t="str">
        <f t="shared" si="435"/>
        <v>202503</v>
      </c>
      <c r="C1338" s="107" t="str">
        <f t="shared" ca="1" si="448"/>
        <v>v1</v>
      </c>
      <c r="D1338" s="399" t="str">
        <f t="shared" ca="1" si="449"/>
        <v>10.02.00.02.</v>
      </c>
      <c r="E1338" s="107">
        <f t="shared" si="446"/>
        <v>0</v>
      </c>
      <c r="F1338" s="108">
        <f ca="1">OFFSET('Tabla III.4.'!$H$37,H1338-1,I1338-1)</f>
        <v>0</v>
      </c>
      <c r="G1338" s="107" t="str">
        <f ca="1">OFFSET('Tabla III.4.'!$H$1,0,I1338-1)</f>
        <v>08</v>
      </c>
      <c r="H1338" s="110">
        <f t="shared" si="450"/>
        <v>13</v>
      </c>
      <c r="I1338" s="110">
        <f t="shared" si="451"/>
        <v>8</v>
      </c>
      <c r="J1338" s="110" t="str">
        <f ca="1">+'Tabla III.4.'!$C$9</f>
        <v>Tabla III.4.</v>
      </c>
      <c r="K1338" s="110" t="str">
        <f t="shared" si="447"/>
        <v>B</v>
      </c>
      <c r="L1338" s="107"/>
      <c r="M1338" s="3"/>
    </row>
    <row r="1339" spans="1:13">
      <c r="A1339" s="107" t="s">
        <v>2944</v>
      </c>
      <c r="B1339" s="107" t="str">
        <f t="shared" si="435"/>
        <v>202503</v>
      </c>
      <c r="C1339" s="107" t="str">
        <f t="shared" ca="1" si="448"/>
        <v>v1</v>
      </c>
      <c r="D1339" s="399" t="str">
        <f t="shared" ca="1" si="449"/>
        <v>10.02.00.02.</v>
      </c>
      <c r="E1339" s="107">
        <f t="shared" si="446"/>
        <v>0</v>
      </c>
      <c r="F1339" s="108">
        <f ca="1">OFFSET('Tabla III.4.'!$H$37,H1339-1,I1339-1)</f>
        <v>0</v>
      </c>
      <c r="G1339" s="107" t="str">
        <f ca="1">OFFSET('Tabla III.4.'!$H$1,0,I1339-1)</f>
        <v>09</v>
      </c>
      <c r="H1339" s="110">
        <f t="shared" si="450"/>
        <v>13</v>
      </c>
      <c r="I1339" s="110">
        <f t="shared" si="451"/>
        <v>9</v>
      </c>
      <c r="J1339" s="110" t="str">
        <f ca="1">+'Tabla III.4.'!$C$9</f>
        <v>Tabla III.4.</v>
      </c>
      <c r="K1339" s="110" t="str">
        <f t="shared" si="447"/>
        <v>B</v>
      </c>
      <c r="L1339" s="107"/>
      <c r="M1339" s="3"/>
    </row>
    <row r="1340" spans="1:13">
      <c r="A1340" s="107" t="s">
        <v>2944</v>
      </c>
      <c r="B1340" s="107" t="str">
        <f t="shared" si="435"/>
        <v>202503</v>
      </c>
      <c r="C1340" s="107" t="str">
        <f t="shared" ca="1" si="448"/>
        <v>v1</v>
      </c>
      <c r="D1340" s="399" t="str">
        <f t="shared" ca="1" si="449"/>
        <v>10.02.00.02.</v>
      </c>
      <c r="E1340" s="107">
        <f t="shared" si="446"/>
        <v>0</v>
      </c>
      <c r="F1340" s="108">
        <f ca="1">OFFSET('Tabla III.4.'!$H$37,H1340-1,I1340-1)</f>
        <v>0</v>
      </c>
      <c r="G1340" s="107" t="str">
        <f ca="1">OFFSET('Tabla III.4.'!$H$1,0,I1340-1)</f>
        <v>10</v>
      </c>
      <c r="H1340" s="110">
        <f t="shared" si="450"/>
        <v>13</v>
      </c>
      <c r="I1340" s="110">
        <f t="shared" si="451"/>
        <v>10</v>
      </c>
      <c r="J1340" s="110" t="str">
        <f ca="1">+'Tabla III.4.'!$C$9</f>
        <v>Tabla III.4.</v>
      </c>
      <c r="K1340" s="110" t="str">
        <f t="shared" si="447"/>
        <v>B</v>
      </c>
      <c r="L1340" s="107"/>
      <c r="M1340" s="3"/>
    </row>
    <row r="1341" spans="1:13">
      <c r="A1341" s="107" t="s">
        <v>2944</v>
      </c>
      <c r="B1341" s="107" t="str">
        <f t="shared" si="435"/>
        <v>202503</v>
      </c>
      <c r="C1341" s="107" t="str">
        <f t="shared" ca="1" si="448"/>
        <v>v1</v>
      </c>
      <c r="D1341" s="399" t="str">
        <f t="shared" ca="1" si="449"/>
        <v>10.02.00.02.</v>
      </c>
      <c r="E1341" s="107">
        <f t="shared" si="446"/>
        <v>0</v>
      </c>
      <c r="F1341" s="108">
        <f ca="1">OFFSET('Tabla III.4.'!$H$37,H1341-1,I1341-1)</f>
        <v>0</v>
      </c>
      <c r="G1341" s="107" t="str">
        <f ca="1">OFFSET('Tabla III.4.'!$H$1,0,I1341-1)</f>
        <v>11</v>
      </c>
      <c r="H1341" s="110">
        <f t="shared" si="450"/>
        <v>13</v>
      </c>
      <c r="I1341" s="110">
        <f t="shared" si="451"/>
        <v>11</v>
      </c>
      <c r="J1341" s="110" t="str">
        <f ca="1">+'Tabla III.4.'!$C$9</f>
        <v>Tabla III.4.</v>
      </c>
      <c r="K1341" s="110" t="str">
        <f t="shared" si="447"/>
        <v>B</v>
      </c>
      <c r="L1341" s="107"/>
      <c r="M1341" s="3"/>
    </row>
    <row r="1342" spans="1:13">
      <c r="A1342" s="107" t="s">
        <v>2944</v>
      </c>
      <c r="B1342" s="107" t="str">
        <f t="shared" si="435"/>
        <v>202503</v>
      </c>
      <c r="C1342" s="107" t="str">
        <f t="shared" ca="1" si="448"/>
        <v>v1</v>
      </c>
      <c r="D1342" s="399" t="str">
        <f t="shared" ca="1" si="449"/>
        <v>10.02.00.02.</v>
      </c>
      <c r="E1342" s="107">
        <f t="shared" si="446"/>
        <v>0</v>
      </c>
      <c r="F1342" s="108">
        <f ca="1">OFFSET('Tabla III.4.'!$H$37,H1342-1,I1342-1)</f>
        <v>0</v>
      </c>
      <c r="G1342" s="107" t="str">
        <f ca="1">OFFSET('Tabla III.4.'!$H$1,0,I1342-1)</f>
        <v>12</v>
      </c>
      <c r="H1342" s="110">
        <f t="shared" si="450"/>
        <v>13</v>
      </c>
      <c r="I1342" s="110">
        <f t="shared" si="451"/>
        <v>12</v>
      </c>
      <c r="J1342" s="110" t="str">
        <f ca="1">+'Tabla III.4.'!$C$9</f>
        <v>Tabla III.4.</v>
      </c>
      <c r="K1342" s="110" t="str">
        <f t="shared" si="447"/>
        <v>B</v>
      </c>
      <c r="L1342" s="107"/>
      <c r="M1342" s="3"/>
    </row>
    <row r="1343" spans="1:13">
      <c r="A1343" s="412" t="s">
        <v>2944</v>
      </c>
      <c r="B1343" s="412" t="str">
        <f t="shared" si="435"/>
        <v>202503</v>
      </c>
      <c r="C1343" s="412" t="s">
        <v>2945</v>
      </c>
      <c r="D1343" s="413" t="str">
        <f ca="1">OFFSET('Tabla III.4.'!$F$37,H1343-1,0)</f>
        <v>10.03.</v>
      </c>
      <c r="E1343" s="412">
        <f t="shared" si="446"/>
        <v>0</v>
      </c>
      <c r="F1343" s="414">
        <f ca="1">OFFSET('Tabla III.4.'!$H$37,H1343-1,I1343-1)</f>
        <v>0</v>
      </c>
      <c r="G1343" s="412" t="str">
        <f ca="1">OFFSET('Tabla III.4.'!$H$1,0,I1343-1)</f>
        <v>01</v>
      </c>
      <c r="H1343" s="111">
        <f>+H1331+1</f>
        <v>14</v>
      </c>
      <c r="I1343" s="111">
        <v>1</v>
      </c>
      <c r="J1343" s="111" t="str">
        <f ca="1">+'Tabla III.4.'!$C$9</f>
        <v>Tabla III.4.</v>
      </c>
      <c r="K1343" s="111" t="s">
        <v>2267</v>
      </c>
      <c r="L1343" s="412">
        <f>+L1331+1</f>
        <v>14</v>
      </c>
      <c r="M1343" s="3"/>
    </row>
    <row r="1344" spans="1:13">
      <c r="A1344" s="412" t="s">
        <v>2944</v>
      </c>
      <c r="B1344" s="412" t="str">
        <f t="shared" si="435"/>
        <v>202503</v>
      </c>
      <c r="C1344" s="412" t="str">
        <f ca="1">IF(G1344="01","v2","v1")</f>
        <v>v1</v>
      </c>
      <c r="D1344" s="413" t="str">
        <f ca="1">+D1343</f>
        <v>10.03.</v>
      </c>
      <c r="E1344" s="412">
        <f t="shared" si="446"/>
        <v>0</v>
      </c>
      <c r="F1344" s="414">
        <f ca="1">OFFSET('Tabla III.4.'!$H$37,H1344-1,I1344-1)</f>
        <v>0</v>
      </c>
      <c r="G1344" s="412" t="str">
        <f ca="1">OFFSET('Tabla III.4.'!$H$1,0,I1344-1)</f>
        <v>02</v>
      </c>
      <c r="H1344" s="111">
        <f>+H1343</f>
        <v>14</v>
      </c>
      <c r="I1344" s="111">
        <f>+I1343+1</f>
        <v>2</v>
      </c>
      <c r="J1344" s="111" t="str">
        <f ca="1">+'Tabla III.4.'!$C$9</f>
        <v>Tabla III.4.</v>
      </c>
      <c r="K1344" s="111" t="str">
        <f t="shared" ref="K1344:K1354" si="452">+K1343</f>
        <v>B</v>
      </c>
      <c r="L1344" s="412"/>
      <c r="M1344" s="3"/>
    </row>
    <row r="1345" spans="1:13">
      <c r="A1345" s="412" t="s">
        <v>2944</v>
      </c>
      <c r="B1345" s="412" t="str">
        <f t="shared" si="435"/>
        <v>202503</v>
      </c>
      <c r="C1345" s="412" t="str">
        <f t="shared" ref="C1345:C1354" ca="1" si="453">IF(G1345="01","v2","v1")</f>
        <v>v1</v>
      </c>
      <c r="D1345" s="413" t="str">
        <f t="shared" ref="D1345:D1354" ca="1" si="454">+D1344</f>
        <v>10.03.</v>
      </c>
      <c r="E1345" s="412">
        <f t="shared" si="446"/>
        <v>0</v>
      </c>
      <c r="F1345" s="414">
        <f ca="1">OFFSET('Tabla III.4.'!$H$37,H1345-1,I1345-1)</f>
        <v>0</v>
      </c>
      <c r="G1345" s="412" t="str">
        <f ca="1">OFFSET('Tabla III.4.'!$H$1,0,I1345-1)</f>
        <v>03</v>
      </c>
      <c r="H1345" s="111">
        <f t="shared" ref="H1345:H1354" si="455">+H1344</f>
        <v>14</v>
      </c>
      <c r="I1345" s="111">
        <f t="shared" ref="I1345:I1354" si="456">+I1344+1</f>
        <v>3</v>
      </c>
      <c r="J1345" s="111" t="str">
        <f ca="1">+'Tabla III.4.'!$C$9</f>
        <v>Tabla III.4.</v>
      </c>
      <c r="K1345" s="111" t="str">
        <f t="shared" si="452"/>
        <v>B</v>
      </c>
      <c r="L1345" s="412"/>
      <c r="M1345" s="3"/>
    </row>
    <row r="1346" spans="1:13">
      <c r="A1346" s="412" t="s">
        <v>2944</v>
      </c>
      <c r="B1346" s="412" t="str">
        <f t="shared" si="435"/>
        <v>202503</v>
      </c>
      <c r="C1346" s="412" t="str">
        <f t="shared" ca="1" si="453"/>
        <v>v1</v>
      </c>
      <c r="D1346" s="413" t="str">
        <f t="shared" ca="1" si="454"/>
        <v>10.03.</v>
      </c>
      <c r="E1346" s="412">
        <f t="shared" si="446"/>
        <v>0</v>
      </c>
      <c r="F1346" s="414">
        <f ca="1">OFFSET('Tabla III.4.'!$H$37,H1346-1,I1346-1)</f>
        <v>0</v>
      </c>
      <c r="G1346" s="412" t="str">
        <f ca="1">OFFSET('Tabla III.4.'!$H$1,0,I1346-1)</f>
        <v>04</v>
      </c>
      <c r="H1346" s="111">
        <f t="shared" si="455"/>
        <v>14</v>
      </c>
      <c r="I1346" s="111">
        <f t="shared" si="456"/>
        <v>4</v>
      </c>
      <c r="J1346" s="111" t="str">
        <f ca="1">+'Tabla III.4.'!$C$9</f>
        <v>Tabla III.4.</v>
      </c>
      <c r="K1346" s="111" t="str">
        <f t="shared" si="452"/>
        <v>B</v>
      </c>
      <c r="L1346" s="412"/>
      <c r="M1346" s="3"/>
    </row>
    <row r="1347" spans="1:13">
      <c r="A1347" s="412" t="s">
        <v>2944</v>
      </c>
      <c r="B1347" s="412" t="str">
        <f t="shared" si="435"/>
        <v>202503</v>
      </c>
      <c r="C1347" s="412" t="str">
        <f t="shared" ca="1" si="453"/>
        <v>v1</v>
      </c>
      <c r="D1347" s="413" t="str">
        <f t="shared" ca="1" si="454"/>
        <v>10.03.</v>
      </c>
      <c r="E1347" s="412">
        <f t="shared" si="446"/>
        <v>0</v>
      </c>
      <c r="F1347" s="414">
        <f ca="1">OFFSET('Tabla III.4.'!$H$37,H1347-1,I1347-1)</f>
        <v>0</v>
      </c>
      <c r="G1347" s="412" t="str">
        <f ca="1">OFFSET('Tabla III.4.'!$H$1,0,I1347-1)</f>
        <v>05</v>
      </c>
      <c r="H1347" s="111">
        <f t="shared" si="455"/>
        <v>14</v>
      </c>
      <c r="I1347" s="111">
        <f t="shared" si="456"/>
        <v>5</v>
      </c>
      <c r="J1347" s="111" t="str">
        <f ca="1">+'Tabla III.4.'!$C$9</f>
        <v>Tabla III.4.</v>
      </c>
      <c r="K1347" s="111" t="str">
        <f t="shared" si="452"/>
        <v>B</v>
      </c>
      <c r="L1347" s="412"/>
      <c r="M1347" s="3"/>
    </row>
    <row r="1348" spans="1:13">
      <c r="A1348" s="412" t="s">
        <v>2944</v>
      </c>
      <c r="B1348" s="412" t="str">
        <f t="shared" si="435"/>
        <v>202503</v>
      </c>
      <c r="C1348" s="412" t="str">
        <f t="shared" ca="1" si="453"/>
        <v>v1</v>
      </c>
      <c r="D1348" s="413" t="str">
        <f t="shared" ca="1" si="454"/>
        <v>10.03.</v>
      </c>
      <c r="E1348" s="412">
        <f t="shared" si="446"/>
        <v>0</v>
      </c>
      <c r="F1348" s="414">
        <f ca="1">OFFSET('Tabla III.4.'!$H$37,H1348-1,I1348-1)</f>
        <v>0</v>
      </c>
      <c r="G1348" s="412" t="str">
        <f ca="1">OFFSET('Tabla III.4.'!$H$1,0,I1348-1)</f>
        <v>06</v>
      </c>
      <c r="H1348" s="111">
        <f t="shared" si="455"/>
        <v>14</v>
      </c>
      <c r="I1348" s="111">
        <f t="shared" si="456"/>
        <v>6</v>
      </c>
      <c r="J1348" s="111" t="str">
        <f ca="1">+'Tabla III.4.'!$C$9</f>
        <v>Tabla III.4.</v>
      </c>
      <c r="K1348" s="111" t="str">
        <f t="shared" si="452"/>
        <v>B</v>
      </c>
      <c r="L1348" s="412"/>
      <c r="M1348" s="3"/>
    </row>
    <row r="1349" spans="1:13">
      <c r="A1349" s="412" t="s">
        <v>2944</v>
      </c>
      <c r="B1349" s="412" t="str">
        <f t="shared" si="435"/>
        <v>202503</v>
      </c>
      <c r="C1349" s="412" t="str">
        <f t="shared" ca="1" si="453"/>
        <v>v1</v>
      </c>
      <c r="D1349" s="413" t="str">
        <f t="shared" ca="1" si="454"/>
        <v>10.03.</v>
      </c>
      <c r="E1349" s="412">
        <f t="shared" si="446"/>
        <v>0</v>
      </c>
      <c r="F1349" s="414">
        <f ca="1">OFFSET('Tabla III.4.'!$H$37,H1349-1,I1349-1)</f>
        <v>0</v>
      </c>
      <c r="G1349" s="412" t="str">
        <f ca="1">OFFSET('Tabla III.4.'!$H$1,0,I1349-1)</f>
        <v>07</v>
      </c>
      <c r="H1349" s="111">
        <f t="shared" si="455"/>
        <v>14</v>
      </c>
      <c r="I1349" s="111">
        <f t="shared" si="456"/>
        <v>7</v>
      </c>
      <c r="J1349" s="111" t="str">
        <f ca="1">+'Tabla III.4.'!$C$9</f>
        <v>Tabla III.4.</v>
      </c>
      <c r="K1349" s="111" t="str">
        <f t="shared" si="452"/>
        <v>B</v>
      </c>
      <c r="L1349" s="412"/>
      <c r="M1349" s="3"/>
    </row>
    <row r="1350" spans="1:13">
      <c r="A1350" s="412" t="s">
        <v>2944</v>
      </c>
      <c r="B1350" s="412" t="str">
        <f t="shared" si="435"/>
        <v>202503</v>
      </c>
      <c r="C1350" s="412" t="str">
        <f t="shared" ca="1" si="453"/>
        <v>v1</v>
      </c>
      <c r="D1350" s="413" t="str">
        <f t="shared" ca="1" si="454"/>
        <v>10.03.</v>
      </c>
      <c r="E1350" s="412">
        <f t="shared" si="446"/>
        <v>0</v>
      </c>
      <c r="F1350" s="414">
        <f ca="1">OFFSET('Tabla III.4.'!$H$37,H1350-1,I1350-1)</f>
        <v>0</v>
      </c>
      <c r="G1350" s="412" t="str">
        <f ca="1">OFFSET('Tabla III.4.'!$H$1,0,I1350-1)</f>
        <v>08</v>
      </c>
      <c r="H1350" s="111">
        <f t="shared" si="455"/>
        <v>14</v>
      </c>
      <c r="I1350" s="111">
        <f t="shared" si="456"/>
        <v>8</v>
      </c>
      <c r="J1350" s="111" t="str">
        <f ca="1">+'Tabla III.4.'!$C$9</f>
        <v>Tabla III.4.</v>
      </c>
      <c r="K1350" s="111" t="str">
        <f t="shared" si="452"/>
        <v>B</v>
      </c>
      <c r="L1350" s="412"/>
      <c r="M1350" s="3"/>
    </row>
    <row r="1351" spans="1:13">
      <c r="A1351" s="412" t="s">
        <v>2944</v>
      </c>
      <c r="B1351" s="412" t="str">
        <f t="shared" si="435"/>
        <v>202503</v>
      </c>
      <c r="C1351" s="412" t="str">
        <f t="shared" ca="1" si="453"/>
        <v>v1</v>
      </c>
      <c r="D1351" s="413" t="str">
        <f t="shared" ca="1" si="454"/>
        <v>10.03.</v>
      </c>
      <c r="E1351" s="412">
        <f t="shared" si="446"/>
        <v>0</v>
      </c>
      <c r="F1351" s="414">
        <f ca="1">OFFSET('Tabla III.4.'!$H$37,H1351-1,I1351-1)</f>
        <v>0</v>
      </c>
      <c r="G1351" s="412" t="str">
        <f ca="1">OFFSET('Tabla III.4.'!$H$1,0,I1351-1)</f>
        <v>09</v>
      </c>
      <c r="H1351" s="111">
        <f t="shared" si="455"/>
        <v>14</v>
      </c>
      <c r="I1351" s="111">
        <f t="shared" si="456"/>
        <v>9</v>
      </c>
      <c r="J1351" s="111" t="str">
        <f ca="1">+'Tabla III.4.'!$C$9</f>
        <v>Tabla III.4.</v>
      </c>
      <c r="K1351" s="111" t="str">
        <f t="shared" si="452"/>
        <v>B</v>
      </c>
      <c r="L1351" s="412"/>
      <c r="M1351" s="3"/>
    </row>
    <row r="1352" spans="1:13">
      <c r="A1352" s="412" t="s">
        <v>2944</v>
      </c>
      <c r="B1352" s="412" t="str">
        <f t="shared" si="435"/>
        <v>202503</v>
      </c>
      <c r="C1352" s="412" t="str">
        <f t="shared" ca="1" si="453"/>
        <v>v1</v>
      </c>
      <c r="D1352" s="413" t="str">
        <f t="shared" ca="1" si="454"/>
        <v>10.03.</v>
      </c>
      <c r="E1352" s="412">
        <f t="shared" si="446"/>
        <v>0</v>
      </c>
      <c r="F1352" s="414">
        <f ca="1">OFFSET('Tabla III.4.'!$H$37,H1352-1,I1352-1)</f>
        <v>0</v>
      </c>
      <c r="G1352" s="412" t="str">
        <f ca="1">OFFSET('Tabla III.4.'!$H$1,0,I1352-1)</f>
        <v>10</v>
      </c>
      <c r="H1352" s="111">
        <f t="shared" si="455"/>
        <v>14</v>
      </c>
      <c r="I1352" s="111">
        <f t="shared" si="456"/>
        <v>10</v>
      </c>
      <c r="J1352" s="111" t="str">
        <f ca="1">+'Tabla III.4.'!$C$9</f>
        <v>Tabla III.4.</v>
      </c>
      <c r="K1352" s="111" t="str">
        <f t="shared" si="452"/>
        <v>B</v>
      </c>
      <c r="L1352" s="412"/>
      <c r="M1352" s="3"/>
    </row>
    <row r="1353" spans="1:13">
      <c r="A1353" s="412" t="s">
        <v>2944</v>
      </c>
      <c r="B1353" s="412" t="str">
        <f t="shared" si="435"/>
        <v>202503</v>
      </c>
      <c r="C1353" s="412" t="str">
        <f t="shared" ca="1" si="453"/>
        <v>v1</v>
      </c>
      <c r="D1353" s="413" t="str">
        <f t="shared" ca="1" si="454"/>
        <v>10.03.</v>
      </c>
      <c r="E1353" s="412">
        <f t="shared" si="446"/>
        <v>0</v>
      </c>
      <c r="F1353" s="414">
        <f ca="1">OFFSET('Tabla III.4.'!$H$37,H1353-1,I1353-1)</f>
        <v>0</v>
      </c>
      <c r="G1353" s="412" t="str">
        <f ca="1">OFFSET('Tabla III.4.'!$H$1,0,I1353-1)</f>
        <v>11</v>
      </c>
      <c r="H1353" s="111">
        <f t="shared" si="455"/>
        <v>14</v>
      </c>
      <c r="I1353" s="111">
        <f t="shared" si="456"/>
        <v>11</v>
      </c>
      <c r="J1353" s="111" t="str">
        <f ca="1">+'Tabla III.4.'!$C$9</f>
        <v>Tabla III.4.</v>
      </c>
      <c r="K1353" s="111" t="str">
        <f t="shared" si="452"/>
        <v>B</v>
      </c>
      <c r="L1353" s="412"/>
      <c r="M1353" s="3"/>
    </row>
    <row r="1354" spans="1:13">
      <c r="A1354" s="412" t="s">
        <v>2944</v>
      </c>
      <c r="B1354" s="412" t="str">
        <f t="shared" si="435"/>
        <v>202503</v>
      </c>
      <c r="C1354" s="412" t="str">
        <f t="shared" ca="1" si="453"/>
        <v>v1</v>
      </c>
      <c r="D1354" s="413" t="str">
        <f t="shared" ca="1" si="454"/>
        <v>10.03.</v>
      </c>
      <c r="E1354" s="412">
        <f t="shared" si="446"/>
        <v>0</v>
      </c>
      <c r="F1354" s="414">
        <f ca="1">OFFSET('Tabla III.4.'!$H$37,H1354-1,I1354-1)</f>
        <v>0</v>
      </c>
      <c r="G1354" s="412" t="str">
        <f ca="1">OFFSET('Tabla III.4.'!$H$1,0,I1354-1)</f>
        <v>12</v>
      </c>
      <c r="H1354" s="111">
        <f t="shared" si="455"/>
        <v>14</v>
      </c>
      <c r="I1354" s="111">
        <f t="shared" si="456"/>
        <v>12</v>
      </c>
      <c r="J1354" s="111" t="str">
        <f ca="1">+'Tabla III.4.'!$C$9</f>
        <v>Tabla III.4.</v>
      </c>
      <c r="K1354" s="111" t="str">
        <f t="shared" si="452"/>
        <v>B</v>
      </c>
      <c r="L1354" s="412"/>
      <c r="M1354" s="3"/>
    </row>
    <row r="1355" spans="1:13">
      <c r="A1355" s="107" t="s">
        <v>2944</v>
      </c>
      <c r="B1355" s="107" t="str">
        <f t="shared" si="435"/>
        <v>202503</v>
      </c>
      <c r="C1355" s="107" t="s">
        <v>2945</v>
      </c>
      <c r="D1355" s="399" t="str">
        <f ca="1">OFFSET('Tabla III.4.'!$F$37,H1355-1,0)</f>
        <v>10.03.00.01.</v>
      </c>
      <c r="E1355" s="107">
        <f t="shared" si="446"/>
        <v>0</v>
      </c>
      <c r="F1355" s="108">
        <f ca="1">OFFSET('Tabla III.4.'!$H$37,H1355-1,I1355-1)</f>
        <v>0</v>
      </c>
      <c r="G1355" s="107" t="str">
        <f ca="1">OFFSET('Tabla III.4.'!$H$1,0,I1355-1)</f>
        <v>01</v>
      </c>
      <c r="H1355" s="110">
        <f>+H1343+1</f>
        <v>15</v>
      </c>
      <c r="I1355" s="110">
        <v>1</v>
      </c>
      <c r="J1355" s="110" t="str">
        <f ca="1">+'Tabla III.4.'!$C$9</f>
        <v>Tabla III.4.</v>
      </c>
      <c r="K1355" s="110" t="s">
        <v>2267</v>
      </c>
      <c r="L1355" s="107">
        <f>+L1343+1</f>
        <v>15</v>
      </c>
      <c r="M1355" s="3"/>
    </row>
    <row r="1356" spans="1:13">
      <c r="A1356" s="107" t="s">
        <v>2944</v>
      </c>
      <c r="B1356" s="107" t="str">
        <f t="shared" si="435"/>
        <v>202503</v>
      </c>
      <c r="C1356" s="107" t="str">
        <f ca="1">IF(G1356="01","v2","v1")</f>
        <v>v1</v>
      </c>
      <c r="D1356" s="399" t="str">
        <f ca="1">+D1355</f>
        <v>10.03.00.01.</v>
      </c>
      <c r="E1356" s="107">
        <f t="shared" si="446"/>
        <v>0</v>
      </c>
      <c r="F1356" s="108">
        <f ca="1">OFFSET('Tabla III.4.'!$H$37,H1356-1,I1356-1)</f>
        <v>0</v>
      </c>
      <c r="G1356" s="107" t="str">
        <f ca="1">OFFSET('Tabla III.4.'!$H$1,0,I1356-1)</f>
        <v>02</v>
      </c>
      <c r="H1356" s="110">
        <f>+H1355</f>
        <v>15</v>
      </c>
      <c r="I1356" s="110">
        <f>+I1355+1</f>
        <v>2</v>
      </c>
      <c r="J1356" s="110" t="str">
        <f ca="1">+'Tabla III.4.'!$C$9</f>
        <v>Tabla III.4.</v>
      </c>
      <c r="K1356" s="110" t="str">
        <f t="shared" ref="K1356:K1366" si="457">+K1355</f>
        <v>B</v>
      </c>
      <c r="L1356" s="107"/>
      <c r="M1356" s="3"/>
    </row>
    <row r="1357" spans="1:13">
      <c r="A1357" s="107" t="s">
        <v>2944</v>
      </c>
      <c r="B1357" s="107" t="str">
        <f t="shared" si="435"/>
        <v>202503</v>
      </c>
      <c r="C1357" s="107" t="str">
        <f t="shared" ref="C1357:C1366" ca="1" si="458">IF(G1357="01","v2","v1")</f>
        <v>v1</v>
      </c>
      <c r="D1357" s="399" t="str">
        <f t="shared" ref="D1357:D1366" ca="1" si="459">+D1356</f>
        <v>10.03.00.01.</v>
      </c>
      <c r="E1357" s="107">
        <f t="shared" si="446"/>
        <v>0</v>
      </c>
      <c r="F1357" s="108">
        <f ca="1">OFFSET('Tabla III.4.'!$H$37,H1357-1,I1357-1)</f>
        <v>0</v>
      </c>
      <c r="G1357" s="107" t="str">
        <f ca="1">OFFSET('Tabla III.4.'!$H$1,0,I1357-1)</f>
        <v>03</v>
      </c>
      <c r="H1357" s="110">
        <f t="shared" ref="H1357:H1366" si="460">+H1356</f>
        <v>15</v>
      </c>
      <c r="I1357" s="110">
        <f t="shared" ref="I1357:I1366" si="461">+I1356+1</f>
        <v>3</v>
      </c>
      <c r="J1357" s="110" t="str">
        <f ca="1">+'Tabla III.4.'!$C$9</f>
        <v>Tabla III.4.</v>
      </c>
      <c r="K1357" s="110" t="str">
        <f t="shared" si="457"/>
        <v>B</v>
      </c>
      <c r="L1357" s="107"/>
      <c r="M1357" s="3"/>
    </row>
    <row r="1358" spans="1:13">
      <c r="A1358" s="107" t="s">
        <v>2944</v>
      </c>
      <c r="B1358" s="107" t="str">
        <f t="shared" si="435"/>
        <v>202503</v>
      </c>
      <c r="C1358" s="107" t="str">
        <f t="shared" ca="1" si="458"/>
        <v>v1</v>
      </c>
      <c r="D1358" s="399" t="str">
        <f t="shared" ca="1" si="459"/>
        <v>10.03.00.01.</v>
      </c>
      <c r="E1358" s="107">
        <f t="shared" si="446"/>
        <v>0</v>
      </c>
      <c r="F1358" s="108">
        <f ca="1">OFFSET('Tabla III.4.'!$H$37,H1358-1,I1358-1)</f>
        <v>0</v>
      </c>
      <c r="G1358" s="107" t="str">
        <f ca="1">OFFSET('Tabla III.4.'!$H$1,0,I1358-1)</f>
        <v>04</v>
      </c>
      <c r="H1358" s="110">
        <f t="shared" si="460"/>
        <v>15</v>
      </c>
      <c r="I1358" s="110">
        <f t="shared" si="461"/>
        <v>4</v>
      </c>
      <c r="J1358" s="110" t="str">
        <f ca="1">+'Tabla III.4.'!$C$9</f>
        <v>Tabla III.4.</v>
      </c>
      <c r="K1358" s="110" t="str">
        <f t="shared" si="457"/>
        <v>B</v>
      </c>
      <c r="L1358" s="107"/>
      <c r="M1358" s="3"/>
    </row>
    <row r="1359" spans="1:13">
      <c r="A1359" s="107" t="s">
        <v>2944</v>
      </c>
      <c r="B1359" s="107" t="str">
        <f t="shared" si="435"/>
        <v>202503</v>
      </c>
      <c r="C1359" s="107" t="str">
        <f t="shared" ca="1" si="458"/>
        <v>v1</v>
      </c>
      <c r="D1359" s="399" t="str">
        <f t="shared" ca="1" si="459"/>
        <v>10.03.00.01.</v>
      </c>
      <c r="E1359" s="107">
        <f t="shared" si="446"/>
        <v>0</v>
      </c>
      <c r="F1359" s="108">
        <f ca="1">OFFSET('Tabla III.4.'!$H$37,H1359-1,I1359-1)</f>
        <v>0</v>
      </c>
      <c r="G1359" s="107" t="str">
        <f ca="1">OFFSET('Tabla III.4.'!$H$1,0,I1359-1)</f>
        <v>05</v>
      </c>
      <c r="H1359" s="110">
        <f t="shared" si="460"/>
        <v>15</v>
      </c>
      <c r="I1359" s="110">
        <f t="shared" si="461"/>
        <v>5</v>
      </c>
      <c r="J1359" s="110" t="str">
        <f ca="1">+'Tabla III.4.'!$C$9</f>
        <v>Tabla III.4.</v>
      </c>
      <c r="K1359" s="110" t="str">
        <f t="shared" si="457"/>
        <v>B</v>
      </c>
      <c r="L1359" s="107"/>
      <c r="M1359" s="3"/>
    </row>
    <row r="1360" spans="1:13">
      <c r="A1360" s="107" t="s">
        <v>2944</v>
      </c>
      <c r="B1360" s="107" t="str">
        <f t="shared" si="435"/>
        <v>202503</v>
      </c>
      <c r="C1360" s="107" t="str">
        <f t="shared" ca="1" si="458"/>
        <v>v1</v>
      </c>
      <c r="D1360" s="399" t="str">
        <f t="shared" ca="1" si="459"/>
        <v>10.03.00.01.</v>
      </c>
      <c r="E1360" s="107">
        <f t="shared" si="446"/>
        <v>0</v>
      </c>
      <c r="F1360" s="108">
        <f ca="1">OFFSET('Tabla III.4.'!$H$37,H1360-1,I1360-1)</f>
        <v>0</v>
      </c>
      <c r="G1360" s="107" t="str">
        <f ca="1">OFFSET('Tabla III.4.'!$H$1,0,I1360-1)</f>
        <v>06</v>
      </c>
      <c r="H1360" s="110">
        <f t="shared" si="460"/>
        <v>15</v>
      </c>
      <c r="I1360" s="110">
        <f t="shared" si="461"/>
        <v>6</v>
      </c>
      <c r="J1360" s="110" t="str">
        <f ca="1">+'Tabla III.4.'!$C$9</f>
        <v>Tabla III.4.</v>
      </c>
      <c r="K1360" s="110" t="str">
        <f t="shared" si="457"/>
        <v>B</v>
      </c>
      <c r="L1360" s="107"/>
      <c r="M1360" s="3"/>
    </row>
    <row r="1361" spans="1:13">
      <c r="A1361" s="107" t="s">
        <v>2944</v>
      </c>
      <c r="B1361" s="107" t="str">
        <f t="shared" si="435"/>
        <v>202503</v>
      </c>
      <c r="C1361" s="107" t="str">
        <f t="shared" ca="1" si="458"/>
        <v>v1</v>
      </c>
      <c r="D1361" s="399" t="str">
        <f t="shared" ca="1" si="459"/>
        <v>10.03.00.01.</v>
      </c>
      <c r="E1361" s="107">
        <f t="shared" si="446"/>
        <v>0</v>
      </c>
      <c r="F1361" s="108">
        <f ca="1">OFFSET('Tabla III.4.'!$H$37,H1361-1,I1361-1)</f>
        <v>0</v>
      </c>
      <c r="G1361" s="107" t="str">
        <f ca="1">OFFSET('Tabla III.4.'!$H$1,0,I1361-1)</f>
        <v>07</v>
      </c>
      <c r="H1361" s="110">
        <f t="shared" si="460"/>
        <v>15</v>
      </c>
      <c r="I1361" s="110">
        <f t="shared" si="461"/>
        <v>7</v>
      </c>
      <c r="J1361" s="110" t="str">
        <f ca="1">+'Tabla III.4.'!$C$9</f>
        <v>Tabla III.4.</v>
      </c>
      <c r="K1361" s="110" t="str">
        <f t="shared" si="457"/>
        <v>B</v>
      </c>
      <c r="L1361" s="107"/>
      <c r="M1361" s="3"/>
    </row>
    <row r="1362" spans="1:13">
      <c r="A1362" s="107" t="s">
        <v>2944</v>
      </c>
      <c r="B1362" s="107" t="str">
        <f t="shared" si="435"/>
        <v>202503</v>
      </c>
      <c r="C1362" s="107" t="str">
        <f t="shared" ca="1" si="458"/>
        <v>v1</v>
      </c>
      <c r="D1362" s="399" t="str">
        <f t="shared" ca="1" si="459"/>
        <v>10.03.00.01.</v>
      </c>
      <c r="E1362" s="107">
        <f t="shared" si="446"/>
        <v>0</v>
      </c>
      <c r="F1362" s="108">
        <f ca="1">OFFSET('Tabla III.4.'!$H$37,H1362-1,I1362-1)</f>
        <v>0</v>
      </c>
      <c r="G1362" s="107" t="str">
        <f ca="1">OFFSET('Tabla III.4.'!$H$1,0,I1362-1)</f>
        <v>08</v>
      </c>
      <c r="H1362" s="110">
        <f t="shared" si="460"/>
        <v>15</v>
      </c>
      <c r="I1362" s="110">
        <f t="shared" si="461"/>
        <v>8</v>
      </c>
      <c r="J1362" s="110" t="str">
        <f ca="1">+'Tabla III.4.'!$C$9</f>
        <v>Tabla III.4.</v>
      </c>
      <c r="K1362" s="110" t="str">
        <f t="shared" si="457"/>
        <v>B</v>
      </c>
      <c r="L1362" s="107"/>
      <c r="M1362" s="3"/>
    </row>
    <row r="1363" spans="1:13">
      <c r="A1363" s="107" t="s">
        <v>2944</v>
      </c>
      <c r="B1363" s="107" t="str">
        <f t="shared" ref="B1363:B1426" si="462">PERIODO</f>
        <v>202503</v>
      </c>
      <c r="C1363" s="107" t="str">
        <f t="shared" ca="1" si="458"/>
        <v>v1</v>
      </c>
      <c r="D1363" s="399" t="str">
        <f t="shared" ca="1" si="459"/>
        <v>10.03.00.01.</v>
      </c>
      <c r="E1363" s="107">
        <f t="shared" si="446"/>
        <v>0</v>
      </c>
      <c r="F1363" s="108">
        <f ca="1">OFFSET('Tabla III.4.'!$H$37,H1363-1,I1363-1)</f>
        <v>0</v>
      </c>
      <c r="G1363" s="107" t="str">
        <f ca="1">OFFSET('Tabla III.4.'!$H$1,0,I1363-1)</f>
        <v>09</v>
      </c>
      <c r="H1363" s="110">
        <f t="shared" si="460"/>
        <v>15</v>
      </c>
      <c r="I1363" s="110">
        <f t="shared" si="461"/>
        <v>9</v>
      </c>
      <c r="J1363" s="110" t="str">
        <f ca="1">+'Tabla III.4.'!$C$9</f>
        <v>Tabla III.4.</v>
      </c>
      <c r="K1363" s="110" t="str">
        <f t="shared" si="457"/>
        <v>B</v>
      </c>
      <c r="L1363" s="107"/>
      <c r="M1363" s="3"/>
    </row>
    <row r="1364" spans="1:13">
      <c r="A1364" s="107" t="s">
        <v>2944</v>
      </c>
      <c r="B1364" s="107" t="str">
        <f t="shared" si="462"/>
        <v>202503</v>
      </c>
      <c r="C1364" s="107" t="str">
        <f t="shared" ca="1" si="458"/>
        <v>v1</v>
      </c>
      <c r="D1364" s="399" t="str">
        <f t="shared" ca="1" si="459"/>
        <v>10.03.00.01.</v>
      </c>
      <c r="E1364" s="107">
        <f t="shared" si="446"/>
        <v>0</v>
      </c>
      <c r="F1364" s="108">
        <f ca="1">OFFSET('Tabla III.4.'!$H$37,H1364-1,I1364-1)</f>
        <v>0</v>
      </c>
      <c r="G1364" s="107" t="str">
        <f ca="1">OFFSET('Tabla III.4.'!$H$1,0,I1364-1)</f>
        <v>10</v>
      </c>
      <c r="H1364" s="110">
        <f t="shared" si="460"/>
        <v>15</v>
      </c>
      <c r="I1364" s="110">
        <f t="shared" si="461"/>
        <v>10</v>
      </c>
      <c r="J1364" s="110" t="str">
        <f ca="1">+'Tabla III.4.'!$C$9</f>
        <v>Tabla III.4.</v>
      </c>
      <c r="K1364" s="110" t="str">
        <f t="shared" si="457"/>
        <v>B</v>
      </c>
      <c r="L1364" s="107"/>
      <c r="M1364" s="3"/>
    </row>
    <row r="1365" spans="1:13">
      <c r="A1365" s="107" t="s">
        <v>2944</v>
      </c>
      <c r="B1365" s="107" t="str">
        <f t="shared" si="462"/>
        <v>202503</v>
      </c>
      <c r="C1365" s="107" t="str">
        <f t="shared" ca="1" si="458"/>
        <v>v1</v>
      </c>
      <c r="D1365" s="399" t="str">
        <f t="shared" ca="1" si="459"/>
        <v>10.03.00.01.</v>
      </c>
      <c r="E1365" s="107">
        <f t="shared" si="446"/>
        <v>0</v>
      </c>
      <c r="F1365" s="108">
        <f ca="1">OFFSET('Tabla III.4.'!$H$37,H1365-1,I1365-1)</f>
        <v>0</v>
      </c>
      <c r="G1365" s="107" t="str">
        <f ca="1">OFFSET('Tabla III.4.'!$H$1,0,I1365-1)</f>
        <v>11</v>
      </c>
      <c r="H1365" s="110">
        <f t="shared" si="460"/>
        <v>15</v>
      </c>
      <c r="I1365" s="110">
        <f t="shared" si="461"/>
        <v>11</v>
      </c>
      <c r="J1365" s="110" t="str">
        <f ca="1">+'Tabla III.4.'!$C$9</f>
        <v>Tabla III.4.</v>
      </c>
      <c r="K1365" s="110" t="str">
        <f t="shared" si="457"/>
        <v>B</v>
      </c>
      <c r="L1365" s="107"/>
      <c r="M1365" s="3"/>
    </row>
    <row r="1366" spans="1:13">
      <c r="A1366" s="107" t="s">
        <v>2944</v>
      </c>
      <c r="B1366" s="107" t="str">
        <f t="shared" si="462"/>
        <v>202503</v>
      </c>
      <c r="C1366" s="107" t="str">
        <f t="shared" ca="1" si="458"/>
        <v>v1</v>
      </c>
      <c r="D1366" s="399" t="str">
        <f t="shared" ca="1" si="459"/>
        <v>10.03.00.01.</v>
      </c>
      <c r="E1366" s="107">
        <f t="shared" si="446"/>
        <v>0</v>
      </c>
      <c r="F1366" s="108">
        <f ca="1">OFFSET('Tabla III.4.'!$H$37,H1366-1,I1366-1)</f>
        <v>0</v>
      </c>
      <c r="G1366" s="107" t="str">
        <f ca="1">OFFSET('Tabla III.4.'!$H$1,0,I1366-1)</f>
        <v>12</v>
      </c>
      <c r="H1366" s="110">
        <f t="shared" si="460"/>
        <v>15</v>
      </c>
      <c r="I1366" s="110">
        <f t="shared" si="461"/>
        <v>12</v>
      </c>
      <c r="J1366" s="110" t="str">
        <f ca="1">+'Tabla III.4.'!$C$9</f>
        <v>Tabla III.4.</v>
      </c>
      <c r="K1366" s="110" t="str">
        <f t="shared" si="457"/>
        <v>B</v>
      </c>
      <c r="L1366" s="107"/>
      <c r="M1366" s="3"/>
    </row>
    <row r="1367" spans="1:13">
      <c r="A1367" s="412" t="s">
        <v>2944</v>
      </c>
      <c r="B1367" s="412" t="str">
        <f t="shared" si="462"/>
        <v>202503</v>
      </c>
      <c r="C1367" s="412" t="s">
        <v>2945</v>
      </c>
      <c r="D1367" s="413" t="str">
        <f ca="1">OFFSET('Tabla III.4.'!$F$37,H1367-1,0)</f>
        <v>10.03.00.02.</v>
      </c>
      <c r="E1367" s="412">
        <f t="shared" si="446"/>
        <v>0</v>
      </c>
      <c r="F1367" s="414">
        <f ca="1">OFFSET('Tabla III.4.'!$H$37,H1367-1,I1367-1)</f>
        <v>0</v>
      </c>
      <c r="G1367" s="412" t="str">
        <f ca="1">OFFSET('Tabla III.4.'!$H$1,0,I1367-1)</f>
        <v>01</v>
      </c>
      <c r="H1367" s="111">
        <f>+H1355+1</f>
        <v>16</v>
      </c>
      <c r="I1367" s="111">
        <v>1</v>
      </c>
      <c r="J1367" s="111" t="str">
        <f ca="1">+'Tabla III.4.'!$C$9</f>
        <v>Tabla III.4.</v>
      </c>
      <c r="K1367" s="111" t="s">
        <v>2267</v>
      </c>
      <c r="L1367" s="412">
        <f>+L1355+1</f>
        <v>16</v>
      </c>
      <c r="M1367" s="3"/>
    </row>
    <row r="1368" spans="1:13">
      <c r="A1368" s="412" t="s">
        <v>2944</v>
      </c>
      <c r="B1368" s="412" t="str">
        <f t="shared" si="462"/>
        <v>202503</v>
      </c>
      <c r="C1368" s="412" t="str">
        <f ca="1">IF(G1368="01","v2","v1")</f>
        <v>v1</v>
      </c>
      <c r="D1368" s="413" t="str">
        <f ca="1">+D1367</f>
        <v>10.03.00.02.</v>
      </c>
      <c r="E1368" s="412">
        <f t="shared" si="446"/>
        <v>0</v>
      </c>
      <c r="F1368" s="414">
        <f ca="1">OFFSET('Tabla III.4.'!$H$37,H1368-1,I1368-1)</f>
        <v>0</v>
      </c>
      <c r="G1368" s="412" t="str">
        <f ca="1">OFFSET('Tabla III.4.'!$H$1,0,I1368-1)</f>
        <v>02</v>
      </c>
      <c r="H1368" s="111">
        <f>+H1367</f>
        <v>16</v>
      </c>
      <c r="I1368" s="111">
        <f>+I1367+1</f>
        <v>2</v>
      </c>
      <c r="J1368" s="111" t="str">
        <f ca="1">+'Tabla III.4.'!$C$9</f>
        <v>Tabla III.4.</v>
      </c>
      <c r="K1368" s="111" t="str">
        <f t="shared" ref="K1368:K1378" si="463">+K1367</f>
        <v>B</v>
      </c>
      <c r="L1368" s="412"/>
      <c r="M1368" s="3"/>
    </row>
    <row r="1369" spans="1:13">
      <c r="A1369" s="412" t="s">
        <v>2944</v>
      </c>
      <c r="B1369" s="412" t="str">
        <f t="shared" si="462"/>
        <v>202503</v>
      </c>
      <c r="C1369" s="412" t="str">
        <f t="shared" ref="C1369:C1378" ca="1" si="464">IF(G1369="01","v2","v1")</f>
        <v>v1</v>
      </c>
      <c r="D1369" s="413" t="str">
        <f t="shared" ref="D1369:D1378" ca="1" si="465">+D1368</f>
        <v>10.03.00.02.</v>
      </c>
      <c r="E1369" s="412">
        <f t="shared" si="446"/>
        <v>0</v>
      </c>
      <c r="F1369" s="414">
        <f ca="1">OFFSET('Tabla III.4.'!$H$37,H1369-1,I1369-1)</f>
        <v>0</v>
      </c>
      <c r="G1369" s="412" t="str">
        <f ca="1">OFFSET('Tabla III.4.'!$H$1,0,I1369-1)</f>
        <v>03</v>
      </c>
      <c r="H1369" s="111">
        <f t="shared" ref="H1369:H1378" si="466">+H1368</f>
        <v>16</v>
      </c>
      <c r="I1369" s="111">
        <f t="shared" ref="I1369:I1378" si="467">+I1368+1</f>
        <v>3</v>
      </c>
      <c r="J1369" s="111" t="str">
        <f ca="1">+'Tabla III.4.'!$C$9</f>
        <v>Tabla III.4.</v>
      </c>
      <c r="K1369" s="111" t="str">
        <f t="shared" si="463"/>
        <v>B</v>
      </c>
      <c r="L1369" s="412"/>
      <c r="M1369" s="3"/>
    </row>
    <row r="1370" spans="1:13">
      <c r="A1370" s="412" t="s">
        <v>2944</v>
      </c>
      <c r="B1370" s="412" t="str">
        <f t="shared" si="462"/>
        <v>202503</v>
      </c>
      <c r="C1370" s="412" t="str">
        <f t="shared" ca="1" si="464"/>
        <v>v1</v>
      </c>
      <c r="D1370" s="413" t="str">
        <f t="shared" ca="1" si="465"/>
        <v>10.03.00.02.</v>
      </c>
      <c r="E1370" s="412">
        <f t="shared" si="446"/>
        <v>0</v>
      </c>
      <c r="F1370" s="414">
        <f ca="1">OFFSET('Tabla III.4.'!$H$37,H1370-1,I1370-1)</f>
        <v>0</v>
      </c>
      <c r="G1370" s="412" t="str">
        <f ca="1">OFFSET('Tabla III.4.'!$H$1,0,I1370-1)</f>
        <v>04</v>
      </c>
      <c r="H1370" s="111">
        <f t="shared" si="466"/>
        <v>16</v>
      </c>
      <c r="I1370" s="111">
        <f t="shared" si="467"/>
        <v>4</v>
      </c>
      <c r="J1370" s="111" t="str">
        <f ca="1">+'Tabla III.4.'!$C$9</f>
        <v>Tabla III.4.</v>
      </c>
      <c r="K1370" s="111" t="str">
        <f t="shared" si="463"/>
        <v>B</v>
      </c>
      <c r="L1370" s="412"/>
      <c r="M1370" s="3"/>
    </row>
    <row r="1371" spans="1:13">
      <c r="A1371" s="412" t="s">
        <v>2944</v>
      </c>
      <c r="B1371" s="412" t="str">
        <f t="shared" si="462"/>
        <v>202503</v>
      </c>
      <c r="C1371" s="412" t="str">
        <f t="shared" ca="1" si="464"/>
        <v>v1</v>
      </c>
      <c r="D1371" s="413" t="str">
        <f t="shared" ca="1" si="465"/>
        <v>10.03.00.02.</v>
      </c>
      <c r="E1371" s="412">
        <f t="shared" si="446"/>
        <v>0</v>
      </c>
      <c r="F1371" s="414">
        <f ca="1">OFFSET('Tabla III.4.'!$H$37,H1371-1,I1371-1)</f>
        <v>0</v>
      </c>
      <c r="G1371" s="412" t="str">
        <f ca="1">OFFSET('Tabla III.4.'!$H$1,0,I1371-1)</f>
        <v>05</v>
      </c>
      <c r="H1371" s="111">
        <f t="shared" si="466"/>
        <v>16</v>
      </c>
      <c r="I1371" s="111">
        <f t="shared" si="467"/>
        <v>5</v>
      </c>
      <c r="J1371" s="111" t="str">
        <f ca="1">+'Tabla III.4.'!$C$9</f>
        <v>Tabla III.4.</v>
      </c>
      <c r="K1371" s="111" t="str">
        <f t="shared" si="463"/>
        <v>B</v>
      </c>
      <c r="L1371" s="412"/>
      <c r="M1371" s="3"/>
    </row>
    <row r="1372" spans="1:13">
      <c r="A1372" s="412" t="s">
        <v>2944</v>
      </c>
      <c r="B1372" s="412" t="str">
        <f t="shared" si="462"/>
        <v>202503</v>
      </c>
      <c r="C1372" s="412" t="str">
        <f t="shared" ca="1" si="464"/>
        <v>v1</v>
      </c>
      <c r="D1372" s="413" t="str">
        <f t="shared" ca="1" si="465"/>
        <v>10.03.00.02.</v>
      </c>
      <c r="E1372" s="412">
        <f t="shared" si="446"/>
        <v>0</v>
      </c>
      <c r="F1372" s="414">
        <f ca="1">OFFSET('Tabla III.4.'!$H$37,H1372-1,I1372-1)</f>
        <v>0</v>
      </c>
      <c r="G1372" s="412" t="str">
        <f ca="1">OFFSET('Tabla III.4.'!$H$1,0,I1372-1)</f>
        <v>06</v>
      </c>
      <c r="H1372" s="111">
        <f t="shared" si="466"/>
        <v>16</v>
      </c>
      <c r="I1372" s="111">
        <f t="shared" si="467"/>
        <v>6</v>
      </c>
      <c r="J1372" s="111" t="str">
        <f ca="1">+'Tabla III.4.'!$C$9</f>
        <v>Tabla III.4.</v>
      </c>
      <c r="K1372" s="111" t="str">
        <f t="shared" si="463"/>
        <v>B</v>
      </c>
      <c r="L1372" s="412"/>
      <c r="M1372" s="3"/>
    </row>
    <row r="1373" spans="1:13">
      <c r="A1373" s="412" t="s">
        <v>2944</v>
      </c>
      <c r="B1373" s="412" t="str">
        <f t="shared" si="462"/>
        <v>202503</v>
      </c>
      <c r="C1373" s="412" t="str">
        <f t="shared" ca="1" si="464"/>
        <v>v1</v>
      </c>
      <c r="D1373" s="413" t="str">
        <f t="shared" ca="1" si="465"/>
        <v>10.03.00.02.</v>
      </c>
      <c r="E1373" s="412">
        <f t="shared" si="446"/>
        <v>0</v>
      </c>
      <c r="F1373" s="414">
        <f ca="1">OFFSET('Tabla III.4.'!$H$37,H1373-1,I1373-1)</f>
        <v>0</v>
      </c>
      <c r="G1373" s="412" t="str">
        <f ca="1">OFFSET('Tabla III.4.'!$H$1,0,I1373-1)</f>
        <v>07</v>
      </c>
      <c r="H1373" s="111">
        <f t="shared" si="466"/>
        <v>16</v>
      </c>
      <c r="I1373" s="111">
        <f t="shared" si="467"/>
        <v>7</v>
      </c>
      <c r="J1373" s="111" t="str">
        <f ca="1">+'Tabla III.4.'!$C$9</f>
        <v>Tabla III.4.</v>
      </c>
      <c r="K1373" s="111" t="str">
        <f t="shared" si="463"/>
        <v>B</v>
      </c>
      <c r="L1373" s="412"/>
      <c r="M1373" s="3"/>
    </row>
    <row r="1374" spans="1:13">
      <c r="A1374" s="412" t="s">
        <v>2944</v>
      </c>
      <c r="B1374" s="412" t="str">
        <f t="shared" si="462"/>
        <v>202503</v>
      </c>
      <c r="C1374" s="412" t="str">
        <f t="shared" ca="1" si="464"/>
        <v>v1</v>
      </c>
      <c r="D1374" s="413" t="str">
        <f t="shared" ca="1" si="465"/>
        <v>10.03.00.02.</v>
      </c>
      <c r="E1374" s="412">
        <f t="shared" si="446"/>
        <v>0</v>
      </c>
      <c r="F1374" s="414">
        <f ca="1">OFFSET('Tabla III.4.'!$H$37,H1374-1,I1374-1)</f>
        <v>0</v>
      </c>
      <c r="G1374" s="412" t="str">
        <f ca="1">OFFSET('Tabla III.4.'!$H$1,0,I1374-1)</f>
        <v>08</v>
      </c>
      <c r="H1374" s="111">
        <f t="shared" si="466"/>
        <v>16</v>
      </c>
      <c r="I1374" s="111">
        <f t="shared" si="467"/>
        <v>8</v>
      </c>
      <c r="J1374" s="111" t="str">
        <f ca="1">+'Tabla III.4.'!$C$9</f>
        <v>Tabla III.4.</v>
      </c>
      <c r="K1374" s="111" t="str">
        <f t="shared" si="463"/>
        <v>B</v>
      </c>
      <c r="L1374" s="412"/>
      <c r="M1374" s="3"/>
    </row>
    <row r="1375" spans="1:13">
      <c r="A1375" s="412" t="s">
        <v>2944</v>
      </c>
      <c r="B1375" s="412" t="str">
        <f t="shared" si="462"/>
        <v>202503</v>
      </c>
      <c r="C1375" s="412" t="str">
        <f t="shared" ca="1" si="464"/>
        <v>v1</v>
      </c>
      <c r="D1375" s="413" t="str">
        <f t="shared" ca="1" si="465"/>
        <v>10.03.00.02.</v>
      </c>
      <c r="E1375" s="412">
        <f t="shared" si="446"/>
        <v>0</v>
      </c>
      <c r="F1375" s="414">
        <f ca="1">OFFSET('Tabla III.4.'!$H$37,H1375-1,I1375-1)</f>
        <v>0</v>
      </c>
      <c r="G1375" s="412" t="str">
        <f ca="1">OFFSET('Tabla III.4.'!$H$1,0,I1375-1)</f>
        <v>09</v>
      </c>
      <c r="H1375" s="111">
        <f t="shared" si="466"/>
        <v>16</v>
      </c>
      <c r="I1375" s="111">
        <f t="shared" si="467"/>
        <v>9</v>
      </c>
      <c r="J1375" s="111" t="str">
        <f ca="1">+'Tabla III.4.'!$C$9</f>
        <v>Tabla III.4.</v>
      </c>
      <c r="K1375" s="111" t="str">
        <f t="shared" si="463"/>
        <v>B</v>
      </c>
      <c r="L1375" s="412"/>
      <c r="M1375" s="3"/>
    </row>
    <row r="1376" spans="1:13">
      <c r="A1376" s="412" t="s">
        <v>2944</v>
      </c>
      <c r="B1376" s="412" t="str">
        <f t="shared" si="462"/>
        <v>202503</v>
      </c>
      <c r="C1376" s="412" t="str">
        <f t="shared" ca="1" si="464"/>
        <v>v1</v>
      </c>
      <c r="D1376" s="413" t="str">
        <f t="shared" ca="1" si="465"/>
        <v>10.03.00.02.</v>
      </c>
      <c r="E1376" s="412">
        <f t="shared" si="446"/>
        <v>0</v>
      </c>
      <c r="F1376" s="414">
        <f ca="1">OFFSET('Tabla III.4.'!$H$37,H1376-1,I1376-1)</f>
        <v>0</v>
      </c>
      <c r="G1376" s="412" t="str">
        <f ca="1">OFFSET('Tabla III.4.'!$H$1,0,I1376-1)</f>
        <v>10</v>
      </c>
      <c r="H1376" s="111">
        <f t="shared" si="466"/>
        <v>16</v>
      </c>
      <c r="I1376" s="111">
        <f t="shared" si="467"/>
        <v>10</v>
      </c>
      <c r="J1376" s="111" t="str">
        <f ca="1">+'Tabla III.4.'!$C$9</f>
        <v>Tabla III.4.</v>
      </c>
      <c r="K1376" s="111" t="str">
        <f t="shared" si="463"/>
        <v>B</v>
      </c>
      <c r="L1376" s="412"/>
      <c r="M1376" s="3"/>
    </row>
    <row r="1377" spans="1:13">
      <c r="A1377" s="412" t="s">
        <v>2944</v>
      </c>
      <c r="B1377" s="412" t="str">
        <f t="shared" si="462"/>
        <v>202503</v>
      </c>
      <c r="C1377" s="412" t="str">
        <f t="shared" ca="1" si="464"/>
        <v>v1</v>
      </c>
      <c r="D1377" s="413" t="str">
        <f t="shared" ca="1" si="465"/>
        <v>10.03.00.02.</v>
      </c>
      <c r="E1377" s="412">
        <f t="shared" si="446"/>
        <v>0</v>
      </c>
      <c r="F1377" s="414">
        <f ca="1">OFFSET('Tabla III.4.'!$H$37,H1377-1,I1377-1)</f>
        <v>0</v>
      </c>
      <c r="G1377" s="412" t="str">
        <f ca="1">OFFSET('Tabla III.4.'!$H$1,0,I1377-1)</f>
        <v>11</v>
      </c>
      <c r="H1377" s="111">
        <f t="shared" si="466"/>
        <v>16</v>
      </c>
      <c r="I1377" s="111">
        <f t="shared" si="467"/>
        <v>11</v>
      </c>
      <c r="J1377" s="111" t="str">
        <f ca="1">+'Tabla III.4.'!$C$9</f>
        <v>Tabla III.4.</v>
      </c>
      <c r="K1377" s="111" t="str">
        <f t="shared" si="463"/>
        <v>B</v>
      </c>
      <c r="L1377" s="412"/>
      <c r="M1377" s="3"/>
    </row>
    <row r="1378" spans="1:13">
      <c r="A1378" s="412" t="s">
        <v>2944</v>
      </c>
      <c r="B1378" s="412" t="str">
        <f t="shared" si="462"/>
        <v>202503</v>
      </c>
      <c r="C1378" s="412" t="str">
        <f t="shared" ca="1" si="464"/>
        <v>v1</v>
      </c>
      <c r="D1378" s="413" t="str">
        <f t="shared" ca="1" si="465"/>
        <v>10.03.00.02.</v>
      </c>
      <c r="E1378" s="412">
        <f t="shared" si="446"/>
        <v>0</v>
      </c>
      <c r="F1378" s="414">
        <f ca="1">OFFSET('Tabla III.4.'!$H$37,H1378-1,I1378-1)</f>
        <v>0</v>
      </c>
      <c r="G1378" s="412" t="str">
        <f ca="1">OFFSET('Tabla III.4.'!$H$1,0,I1378-1)</f>
        <v>12</v>
      </c>
      <c r="H1378" s="111">
        <f t="shared" si="466"/>
        <v>16</v>
      </c>
      <c r="I1378" s="111">
        <f t="shared" si="467"/>
        <v>12</v>
      </c>
      <c r="J1378" s="111" t="str">
        <f ca="1">+'Tabla III.4.'!$C$9</f>
        <v>Tabla III.4.</v>
      </c>
      <c r="K1378" s="111" t="str">
        <f t="shared" si="463"/>
        <v>B</v>
      </c>
      <c r="L1378" s="412"/>
      <c r="M1378" s="3"/>
    </row>
    <row r="1379" spans="1:13">
      <c r="A1379" s="107" t="s">
        <v>2944</v>
      </c>
      <c r="B1379" s="107" t="str">
        <f t="shared" si="462"/>
        <v>202503</v>
      </c>
      <c r="C1379" s="107" t="s">
        <v>2945</v>
      </c>
      <c r="D1379" s="399" t="str">
        <f ca="1">OFFSET('Tabla III.4.'!$F$37,H1379-1,0)</f>
        <v>10.04.</v>
      </c>
      <c r="E1379" s="107">
        <f t="shared" si="446"/>
        <v>0</v>
      </c>
      <c r="F1379" s="108">
        <f ca="1">OFFSET('Tabla III.4.'!$H$37,H1379-1,I1379-1)</f>
        <v>0</v>
      </c>
      <c r="G1379" s="107" t="str">
        <f ca="1">OFFSET('Tabla III.4.'!$H$1,0,I1379-1)</f>
        <v>01</v>
      </c>
      <c r="H1379" s="110">
        <f>+H1367+1</f>
        <v>17</v>
      </c>
      <c r="I1379" s="110">
        <v>1</v>
      </c>
      <c r="J1379" s="110" t="str">
        <f ca="1">+'Tabla III.4.'!$C$9</f>
        <v>Tabla III.4.</v>
      </c>
      <c r="K1379" s="110" t="s">
        <v>2267</v>
      </c>
      <c r="L1379" s="107">
        <f>+L1367+1</f>
        <v>17</v>
      </c>
      <c r="M1379" s="3"/>
    </row>
    <row r="1380" spans="1:13">
      <c r="A1380" s="107" t="s">
        <v>2944</v>
      </c>
      <c r="B1380" s="107" t="str">
        <f t="shared" si="462"/>
        <v>202503</v>
      </c>
      <c r="C1380" s="107" t="str">
        <f ca="1">IF(G1380="01","v2","v1")</f>
        <v>v1</v>
      </c>
      <c r="D1380" s="399" t="str">
        <f ca="1">+D1379</f>
        <v>10.04.</v>
      </c>
      <c r="E1380" s="107">
        <f t="shared" si="446"/>
        <v>0</v>
      </c>
      <c r="F1380" s="108">
        <f ca="1">OFFSET('Tabla III.4.'!$H$37,H1380-1,I1380-1)</f>
        <v>0</v>
      </c>
      <c r="G1380" s="107" t="str">
        <f ca="1">OFFSET('Tabla III.4.'!$H$1,0,I1380-1)</f>
        <v>02</v>
      </c>
      <c r="H1380" s="110">
        <f>+H1379</f>
        <v>17</v>
      </c>
      <c r="I1380" s="110">
        <f>+I1379+1</f>
        <v>2</v>
      </c>
      <c r="J1380" s="110" t="str">
        <f ca="1">+'Tabla III.4.'!$C$9</f>
        <v>Tabla III.4.</v>
      </c>
      <c r="K1380" s="110" t="str">
        <f t="shared" ref="K1380:K1390" si="468">+K1379</f>
        <v>B</v>
      </c>
      <c r="L1380" s="107"/>
      <c r="M1380" s="3"/>
    </row>
    <row r="1381" spans="1:13">
      <c r="A1381" s="107" t="s">
        <v>2944</v>
      </c>
      <c r="B1381" s="107" t="str">
        <f t="shared" si="462"/>
        <v>202503</v>
      </c>
      <c r="C1381" s="107" t="str">
        <f t="shared" ref="C1381:C1390" ca="1" si="469">IF(G1381="01","v2","v1")</f>
        <v>v1</v>
      </c>
      <c r="D1381" s="399" t="str">
        <f t="shared" ref="D1381:D1390" ca="1" si="470">+D1380</f>
        <v>10.04.</v>
      </c>
      <c r="E1381" s="107">
        <f t="shared" si="446"/>
        <v>0</v>
      </c>
      <c r="F1381" s="108">
        <f ca="1">OFFSET('Tabla III.4.'!$H$37,H1381-1,I1381-1)</f>
        <v>0</v>
      </c>
      <c r="G1381" s="107" t="str">
        <f ca="1">OFFSET('Tabla III.4.'!$H$1,0,I1381-1)</f>
        <v>03</v>
      </c>
      <c r="H1381" s="110">
        <f t="shared" ref="H1381:H1390" si="471">+H1380</f>
        <v>17</v>
      </c>
      <c r="I1381" s="110">
        <f t="shared" ref="I1381:I1390" si="472">+I1380+1</f>
        <v>3</v>
      </c>
      <c r="J1381" s="110" t="str">
        <f ca="1">+'Tabla III.4.'!$C$9</f>
        <v>Tabla III.4.</v>
      </c>
      <c r="K1381" s="110" t="str">
        <f t="shared" si="468"/>
        <v>B</v>
      </c>
      <c r="L1381" s="107"/>
      <c r="M1381" s="3"/>
    </row>
    <row r="1382" spans="1:13">
      <c r="A1382" s="107" t="s">
        <v>2944</v>
      </c>
      <c r="B1382" s="107" t="str">
        <f t="shared" si="462"/>
        <v>202503</v>
      </c>
      <c r="C1382" s="107" t="str">
        <f t="shared" ca="1" si="469"/>
        <v>v1</v>
      </c>
      <c r="D1382" s="399" t="str">
        <f t="shared" ca="1" si="470"/>
        <v>10.04.</v>
      </c>
      <c r="E1382" s="107">
        <f t="shared" si="446"/>
        <v>0</v>
      </c>
      <c r="F1382" s="108">
        <f ca="1">OFFSET('Tabla III.4.'!$H$37,H1382-1,I1382-1)</f>
        <v>0</v>
      </c>
      <c r="G1382" s="107" t="str">
        <f ca="1">OFFSET('Tabla III.4.'!$H$1,0,I1382-1)</f>
        <v>04</v>
      </c>
      <c r="H1382" s="110">
        <f t="shared" si="471"/>
        <v>17</v>
      </c>
      <c r="I1382" s="110">
        <f t="shared" si="472"/>
        <v>4</v>
      </c>
      <c r="J1382" s="110" t="str">
        <f ca="1">+'Tabla III.4.'!$C$9</f>
        <v>Tabla III.4.</v>
      </c>
      <c r="K1382" s="110" t="str">
        <f t="shared" si="468"/>
        <v>B</v>
      </c>
      <c r="L1382" s="107"/>
      <c r="M1382" s="3"/>
    </row>
    <row r="1383" spans="1:13">
      <c r="A1383" s="107" t="s">
        <v>2944</v>
      </c>
      <c r="B1383" s="107" t="str">
        <f t="shared" si="462"/>
        <v>202503</v>
      </c>
      <c r="C1383" s="107" t="str">
        <f t="shared" ca="1" si="469"/>
        <v>v1</v>
      </c>
      <c r="D1383" s="399" t="str">
        <f t="shared" ca="1" si="470"/>
        <v>10.04.</v>
      </c>
      <c r="E1383" s="107">
        <f t="shared" si="446"/>
        <v>0</v>
      </c>
      <c r="F1383" s="108">
        <f ca="1">OFFSET('Tabla III.4.'!$H$37,H1383-1,I1383-1)</f>
        <v>0</v>
      </c>
      <c r="G1383" s="107" t="str">
        <f ca="1">OFFSET('Tabla III.4.'!$H$1,0,I1383-1)</f>
        <v>05</v>
      </c>
      <c r="H1383" s="110">
        <f t="shared" si="471"/>
        <v>17</v>
      </c>
      <c r="I1383" s="110">
        <f t="shared" si="472"/>
        <v>5</v>
      </c>
      <c r="J1383" s="110" t="str">
        <f ca="1">+'Tabla III.4.'!$C$9</f>
        <v>Tabla III.4.</v>
      </c>
      <c r="K1383" s="110" t="str">
        <f t="shared" si="468"/>
        <v>B</v>
      </c>
      <c r="L1383" s="107"/>
      <c r="M1383" s="3"/>
    </row>
    <row r="1384" spans="1:13">
      <c r="A1384" s="107" t="s">
        <v>2944</v>
      </c>
      <c r="B1384" s="107" t="str">
        <f t="shared" si="462"/>
        <v>202503</v>
      </c>
      <c r="C1384" s="107" t="str">
        <f t="shared" ca="1" si="469"/>
        <v>v1</v>
      </c>
      <c r="D1384" s="399" t="str">
        <f t="shared" ca="1" si="470"/>
        <v>10.04.</v>
      </c>
      <c r="E1384" s="107">
        <f t="shared" si="446"/>
        <v>0</v>
      </c>
      <c r="F1384" s="108">
        <f ca="1">OFFSET('Tabla III.4.'!$H$37,H1384-1,I1384-1)</f>
        <v>0</v>
      </c>
      <c r="G1384" s="107" t="str">
        <f ca="1">OFFSET('Tabla III.4.'!$H$1,0,I1384-1)</f>
        <v>06</v>
      </c>
      <c r="H1384" s="110">
        <f t="shared" si="471"/>
        <v>17</v>
      </c>
      <c r="I1384" s="110">
        <f t="shared" si="472"/>
        <v>6</v>
      </c>
      <c r="J1384" s="110" t="str">
        <f ca="1">+'Tabla III.4.'!$C$9</f>
        <v>Tabla III.4.</v>
      </c>
      <c r="K1384" s="110" t="str">
        <f t="shared" si="468"/>
        <v>B</v>
      </c>
      <c r="L1384" s="107"/>
      <c r="M1384" s="3"/>
    </row>
    <row r="1385" spans="1:13">
      <c r="A1385" s="107" t="s">
        <v>2944</v>
      </c>
      <c r="B1385" s="107" t="str">
        <f t="shared" si="462"/>
        <v>202503</v>
      </c>
      <c r="C1385" s="107" t="str">
        <f t="shared" ca="1" si="469"/>
        <v>v1</v>
      </c>
      <c r="D1385" s="399" t="str">
        <f t="shared" ca="1" si="470"/>
        <v>10.04.</v>
      </c>
      <c r="E1385" s="107">
        <f t="shared" si="446"/>
        <v>0</v>
      </c>
      <c r="F1385" s="108">
        <f ca="1">OFFSET('Tabla III.4.'!$H$37,H1385-1,I1385-1)</f>
        <v>0</v>
      </c>
      <c r="G1385" s="107" t="str">
        <f ca="1">OFFSET('Tabla III.4.'!$H$1,0,I1385-1)</f>
        <v>07</v>
      </c>
      <c r="H1385" s="110">
        <f t="shared" si="471"/>
        <v>17</v>
      </c>
      <c r="I1385" s="110">
        <f t="shared" si="472"/>
        <v>7</v>
      </c>
      <c r="J1385" s="110" t="str">
        <f ca="1">+'Tabla III.4.'!$C$9</f>
        <v>Tabla III.4.</v>
      </c>
      <c r="K1385" s="110" t="str">
        <f t="shared" si="468"/>
        <v>B</v>
      </c>
      <c r="L1385" s="107"/>
      <c r="M1385" s="3"/>
    </row>
    <row r="1386" spans="1:13">
      <c r="A1386" s="107" t="s">
        <v>2944</v>
      </c>
      <c r="B1386" s="107" t="str">
        <f t="shared" si="462"/>
        <v>202503</v>
      </c>
      <c r="C1386" s="107" t="str">
        <f t="shared" ca="1" si="469"/>
        <v>v1</v>
      </c>
      <c r="D1386" s="399" t="str">
        <f t="shared" ca="1" si="470"/>
        <v>10.04.</v>
      </c>
      <c r="E1386" s="107">
        <f t="shared" si="446"/>
        <v>0</v>
      </c>
      <c r="F1386" s="108">
        <f ca="1">OFFSET('Tabla III.4.'!$H$37,H1386-1,I1386-1)</f>
        <v>0</v>
      </c>
      <c r="G1386" s="107" t="str">
        <f ca="1">OFFSET('Tabla III.4.'!$H$1,0,I1386-1)</f>
        <v>08</v>
      </c>
      <c r="H1386" s="110">
        <f t="shared" si="471"/>
        <v>17</v>
      </c>
      <c r="I1386" s="110">
        <f t="shared" si="472"/>
        <v>8</v>
      </c>
      <c r="J1386" s="110" t="str">
        <f ca="1">+'Tabla III.4.'!$C$9</f>
        <v>Tabla III.4.</v>
      </c>
      <c r="K1386" s="110" t="str">
        <f t="shared" si="468"/>
        <v>B</v>
      </c>
      <c r="L1386" s="107"/>
      <c r="M1386" s="3"/>
    </row>
    <row r="1387" spans="1:13">
      <c r="A1387" s="107" t="s">
        <v>2944</v>
      </c>
      <c r="B1387" s="107" t="str">
        <f t="shared" si="462"/>
        <v>202503</v>
      </c>
      <c r="C1387" s="107" t="str">
        <f t="shared" ca="1" si="469"/>
        <v>v1</v>
      </c>
      <c r="D1387" s="399" t="str">
        <f t="shared" ca="1" si="470"/>
        <v>10.04.</v>
      </c>
      <c r="E1387" s="107">
        <f t="shared" si="446"/>
        <v>0</v>
      </c>
      <c r="F1387" s="108">
        <f ca="1">OFFSET('Tabla III.4.'!$H$37,H1387-1,I1387-1)</f>
        <v>0</v>
      </c>
      <c r="G1387" s="107" t="str">
        <f ca="1">OFFSET('Tabla III.4.'!$H$1,0,I1387-1)</f>
        <v>09</v>
      </c>
      <c r="H1387" s="110">
        <f t="shared" si="471"/>
        <v>17</v>
      </c>
      <c r="I1387" s="110">
        <f t="shared" si="472"/>
        <v>9</v>
      </c>
      <c r="J1387" s="110" t="str">
        <f ca="1">+'Tabla III.4.'!$C$9</f>
        <v>Tabla III.4.</v>
      </c>
      <c r="K1387" s="110" t="str">
        <f t="shared" si="468"/>
        <v>B</v>
      </c>
      <c r="L1387" s="107"/>
      <c r="M1387" s="3"/>
    </row>
    <row r="1388" spans="1:13">
      <c r="A1388" s="107" t="s">
        <v>2944</v>
      </c>
      <c r="B1388" s="107" t="str">
        <f t="shared" si="462"/>
        <v>202503</v>
      </c>
      <c r="C1388" s="107" t="str">
        <f t="shared" ca="1" si="469"/>
        <v>v1</v>
      </c>
      <c r="D1388" s="399" t="str">
        <f t="shared" ca="1" si="470"/>
        <v>10.04.</v>
      </c>
      <c r="E1388" s="107">
        <f t="shared" si="446"/>
        <v>0</v>
      </c>
      <c r="F1388" s="108">
        <f ca="1">OFFSET('Tabla III.4.'!$H$37,H1388-1,I1388-1)</f>
        <v>0</v>
      </c>
      <c r="G1388" s="107" t="str">
        <f ca="1">OFFSET('Tabla III.4.'!$H$1,0,I1388-1)</f>
        <v>10</v>
      </c>
      <c r="H1388" s="110">
        <f t="shared" si="471"/>
        <v>17</v>
      </c>
      <c r="I1388" s="110">
        <f t="shared" si="472"/>
        <v>10</v>
      </c>
      <c r="J1388" s="110" t="str">
        <f ca="1">+'Tabla III.4.'!$C$9</f>
        <v>Tabla III.4.</v>
      </c>
      <c r="K1388" s="110" t="str">
        <f t="shared" si="468"/>
        <v>B</v>
      </c>
      <c r="L1388" s="107"/>
      <c r="M1388" s="3"/>
    </row>
    <row r="1389" spans="1:13">
      <c r="A1389" s="107" t="s">
        <v>2944</v>
      </c>
      <c r="B1389" s="107" t="str">
        <f t="shared" si="462"/>
        <v>202503</v>
      </c>
      <c r="C1389" s="107" t="str">
        <f t="shared" ca="1" si="469"/>
        <v>v1</v>
      </c>
      <c r="D1389" s="399" t="str">
        <f t="shared" ca="1" si="470"/>
        <v>10.04.</v>
      </c>
      <c r="E1389" s="107">
        <f t="shared" si="446"/>
        <v>0</v>
      </c>
      <c r="F1389" s="108">
        <f ca="1">OFFSET('Tabla III.4.'!$H$37,H1389-1,I1389-1)</f>
        <v>0</v>
      </c>
      <c r="G1389" s="107" t="str">
        <f ca="1">OFFSET('Tabla III.4.'!$H$1,0,I1389-1)</f>
        <v>11</v>
      </c>
      <c r="H1389" s="110">
        <f t="shared" si="471"/>
        <v>17</v>
      </c>
      <c r="I1389" s="110">
        <f t="shared" si="472"/>
        <v>11</v>
      </c>
      <c r="J1389" s="110" t="str">
        <f ca="1">+'Tabla III.4.'!$C$9</f>
        <v>Tabla III.4.</v>
      </c>
      <c r="K1389" s="110" t="str">
        <f t="shared" si="468"/>
        <v>B</v>
      </c>
      <c r="L1389" s="107"/>
      <c r="M1389" s="3"/>
    </row>
    <row r="1390" spans="1:13">
      <c r="A1390" s="107" t="s">
        <v>2944</v>
      </c>
      <c r="B1390" s="107" t="str">
        <f t="shared" si="462"/>
        <v>202503</v>
      </c>
      <c r="C1390" s="107" t="str">
        <f t="shared" ca="1" si="469"/>
        <v>v1</v>
      </c>
      <c r="D1390" s="399" t="str">
        <f t="shared" ca="1" si="470"/>
        <v>10.04.</v>
      </c>
      <c r="E1390" s="107">
        <f t="shared" si="446"/>
        <v>0</v>
      </c>
      <c r="F1390" s="108">
        <f ca="1">OFFSET('Tabla III.4.'!$H$37,H1390-1,I1390-1)</f>
        <v>0</v>
      </c>
      <c r="G1390" s="107" t="str">
        <f ca="1">OFFSET('Tabla III.4.'!$H$1,0,I1390-1)</f>
        <v>12</v>
      </c>
      <c r="H1390" s="110">
        <f t="shared" si="471"/>
        <v>17</v>
      </c>
      <c r="I1390" s="110">
        <f t="shared" si="472"/>
        <v>12</v>
      </c>
      <c r="J1390" s="110" t="str">
        <f ca="1">+'Tabla III.4.'!$C$9</f>
        <v>Tabla III.4.</v>
      </c>
      <c r="K1390" s="110" t="str">
        <f t="shared" si="468"/>
        <v>B</v>
      </c>
      <c r="L1390" s="107"/>
      <c r="M1390" s="3"/>
    </row>
    <row r="1391" spans="1:13">
      <c r="A1391" s="412" t="s">
        <v>2944</v>
      </c>
      <c r="B1391" s="412" t="str">
        <f t="shared" si="462"/>
        <v>202503</v>
      </c>
      <c r="C1391" s="412" t="s">
        <v>2945</v>
      </c>
      <c r="D1391" s="413" t="str">
        <f ca="1">OFFSET('Tabla III.4.'!$F$37,H1391-1,0)</f>
        <v>10.99.</v>
      </c>
      <c r="E1391" s="412">
        <f t="shared" si="446"/>
        <v>0</v>
      </c>
      <c r="F1391" s="414">
        <f ca="1">OFFSET('Tabla III.4.'!$H$37,H1391-1,I1391-1)</f>
        <v>0</v>
      </c>
      <c r="G1391" s="412" t="str">
        <f ca="1">OFFSET('Tabla III.4.'!$H$1,0,I1391-1)</f>
        <v>01</v>
      </c>
      <c r="H1391" s="111">
        <f>+H1379+1</f>
        <v>18</v>
      </c>
      <c r="I1391" s="111">
        <v>1</v>
      </c>
      <c r="J1391" s="111" t="str">
        <f ca="1">+'Tabla III.4.'!$C$9</f>
        <v>Tabla III.4.</v>
      </c>
      <c r="K1391" s="111" t="s">
        <v>2267</v>
      </c>
      <c r="L1391" s="412">
        <f>+L1379+1</f>
        <v>18</v>
      </c>
      <c r="M1391" s="3"/>
    </row>
    <row r="1392" spans="1:13">
      <c r="A1392" s="412" t="s">
        <v>2944</v>
      </c>
      <c r="B1392" s="412" t="str">
        <f t="shared" si="462"/>
        <v>202503</v>
      </c>
      <c r="C1392" s="412" t="str">
        <f ca="1">IF(G1392="01","v2","v1")</f>
        <v>v1</v>
      </c>
      <c r="D1392" s="413" t="str">
        <f ca="1">+D1391</f>
        <v>10.99.</v>
      </c>
      <c r="E1392" s="412">
        <f t="shared" ref="E1392:E1478" si="473">RUC</f>
        <v>0</v>
      </c>
      <c r="F1392" s="414">
        <f ca="1">OFFSET('Tabla III.4.'!$H$37,H1392-1,I1392-1)</f>
        <v>0</v>
      </c>
      <c r="G1392" s="412" t="str">
        <f ca="1">OFFSET('Tabla III.4.'!$H$1,0,I1392-1)</f>
        <v>02</v>
      </c>
      <c r="H1392" s="111">
        <f>+H1391</f>
        <v>18</v>
      </c>
      <c r="I1392" s="111">
        <f>+I1391+1</f>
        <v>2</v>
      </c>
      <c r="J1392" s="111" t="str">
        <f ca="1">+'Tabla III.4.'!$C$9</f>
        <v>Tabla III.4.</v>
      </c>
      <c r="K1392" s="111" t="str">
        <f t="shared" ref="K1392:K1402" si="474">+K1391</f>
        <v>B</v>
      </c>
      <c r="L1392" s="412"/>
      <c r="M1392" s="3"/>
    </row>
    <row r="1393" spans="1:13">
      <c r="A1393" s="412" t="s">
        <v>2944</v>
      </c>
      <c r="B1393" s="412" t="str">
        <f t="shared" si="462"/>
        <v>202503</v>
      </c>
      <c r="C1393" s="412" t="str">
        <f t="shared" ref="C1393:C1402" ca="1" si="475">IF(G1393="01","v2","v1")</f>
        <v>v1</v>
      </c>
      <c r="D1393" s="413" t="str">
        <f t="shared" ref="D1393:D1402" ca="1" si="476">+D1392</f>
        <v>10.99.</v>
      </c>
      <c r="E1393" s="412">
        <f t="shared" si="473"/>
        <v>0</v>
      </c>
      <c r="F1393" s="414">
        <f ca="1">OFFSET('Tabla III.4.'!$H$37,H1393-1,I1393-1)</f>
        <v>0</v>
      </c>
      <c r="G1393" s="412" t="str">
        <f ca="1">OFFSET('Tabla III.4.'!$H$1,0,I1393-1)</f>
        <v>03</v>
      </c>
      <c r="H1393" s="111">
        <f t="shared" ref="H1393:H1402" si="477">+H1392</f>
        <v>18</v>
      </c>
      <c r="I1393" s="111">
        <f t="shared" ref="I1393:I1402" si="478">+I1392+1</f>
        <v>3</v>
      </c>
      <c r="J1393" s="111" t="str">
        <f ca="1">+'Tabla III.4.'!$C$9</f>
        <v>Tabla III.4.</v>
      </c>
      <c r="K1393" s="111" t="str">
        <f t="shared" si="474"/>
        <v>B</v>
      </c>
      <c r="L1393" s="412"/>
      <c r="M1393" s="3"/>
    </row>
    <row r="1394" spans="1:13">
      <c r="A1394" s="412" t="s">
        <v>2944</v>
      </c>
      <c r="B1394" s="412" t="str">
        <f t="shared" si="462"/>
        <v>202503</v>
      </c>
      <c r="C1394" s="412" t="str">
        <f t="shared" ca="1" si="475"/>
        <v>v1</v>
      </c>
      <c r="D1394" s="413" t="str">
        <f t="shared" ca="1" si="476"/>
        <v>10.99.</v>
      </c>
      <c r="E1394" s="412">
        <f t="shared" si="473"/>
        <v>0</v>
      </c>
      <c r="F1394" s="414">
        <f ca="1">OFFSET('Tabla III.4.'!$H$37,H1394-1,I1394-1)</f>
        <v>0</v>
      </c>
      <c r="G1394" s="412" t="str">
        <f ca="1">OFFSET('Tabla III.4.'!$H$1,0,I1394-1)</f>
        <v>04</v>
      </c>
      <c r="H1394" s="111">
        <f t="shared" si="477"/>
        <v>18</v>
      </c>
      <c r="I1394" s="111">
        <f t="shared" si="478"/>
        <v>4</v>
      </c>
      <c r="J1394" s="111" t="str">
        <f ca="1">+'Tabla III.4.'!$C$9</f>
        <v>Tabla III.4.</v>
      </c>
      <c r="K1394" s="111" t="str">
        <f t="shared" si="474"/>
        <v>B</v>
      </c>
      <c r="L1394" s="412"/>
      <c r="M1394" s="3"/>
    </row>
    <row r="1395" spans="1:13">
      <c r="A1395" s="412" t="s">
        <v>2944</v>
      </c>
      <c r="B1395" s="412" t="str">
        <f t="shared" si="462"/>
        <v>202503</v>
      </c>
      <c r="C1395" s="412" t="str">
        <f t="shared" ca="1" si="475"/>
        <v>v1</v>
      </c>
      <c r="D1395" s="413" t="str">
        <f t="shared" ca="1" si="476"/>
        <v>10.99.</v>
      </c>
      <c r="E1395" s="412">
        <f t="shared" si="473"/>
        <v>0</v>
      </c>
      <c r="F1395" s="414">
        <f ca="1">OFFSET('Tabla III.4.'!$H$37,H1395-1,I1395-1)</f>
        <v>0</v>
      </c>
      <c r="G1395" s="412" t="str">
        <f ca="1">OFFSET('Tabla III.4.'!$H$1,0,I1395-1)</f>
        <v>05</v>
      </c>
      <c r="H1395" s="111">
        <f t="shared" si="477"/>
        <v>18</v>
      </c>
      <c r="I1395" s="111">
        <f t="shared" si="478"/>
        <v>5</v>
      </c>
      <c r="J1395" s="111" t="str">
        <f ca="1">+'Tabla III.4.'!$C$9</f>
        <v>Tabla III.4.</v>
      </c>
      <c r="K1395" s="111" t="str">
        <f t="shared" si="474"/>
        <v>B</v>
      </c>
      <c r="L1395" s="412"/>
      <c r="M1395" s="3"/>
    </row>
    <row r="1396" spans="1:13">
      <c r="A1396" s="412" t="s">
        <v>2944</v>
      </c>
      <c r="B1396" s="412" t="str">
        <f t="shared" si="462"/>
        <v>202503</v>
      </c>
      <c r="C1396" s="412" t="str">
        <f t="shared" ca="1" si="475"/>
        <v>v1</v>
      </c>
      <c r="D1396" s="413" t="str">
        <f t="shared" ca="1" si="476"/>
        <v>10.99.</v>
      </c>
      <c r="E1396" s="412">
        <f t="shared" si="473"/>
        <v>0</v>
      </c>
      <c r="F1396" s="414">
        <f ca="1">OFFSET('Tabla III.4.'!$H$37,H1396-1,I1396-1)</f>
        <v>0</v>
      </c>
      <c r="G1396" s="412" t="str">
        <f ca="1">OFFSET('Tabla III.4.'!$H$1,0,I1396-1)</f>
        <v>06</v>
      </c>
      <c r="H1396" s="111">
        <f t="shared" si="477"/>
        <v>18</v>
      </c>
      <c r="I1396" s="111">
        <f t="shared" si="478"/>
        <v>6</v>
      </c>
      <c r="J1396" s="111" t="str">
        <f ca="1">+'Tabla III.4.'!$C$9</f>
        <v>Tabla III.4.</v>
      </c>
      <c r="K1396" s="111" t="str">
        <f t="shared" si="474"/>
        <v>B</v>
      </c>
      <c r="L1396" s="412"/>
      <c r="M1396" s="3"/>
    </row>
    <row r="1397" spans="1:13">
      <c r="A1397" s="412" t="s">
        <v>2944</v>
      </c>
      <c r="B1397" s="412" t="str">
        <f t="shared" si="462"/>
        <v>202503</v>
      </c>
      <c r="C1397" s="412" t="str">
        <f t="shared" ca="1" si="475"/>
        <v>v1</v>
      </c>
      <c r="D1397" s="413" t="str">
        <f t="shared" ca="1" si="476"/>
        <v>10.99.</v>
      </c>
      <c r="E1397" s="412">
        <f t="shared" si="473"/>
        <v>0</v>
      </c>
      <c r="F1397" s="414">
        <f ca="1">OFFSET('Tabla III.4.'!$H$37,H1397-1,I1397-1)</f>
        <v>0</v>
      </c>
      <c r="G1397" s="412" t="str">
        <f ca="1">OFFSET('Tabla III.4.'!$H$1,0,I1397-1)</f>
        <v>07</v>
      </c>
      <c r="H1397" s="111">
        <f t="shared" si="477"/>
        <v>18</v>
      </c>
      <c r="I1397" s="111">
        <f t="shared" si="478"/>
        <v>7</v>
      </c>
      <c r="J1397" s="111" t="str">
        <f ca="1">+'Tabla III.4.'!$C$9</f>
        <v>Tabla III.4.</v>
      </c>
      <c r="K1397" s="111" t="str">
        <f t="shared" si="474"/>
        <v>B</v>
      </c>
      <c r="L1397" s="412"/>
      <c r="M1397" s="3"/>
    </row>
    <row r="1398" spans="1:13">
      <c r="A1398" s="412" t="s">
        <v>2944</v>
      </c>
      <c r="B1398" s="412" t="str">
        <f t="shared" si="462"/>
        <v>202503</v>
      </c>
      <c r="C1398" s="412" t="str">
        <f t="shared" ca="1" si="475"/>
        <v>v1</v>
      </c>
      <c r="D1398" s="413" t="str">
        <f t="shared" ca="1" si="476"/>
        <v>10.99.</v>
      </c>
      <c r="E1398" s="412">
        <f t="shared" si="473"/>
        <v>0</v>
      </c>
      <c r="F1398" s="414">
        <f ca="1">OFFSET('Tabla III.4.'!$H$37,H1398-1,I1398-1)</f>
        <v>0</v>
      </c>
      <c r="G1398" s="412" t="str">
        <f ca="1">OFFSET('Tabla III.4.'!$H$1,0,I1398-1)</f>
        <v>08</v>
      </c>
      <c r="H1398" s="111">
        <f t="shared" si="477"/>
        <v>18</v>
      </c>
      <c r="I1398" s="111">
        <f t="shared" si="478"/>
        <v>8</v>
      </c>
      <c r="J1398" s="111" t="str">
        <f ca="1">+'Tabla III.4.'!$C$9</f>
        <v>Tabla III.4.</v>
      </c>
      <c r="K1398" s="111" t="str">
        <f t="shared" si="474"/>
        <v>B</v>
      </c>
      <c r="L1398" s="412"/>
      <c r="M1398" s="3"/>
    </row>
    <row r="1399" spans="1:13">
      <c r="A1399" s="412" t="s">
        <v>2944</v>
      </c>
      <c r="B1399" s="412" t="str">
        <f t="shared" si="462"/>
        <v>202503</v>
      </c>
      <c r="C1399" s="412" t="str">
        <f t="shared" ca="1" si="475"/>
        <v>v1</v>
      </c>
      <c r="D1399" s="413" t="str">
        <f t="shared" ca="1" si="476"/>
        <v>10.99.</v>
      </c>
      <c r="E1399" s="412">
        <f t="shared" si="473"/>
        <v>0</v>
      </c>
      <c r="F1399" s="414">
        <f ca="1">OFFSET('Tabla III.4.'!$H$37,H1399-1,I1399-1)</f>
        <v>0</v>
      </c>
      <c r="G1399" s="412" t="str">
        <f ca="1">OFFSET('Tabla III.4.'!$H$1,0,I1399-1)</f>
        <v>09</v>
      </c>
      <c r="H1399" s="111">
        <f t="shared" si="477"/>
        <v>18</v>
      </c>
      <c r="I1399" s="111">
        <f t="shared" si="478"/>
        <v>9</v>
      </c>
      <c r="J1399" s="111" t="str">
        <f ca="1">+'Tabla III.4.'!$C$9</f>
        <v>Tabla III.4.</v>
      </c>
      <c r="K1399" s="111" t="str">
        <f t="shared" si="474"/>
        <v>B</v>
      </c>
      <c r="L1399" s="412"/>
      <c r="M1399" s="3"/>
    </row>
    <row r="1400" spans="1:13">
      <c r="A1400" s="412" t="s">
        <v>2944</v>
      </c>
      <c r="B1400" s="412" t="str">
        <f t="shared" si="462"/>
        <v>202503</v>
      </c>
      <c r="C1400" s="412" t="str">
        <f t="shared" ca="1" si="475"/>
        <v>v1</v>
      </c>
      <c r="D1400" s="413" t="str">
        <f t="shared" ca="1" si="476"/>
        <v>10.99.</v>
      </c>
      <c r="E1400" s="412">
        <f t="shared" si="473"/>
        <v>0</v>
      </c>
      <c r="F1400" s="414">
        <f ca="1">OFFSET('Tabla III.4.'!$H$37,H1400-1,I1400-1)</f>
        <v>0</v>
      </c>
      <c r="G1400" s="412" t="str">
        <f ca="1">OFFSET('Tabla III.4.'!$H$1,0,I1400-1)</f>
        <v>10</v>
      </c>
      <c r="H1400" s="111">
        <f t="shared" si="477"/>
        <v>18</v>
      </c>
      <c r="I1400" s="111">
        <f t="shared" si="478"/>
        <v>10</v>
      </c>
      <c r="J1400" s="111" t="str">
        <f ca="1">+'Tabla III.4.'!$C$9</f>
        <v>Tabla III.4.</v>
      </c>
      <c r="K1400" s="111" t="str">
        <f t="shared" si="474"/>
        <v>B</v>
      </c>
      <c r="L1400" s="412"/>
      <c r="M1400" s="3"/>
    </row>
    <row r="1401" spans="1:13">
      <c r="A1401" s="412" t="s">
        <v>2944</v>
      </c>
      <c r="B1401" s="412" t="str">
        <f t="shared" si="462"/>
        <v>202503</v>
      </c>
      <c r="C1401" s="412" t="str">
        <f t="shared" ca="1" si="475"/>
        <v>v1</v>
      </c>
      <c r="D1401" s="413" t="str">
        <f t="shared" ca="1" si="476"/>
        <v>10.99.</v>
      </c>
      <c r="E1401" s="412">
        <f t="shared" si="473"/>
        <v>0</v>
      </c>
      <c r="F1401" s="414">
        <f ca="1">OFFSET('Tabla III.4.'!$H$37,H1401-1,I1401-1)</f>
        <v>0</v>
      </c>
      <c r="G1401" s="412" t="str">
        <f ca="1">OFFSET('Tabla III.4.'!$H$1,0,I1401-1)</f>
        <v>11</v>
      </c>
      <c r="H1401" s="111">
        <f t="shared" si="477"/>
        <v>18</v>
      </c>
      <c r="I1401" s="111">
        <f t="shared" si="478"/>
        <v>11</v>
      </c>
      <c r="J1401" s="111" t="str">
        <f ca="1">+'Tabla III.4.'!$C$9</f>
        <v>Tabla III.4.</v>
      </c>
      <c r="K1401" s="111" t="str">
        <f t="shared" si="474"/>
        <v>B</v>
      </c>
      <c r="L1401" s="412"/>
      <c r="M1401" s="3"/>
    </row>
    <row r="1402" spans="1:13">
      <c r="A1402" s="412" t="s">
        <v>2944</v>
      </c>
      <c r="B1402" s="412" t="str">
        <f t="shared" si="462"/>
        <v>202503</v>
      </c>
      <c r="C1402" s="412" t="str">
        <f t="shared" ca="1" si="475"/>
        <v>v1</v>
      </c>
      <c r="D1402" s="413" t="str">
        <f t="shared" ca="1" si="476"/>
        <v>10.99.</v>
      </c>
      <c r="E1402" s="412">
        <f t="shared" si="473"/>
        <v>0</v>
      </c>
      <c r="F1402" s="414">
        <f ca="1">OFFSET('Tabla III.4.'!$H$37,H1402-1,I1402-1)</f>
        <v>0</v>
      </c>
      <c r="G1402" s="412" t="str">
        <f ca="1">OFFSET('Tabla III.4.'!$H$1,0,I1402-1)</f>
        <v>12</v>
      </c>
      <c r="H1402" s="111">
        <f t="shared" si="477"/>
        <v>18</v>
      </c>
      <c r="I1402" s="111">
        <f t="shared" si="478"/>
        <v>12</v>
      </c>
      <c r="J1402" s="111" t="str">
        <f ca="1">+'Tabla III.4.'!$C$9</f>
        <v>Tabla III.4.</v>
      </c>
      <c r="K1402" s="111" t="str">
        <f t="shared" si="474"/>
        <v>B</v>
      </c>
      <c r="L1402" s="412"/>
      <c r="M1402" s="3"/>
    </row>
    <row r="1403" spans="1:13" s="1157" customFormat="1">
      <c r="A1403" s="475" t="s">
        <v>2944</v>
      </c>
      <c r="B1403" s="475" t="str">
        <f t="shared" si="462"/>
        <v>202503</v>
      </c>
      <c r="C1403" s="475" t="s">
        <v>2945</v>
      </c>
      <c r="D1403" s="476" t="str">
        <f ca="1">OFFSET('Tabla III.5.'!$F$12,H1403-1,0)</f>
        <v>11.01.</v>
      </c>
      <c r="E1403" s="475">
        <f t="shared" si="473"/>
        <v>0</v>
      </c>
      <c r="F1403" s="477">
        <f ca="1">OFFSET('Tabla III.5.'!$H$12,H1403-1,I1403-1)</f>
        <v>0</v>
      </c>
      <c r="G1403" s="475" t="str">
        <f ca="1">OFFSET('Tabla III.5.'!$H$1,0,I1403-1)</f>
        <v>01</v>
      </c>
      <c r="H1403" s="478">
        <v>1</v>
      </c>
      <c r="I1403" s="478">
        <v>1</v>
      </c>
      <c r="J1403" s="478" t="str">
        <f ca="1">+'Tabla III.5.'!$C$9</f>
        <v>Tabla III.5.</v>
      </c>
      <c r="K1403" s="478" t="s">
        <v>2266</v>
      </c>
      <c r="L1403" s="475">
        <v>1</v>
      </c>
      <c r="M1403" s="1156"/>
    </row>
    <row r="1404" spans="1:13" s="1157" customFormat="1">
      <c r="A1404" s="475" t="s">
        <v>2944</v>
      </c>
      <c r="B1404" s="475" t="str">
        <f t="shared" si="462"/>
        <v>202503</v>
      </c>
      <c r="C1404" s="475" t="str">
        <f ca="1">IF(G1404="01","v2","v1")</f>
        <v>v1</v>
      </c>
      <c r="D1404" s="476" t="str">
        <f ca="1">OFFSET('Tabla III.5.'!$F$12,H1404-1,0)</f>
        <v>11.01.</v>
      </c>
      <c r="E1404" s="475">
        <f t="shared" si="473"/>
        <v>0</v>
      </c>
      <c r="F1404" s="477">
        <f ca="1">OFFSET('Tabla III.5.'!$H$12,H1404-1,I1404-1)</f>
        <v>0</v>
      </c>
      <c r="G1404" s="475" t="str">
        <f ca="1">OFFSET('Tabla III.5.'!$H$1,0,I1404-1)</f>
        <v>02</v>
      </c>
      <c r="H1404" s="478">
        <f>+H1403</f>
        <v>1</v>
      </c>
      <c r="I1404" s="478">
        <f>+I1403+1</f>
        <v>2</v>
      </c>
      <c r="J1404" s="478" t="str">
        <f ca="1">+'Tabla III.5.'!$C$9</f>
        <v>Tabla III.5.</v>
      </c>
      <c r="K1404" s="478" t="s">
        <v>2266</v>
      </c>
      <c r="L1404" s="475"/>
      <c r="M1404" s="1156"/>
    </row>
    <row r="1405" spans="1:13" s="1157" customFormat="1">
      <c r="A1405" s="475" t="s">
        <v>2944</v>
      </c>
      <c r="B1405" s="475" t="str">
        <f t="shared" si="462"/>
        <v>202503</v>
      </c>
      <c r="C1405" s="475" t="str">
        <f ca="1">IF(G1405="01","v2","v1")</f>
        <v>v1</v>
      </c>
      <c r="D1405" s="476" t="str">
        <f ca="1">OFFSET('Tabla III.5.'!$F$12,H1405-1,0)</f>
        <v>11.01.</v>
      </c>
      <c r="E1405" s="475">
        <f t="shared" si="473"/>
        <v>0</v>
      </c>
      <c r="F1405" s="477">
        <f ca="1">OFFSET('Tabla III.5.'!$H$12,H1405-1,I1405-1)</f>
        <v>0</v>
      </c>
      <c r="G1405" s="475" t="str">
        <f ca="1">OFFSET('Tabla III.5.'!$H$1,0,I1405-1)</f>
        <v>03</v>
      </c>
      <c r="H1405" s="478">
        <f>+H1404</f>
        <v>1</v>
      </c>
      <c r="I1405" s="478">
        <f>+I1404+1</f>
        <v>3</v>
      </c>
      <c r="J1405" s="478" t="str">
        <f ca="1">+'Tabla III.5.'!$C$9</f>
        <v>Tabla III.5.</v>
      </c>
      <c r="K1405" s="478" t="s">
        <v>2266</v>
      </c>
      <c r="L1405" s="475"/>
      <c r="M1405" s="1156"/>
    </row>
    <row r="1406" spans="1:13" s="1157" customFormat="1">
      <c r="A1406" s="475" t="s">
        <v>2944</v>
      </c>
      <c r="B1406" s="475" t="str">
        <f t="shared" si="462"/>
        <v>202503</v>
      </c>
      <c r="C1406" s="475" t="str">
        <f ca="1">IF(G1406="01","v2","v1")</f>
        <v>v1</v>
      </c>
      <c r="D1406" s="476" t="str">
        <f ca="1">OFFSET('Tabla III.5.'!$F$12,H1406-1,0)</f>
        <v>11.01.</v>
      </c>
      <c r="E1406" s="475">
        <f t="shared" si="473"/>
        <v>0</v>
      </c>
      <c r="F1406" s="477">
        <f ca="1">OFFSET('Tabla III.5.'!$H$12,H1406-1,I1406-1)</f>
        <v>0</v>
      </c>
      <c r="G1406" s="475" t="str">
        <f ca="1">OFFSET('Tabla III.5.'!$H$1,0,I1406-1)</f>
        <v>04</v>
      </c>
      <c r="H1406" s="478">
        <f>+H1405</f>
        <v>1</v>
      </c>
      <c r="I1406" s="478">
        <f>+I1405+1</f>
        <v>4</v>
      </c>
      <c r="J1406" s="478" t="str">
        <f ca="1">+'Tabla III.5.'!$C$9</f>
        <v>Tabla III.5.</v>
      </c>
      <c r="K1406" s="478" t="s">
        <v>2266</v>
      </c>
      <c r="L1406" s="475"/>
      <c r="M1406" s="1156"/>
    </row>
    <row r="1407" spans="1:13" s="1157" customFormat="1">
      <c r="A1407" s="475" t="s">
        <v>2944</v>
      </c>
      <c r="B1407" s="475" t="str">
        <f t="shared" si="462"/>
        <v>202503</v>
      </c>
      <c r="C1407" s="475" t="str">
        <f ca="1">IF(G1407="01","v2","v1")</f>
        <v>v1</v>
      </c>
      <c r="D1407" s="476" t="str">
        <f ca="1">OFFSET('Tabla III.5.'!$F$12,H1407-1,0)</f>
        <v>11.01.</v>
      </c>
      <c r="E1407" s="475">
        <f t="shared" si="473"/>
        <v>0</v>
      </c>
      <c r="F1407" s="477">
        <f ca="1">OFFSET('Tabla III.5.'!$H$12,H1407-1,I1407-1)</f>
        <v>0</v>
      </c>
      <c r="G1407" s="475" t="str">
        <f ca="1">OFFSET('Tabla III.5.'!$H$1,0,I1407-1)</f>
        <v>05</v>
      </c>
      <c r="H1407" s="478">
        <f>+H1406</f>
        <v>1</v>
      </c>
      <c r="I1407" s="478">
        <f>+I1406+1</f>
        <v>5</v>
      </c>
      <c r="J1407" s="478" t="str">
        <f ca="1">+'Tabla III.5.'!$C$9</f>
        <v>Tabla III.5.</v>
      </c>
      <c r="K1407" s="478" t="s">
        <v>2266</v>
      </c>
      <c r="L1407" s="475"/>
      <c r="M1407" s="1156"/>
    </row>
    <row r="1408" spans="1:13" s="1157" customFormat="1">
      <c r="A1408" s="475" t="s">
        <v>2944</v>
      </c>
      <c r="B1408" s="475" t="str">
        <f t="shared" si="462"/>
        <v>202503</v>
      </c>
      <c r="C1408" s="475" t="str">
        <f ca="1">IF(G1408="01","v2","v1")</f>
        <v>v1</v>
      </c>
      <c r="D1408" s="476" t="str">
        <f ca="1">OFFSET('Tabla III.5.'!$F$12,H1408-1,0)</f>
        <v>11.01.</v>
      </c>
      <c r="E1408" s="475">
        <f t="shared" si="473"/>
        <v>0</v>
      </c>
      <c r="F1408" s="477">
        <f ca="1">OFFSET('Tabla III.5.'!$H$12,H1408-1,I1408-1)</f>
        <v>0</v>
      </c>
      <c r="G1408" s="475" t="str">
        <f ca="1">OFFSET('Tabla III.5.'!$H$1,0,I1408-1)</f>
        <v>06</v>
      </c>
      <c r="H1408" s="478">
        <f>+H1407</f>
        <v>1</v>
      </c>
      <c r="I1408" s="478">
        <f>+I1407+1</f>
        <v>6</v>
      </c>
      <c r="J1408" s="478" t="str">
        <f ca="1">+'Tabla III.5.'!$C$9</f>
        <v>Tabla III.5.</v>
      </c>
      <c r="K1408" s="478" t="s">
        <v>2266</v>
      </c>
      <c r="L1408" s="475"/>
      <c r="M1408" s="1156"/>
    </row>
    <row r="1409" spans="1:13">
      <c r="A1409" s="470" t="s">
        <v>2944</v>
      </c>
      <c r="B1409" s="470" t="str">
        <f t="shared" si="462"/>
        <v>202503</v>
      </c>
      <c r="C1409" s="470" t="s">
        <v>2945</v>
      </c>
      <c r="D1409" s="471" t="str">
        <f ca="1">OFFSET('Tabla III.5.'!$F$12,H1409-1,0)</f>
        <v>11.01.01.</v>
      </c>
      <c r="E1409" s="470">
        <f t="shared" si="473"/>
        <v>0</v>
      </c>
      <c r="F1409" s="472">
        <f ca="1">OFFSET('Tabla III.5.'!$H$12,H1409-1,I1409-1)</f>
        <v>0</v>
      </c>
      <c r="G1409" s="470" t="str">
        <f ca="1">OFFSET('Tabla III.5.'!$H$1,0,I1409-1)</f>
        <v>01</v>
      </c>
      <c r="H1409" s="473">
        <f>+H1403+1</f>
        <v>2</v>
      </c>
      <c r="I1409" s="473">
        <v>1</v>
      </c>
      <c r="J1409" s="473" t="str">
        <f ca="1">+'Tabla III.5.'!$C$9</f>
        <v>Tabla III.5.</v>
      </c>
      <c r="K1409" s="473" t="s">
        <v>2266</v>
      </c>
      <c r="L1409" s="470">
        <f>+L1403+1</f>
        <v>2</v>
      </c>
      <c r="M1409" s="3"/>
    </row>
    <row r="1410" spans="1:13">
      <c r="A1410" s="470" t="s">
        <v>2944</v>
      </c>
      <c r="B1410" s="470" t="str">
        <f t="shared" si="462"/>
        <v>202503</v>
      </c>
      <c r="C1410" s="470" t="str">
        <f ca="1">IF(G1410="01","v2","v1")</f>
        <v>v1</v>
      </c>
      <c r="D1410" s="471" t="str">
        <f ca="1">OFFSET('Tabla III.5.'!$F$12,H1410-1,0)</f>
        <v>11.01.01.</v>
      </c>
      <c r="E1410" s="470">
        <f t="shared" si="473"/>
        <v>0</v>
      </c>
      <c r="F1410" s="472">
        <f ca="1">OFFSET('Tabla III.5.'!$H$12,H1410-1,I1410-1)</f>
        <v>0</v>
      </c>
      <c r="G1410" s="470" t="str">
        <f ca="1">OFFSET('Tabla III.5.'!$H$1,0,I1410-1)</f>
        <v>02</v>
      </c>
      <c r="H1410" s="473">
        <f>+H1409</f>
        <v>2</v>
      </c>
      <c r="I1410" s="473">
        <f>+I1409+1</f>
        <v>2</v>
      </c>
      <c r="J1410" s="473" t="str">
        <f ca="1">+'Tabla III.5.'!$C$9</f>
        <v>Tabla III.5.</v>
      </c>
      <c r="K1410" s="473" t="s">
        <v>2266</v>
      </c>
      <c r="L1410" s="470"/>
      <c r="M1410" s="3"/>
    </row>
    <row r="1411" spans="1:13">
      <c r="A1411" s="470" t="s">
        <v>2944</v>
      </c>
      <c r="B1411" s="470" t="str">
        <f t="shared" si="462"/>
        <v>202503</v>
      </c>
      <c r="C1411" s="470" t="str">
        <f ca="1">IF(G1411="01","v2","v1")</f>
        <v>v1</v>
      </c>
      <c r="D1411" s="471" t="str">
        <f ca="1">OFFSET('Tabla III.5.'!$F$12,H1411-1,0)</f>
        <v>11.01.01.</v>
      </c>
      <c r="E1411" s="470">
        <f t="shared" si="473"/>
        <v>0</v>
      </c>
      <c r="F1411" s="472">
        <f ca="1">OFFSET('Tabla III.5.'!$H$12,H1411-1,I1411-1)</f>
        <v>0</v>
      </c>
      <c r="G1411" s="470" t="str">
        <f ca="1">OFFSET('Tabla III.5.'!$H$1,0,I1411-1)</f>
        <v>03</v>
      </c>
      <c r="H1411" s="473">
        <f>+H1410</f>
        <v>2</v>
      </c>
      <c r="I1411" s="473">
        <f>+I1410+1</f>
        <v>3</v>
      </c>
      <c r="J1411" s="473" t="str">
        <f ca="1">+'Tabla III.5.'!$C$9</f>
        <v>Tabla III.5.</v>
      </c>
      <c r="K1411" s="473" t="s">
        <v>2266</v>
      </c>
      <c r="L1411" s="470"/>
      <c r="M1411" s="3"/>
    </row>
    <row r="1412" spans="1:13">
      <c r="A1412" s="470" t="s">
        <v>2944</v>
      </c>
      <c r="B1412" s="470" t="str">
        <f t="shared" si="462"/>
        <v>202503</v>
      </c>
      <c r="C1412" s="470" t="str">
        <f ca="1">IF(G1412="01","v2","v1")</f>
        <v>v1</v>
      </c>
      <c r="D1412" s="471" t="str">
        <f ca="1">OFFSET('Tabla III.5.'!$F$12,H1412-1,0)</f>
        <v>11.01.01.</v>
      </c>
      <c r="E1412" s="470">
        <f t="shared" si="473"/>
        <v>0</v>
      </c>
      <c r="F1412" s="472">
        <f ca="1">OFFSET('Tabla III.5.'!$H$12,H1412-1,I1412-1)</f>
        <v>0</v>
      </c>
      <c r="G1412" s="470" t="str">
        <f ca="1">OFFSET('Tabla III.5.'!$H$1,0,I1412-1)</f>
        <v>04</v>
      </c>
      <c r="H1412" s="473">
        <f>+H1411</f>
        <v>2</v>
      </c>
      <c r="I1412" s="473">
        <f>+I1411+1</f>
        <v>4</v>
      </c>
      <c r="J1412" s="473" t="str">
        <f ca="1">+'Tabla III.5.'!$C$9</f>
        <v>Tabla III.5.</v>
      </c>
      <c r="K1412" s="473" t="s">
        <v>2266</v>
      </c>
      <c r="L1412" s="470"/>
      <c r="M1412" s="3"/>
    </row>
    <row r="1413" spans="1:13">
      <c r="A1413" s="470" t="s">
        <v>2944</v>
      </c>
      <c r="B1413" s="470" t="str">
        <f t="shared" si="462"/>
        <v>202503</v>
      </c>
      <c r="C1413" s="470" t="str">
        <f ca="1">IF(G1413="01","v2","v1")</f>
        <v>v1</v>
      </c>
      <c r="D1413" s="471" t="str">
        <f ca="1">OFFSET('Tabla III.5.'!$F$12,H1413-1,0)</f>
        <v>11.01.01.</v>
      </c>
      <c r="E1413" s="470">
        <f t="shared" si="473"/>
        <v>0</v>
      </c>
      <c r="F1413" s="472">
        <f ca="1">OFFSET('Tabla III.5.'!$H$12,H1413-1,I1413-1)</f>
        <v>0</v>
      </c>
      <c r="G1413" s="470" t="str">
        <f ca="1">OFFSET('Tabla III.5.'!$H$1,0,I1413-1)</f>
        <v>05</v>
      </c>
      <c r="H1413" s="473">
        <f>+H1412</f>
        <v>2</v>
      </c>
      <c r="I1413" s="473">
        <f>+I1412+1</f>
        <v>5</v>
      </c>
      <c r="J1413" s="473" t="str">
        <f ca="1">+'Tabla III.5.'!$C$9</f>
        <v>Tabla III.5.</v>
      </c>
      <c r="K1413" s="473" t="s">
        <v>2266</v>
      </c>
      <c r="L1413" s="470"/>
      <c r="M1413" s="3"/>
    </row>
    <row r="1414" spans="1:13">
      <c r="A1414" s="470" t="s">
        <v>2944</v>
      </c>
      <c r="B1414" s="470" t="str">
        <f t="shared" si="462"/>
        <v>202503</v>
      </c>
      <c r="C1414" s="470" t="str">
        <f ca="1">IF(G1414="01","v2","v1")</f>
        <v>v1</v>
      </c>
      <c r="D1414" s="471" t="str">
        <f ca="1">OFFSET('Tabla III.5.'!$F$12,H1414-1,0)</f>
        <v>11.01.01.</v>
      </c>
      <c r="E1414" s="470">
        <f t="shared" si="473"/>
        <v>0</v>
      </c>
      <c r="F1414" s="472">
        <f ca="1">OFFSET('Tabla III.5.'!$H$12,H1414-1,I1414-1)</f>
        <v>0</v>
      </c>
      <c r="G1414" s="470" t="str">
        <f ca="1">OFFSET('Tabla III.5.'!$H$1,0,I1414-1)</f>
        <v>06</v>
      </c>
      <c r="H1414" s="473">
        <f>+H1413</f>
        <v>2</v>
      </c>
      <c r="I1414" s="473">
        <f>+I1413+1</f>
        <v>6</v>
      </c>
      <c r="J1414" s="473" t="str">
        <f ca="1">+'Tabla III.5.'!$C$9</f>
        <v>Tabla III.5.</v>
      </c>
      <c r="K1414" s="473" t="s">
        <v>2266</v>
      </c>
      <c r="L1414" s="470"/>
      <c r="M1414" s="3"/>
    </row>
    <row r="1415" spans="1:13">
      <c r="A1415" s="104" t="s">
        <v>2944</v>
      </c>
      <c r="B1415" s="104" t="str">
        <f t="shared" si="462"/>
        <v>202503</v>
      </c>
      <c r="C1415" s="104" t="s">
        <v>2945</v>
      </c>
      <c r="D1415" s="455" t="str">
        <f ca="1">OFFSET('Tabla III.5.'!$F$12,H1415-1,0)</f>
        <v>11.01.02.</v>
      </c>
      <c r="E1415" s="104">
        <f t="shared" si="473"/>
        <v>0</v>
      </c>
      <c r="F1415" s="456">
        <f ca="1">OFFSET('Tabla III.5.'!$H$12,H1415-1,I1415-1)</f>
        <v>0</v>
      </c>
      <c r="G1415" s="104" t="str">
        <f ca="1">OFFSET('Tabla III.5.'!$H$1,0,I1415-1)</f>
        <v>01</v>
      </c>
      <c r="H1415" s="457">
        <f>+H1409+1</f>
        <v>3</v>
      </c>
      <c r="I1415" s="457">
        <v>1</v>
      </c>
      <c r="J1415" s="457" t="str">
        <f ca="1">+'Tabla III.5.'!$C$9</f>
        <v>Tabla III.5.</v>
      </c>
      <c r="K1415" s="457" t="s">
        <v>2266</v>
      </c>
      <c r="L1415" s="470">
        <f>+L1409+1</f>
        <v>3</v>
      </c>
      <c r="M1415" s="3"/>
    </row>
    <row r="1416" spans="1:13">
      <c r="A1416" s="104" t="s">
        <v>2944</v>
      </c>
      <c r="B1416" s="104" t="str">
        <f t="shared" si="462"/>
        <v>202503</v>
      </c>
      <c r="C1416" s="104" t="str">
        <f ca="1">IF(G1416="01","v2","v1")</f>
        <v>v1</v>
      </c>
      <c r="D1416" s="455" t="str">
        <f ca="1">OFFSET('Tabla III.5.'!$F$12,H1416-1,0)</f>
        <v>11.01.02.</v>
      </c>
      <c r="E1416" s="104">
        <f t="shared" si="473"/>
        <v>0</v>
      </c>
      <c r="F1416" s="456">
        <f ca="1">OFFSET('Tabla III.5.'!$H$12,H1416-1,I1416-1)</f>
        <v>0</v>
      </c>
      <c r="G1416" s="104" t="str">
        <f ca="1">OFFSET('Tabla III.5.'!$H$1,0,I1416-1)</f>
        <v>02</v>
      </c>
      <c r="H1416" s="457">
        <f>+H1415</f>
        <v>3</v>
      </c>
      <c r="I1416" s="457">
        <f>+I1415+1</f>
        <v>2</v>
      </c>
      <c r="J1416" s="457" t="str">
        <f ca="1">+'Tabla III.5.'!$C$9</f>
        <v>Tabla III.5.</v>
      </c>
      <c r="K1416" s="457" t="s">
        <v>2266</v>
      </c>
      <c r="L1416" s="470"/>
      <c r="M1416" s="3"/>
    </row>
    <row r="1417" spans="1:13">
      <c r="A1417" s="104" t="s">
        <v>2944</v>
      </c>
      <c r="B1417" s="104" t="str">
        <f t="shared" si="462"/>
        <v>202503</v>
      </c>
      <c r="C1417" s="104" t="str">
        <f ca="1">IF(G1417="01","v2","v1")</f>
        <v>v1</v>
      </c>
      <c r="D1417" s="455" t="str">
        <f ca="1">OFFSET('Tabla III.5.'!$F$12,H1417-1,0)</f>
        <v>11.01.02.</v>
      </c>
      <c r="E1417" s="104">
        <f t="shared" si="473"/>
        <v>0</v>
      </c>
      <c r="F1417" s="456">
        <f ca="1">OFFSET('Tabla III.5.'!$H$12,H1417-1,I1417-1)</f>
        <v>0</v>
      </c>
      <c r="G1417" s="104" t="str">
        <f ca="1">OFFSET('Tabla III.5.'!$H$1,0,I1417-1)</f>
        <v>03</v>
      </c>
      <c r="H1417" s="457">
        <f>+H1416</f>
        <v>3</v>
      </c>
      <c r="I1417" s="457">
        <f>+I1416+1</f>
        <v>3</v>
      </c>
      <c r="J1417" s="457" t="str">
        <f ca="1">+'Tabla III.5.'!$C$9</f>
        <v>Tabla III.5.</v>
      </c>
      <c r="K1417" s="457" t="s">
        <v>2266</v>
      </c>
      <c r="L1417" s="470"/>
      <c r="M1417" s="3"/>
    </row>
    <row r="1418" spans="1:13">
      <c r="A1418" s="104" t="s">
        <v>2944</v>
      </c>
      <c r="B1418" s="104" t="str">
        <f t="shared" si="462"/>
        <v>202503</v>
      </c>
      <c r="C1418" s="104" t="str">
        <f ca="1">IF(G1418="01","v2","v1")</f>
        <v>v1</v>
      </c>
      <c r="D1418" s="455" t="str">
        <f ca="1">OFFSET('Tabla III.5.'!$F$12,H1418-1,0)</f>
        <v>11.01.02.</v>
      </c>
      <c r="E1418" s="104">
        <f t="shared" si="473"/>
        <v>0</v>
      </c>
      <c r="F1418" s="456">
        <f ca="1">OFFSET('Tabla III.5.'!$H$12,H1418-1,I1418-1)</f>
        <v>0</v>
      </c>
      <c r="G1418" s="104" t="str">
        <f ca="1">OFFSET('Tabla III.5.'!$H$1,0,I1418-1)</f>
        <v>04</v>
      </c>
      <c r="H1418" s="457">
        <f>+H1417</f>
        <v>3</v>
      </c>
      <c r="I1418" s="457">
        <f>+I1417+1</f>
        <v>4</v>
      </c>
      <c r="J1418" s="457" t="str">
        <f ca="1">+'Tabla III.5.'!$C$9</f>
        <v>Tabla III.5.</v>
      </c>
      <c r="K1418" s="457" t="s">
        <v>2266</v>
      </c>
      <c r="L1418" s="470"/>
      <c r="M1418" s="3"/>
    </row>
    <row r="1419" spans="1:13">
      <c r="A1419" s="104" t="s">
        <v>2944</v>
      </c>
      <c r="B1419" s="104" t="str">
        <f t="shared" si="462"/>
        <v>202503</v>
      </c>
      <c r="C1419" s="104" t="str">
        <f ca="1">IF(G1419="01","v2","v1")</f>
        <v>v1</v>
      </c>
      <c r="D1419" s="455" t="str">
        <f ca="1">OFFSET('Tabla III.5.'!$F$12,H1419-1,0)</f>
        <v>11.01.02.</v>
      </c>
      <c r="E1419" s="104">
        <f t="shared" si="473"/>
        <v>0</v>
      </c>
      <c r="F1419" s="456">
        <f ca="1">OFFSET('Tabla III.5.'!$H$12,H1419-1,I1419-1)</f>
        <v>0</v>
      </c>
      <c r="G1419" s="104" t="str">
        <f ca="1">OFFSET('Tabla III.5.'!$H$1,0,I1419-1)</f>
        <v>05</v>
      </c>
      <c r="H1419" s="457">
        <f>+H1418</f>
        <v>3</v>
      </c>
      <c r="I1419" s="457">
        <f>+I1418+1</f>
        <v>5</v>
      </c>
      <c r="J1419" s="457" t="str">
        <f ca="1">+'Tabla III.5.'!$C$9</f>
        <v>Tabla III.5.</v>
      </c>
      <c r="K1419" s="457" t="s">
        <v>2266</v>
      </c>
      <c r="L1419" s="470"/>
      <c r="M1419" s="3"/>
    </row>
    <row r="1420" spans="1:13">
      <c r="A1420" s="104" t="s">
        <v>2944</v>
      </c>
      <c r="B1420" s="104" t="str">
        <f t="shared" si="462"/>
        <v>202503</v>
      </c>
      <c r="C1420" s="104" t="str">
        <f ca="1">IF(G1420="01","v2","v1")</f>
        <v>v1</v>
      </c>
      <c r="D1420" s="455" t="str">
        <f ca="1">OFFSET('Tabla III.5.'!$F$12,H1420-1,0)</f>
        <v>11.01.02.</v>
      </c>
      <c r="E1420" s="104">
        <f t="shared" si="473"/>
        <v>0</v>
      </c>
      <c r="F1420" s="456">
        <f ca="1">OFFSET('Tabla III.5.'!$H$12,H1420-1,I1420-1)</f>
        <v>0</v>
      </c>
      <c r="G1420" s="104" t="str">
        <f ca="1">OFFSET('Tabla III.5.'!$H$1,0,I1420-1)</f>
        <v>06</v>
      </c>
      <c r="H1420" s="457">
        <f>+H1419</f>
        <v>3</v>
      </c>
      <c r="I1420" s="457">
        <f>+I1419+1</f>
        <v>6</v>
      </c>
      <c r="J1420" s="457" t="str">
        <f ca="1">+'Tabla III.5.'!$C$9</f>
        <v>Tabla III.5.</v>
      </c>
      <c r="K1420" s="457" t="s">
        <v>2266</v>
      </c>
      <c r="L1420" s="470"/>
      <c r="M1420" s="3"/>
    </row>
    <row r="1421" spans="1:13">
      <c r="A1421" s="470" t="s">
        <v>2944</v>
      </c>
      <c r="B1421" s="470" t="str">
        <f t="shared" si="462"/>
        <v>202503</v>
      </c>
      <c r="C1421" s="470" t="s">
        <v>2945</v>
      </c>
      <c r="D1421" s="471" t="str">
        <f ca="1">OFFSET('Tabla III.5.'!$F$12,H1421-1,0)</f>
        <v>11.02.</v>
      </c>
      <c r="E1421" s="470">
        <f t="shared" si="473"/>
        <v>0</v>
      </c>
      <c r="F1421" s="472">
        <f ca="1">OFFSET('Tabla III.5.'!$H$12,H1421-1,I1421-1)</f>
        <v>0</v>
      </c>
      <c r="G1421" s="470" t="str">
        <f ca="1">OFFSET('Tabla III.5.'!$H$1,0,I1421-1)</f>
        <v>01</v>
      </c>
      <c r="H1421" s="473">
        <f>+H1415+1</f>
        <v>4</v>
      </c>
      <c r="I1421" s="473">
        <v>1</v>
      </c>
      <c r="J1421" s="473" t="str">
        <f ca="1">+'Tabla III.5.'!$C$9</f>
        <v>Tabla III.5.</v>
      </c>
      <c r="K1421" s="473" t="s">
        <v>2266</v>
      </c>
      <c r="L1421" s="470">
        <f>+L1415+1</f>
        <v>4</v>
      </c>
      <c r="M1421" s="3"/>
    </row>
    <row r="1422" spans="1:13">
      <c r="A1422" s="470" t="s">
        <v>2944</v>
      </c>
      <c r="B1422" s="470" t="str">
        <f t="shared" si="462"/>
        <v>202503</v>
      </c>
      <c r="C1422" s="470" t="str">
        <f ca="1">IF(G1422="01","v2","v1")</f>
        <v>v1</v>
      </c>
      <c r="D1422" s="471" t="str">
        <f ca="1">OFFSET('Tabla III.5.'!$F$12,H1422-1,0)</f>
        <v>11.02.</v>
      </c>
      <c r="E1422" s="470">
        <f t="shared" si="473"/>
        <v>0</v>
      </c>
      <c r="F1422" s="472">
        <f ca="1">OFFSET('Tabla III.5.'!$H$12,H1422-1,I1422-1)</f>
        <v>0</v>
      </c>
      <c r="G1422" s="470" t="str">
        <f ca="1">OFFSET('Tabla III.5.'!$H$1,0,I1422-1)</f>
        <v>02</v>
      </c>
      <c r="H1422" s="473">
        <f>+H1421</f>
        <v>4</v>
      </c>
      <c r="I1422" s="473">
        <f>+I1421+1</f>
        <v>2</v>
      </c>
      <c r="J1422" s="473" t="str">
        <f ca="1">+'Tabla III.5.'!$C$9</f>
        <v>Tabla III.5.</v>
      </c>
      <c r="K1422" s="473" t="s">
        <v>2266</v>
      </c>
      <c r="L1422" s="470"/>
      <c r="M1422" s="3"/>
    </row>
    <row r="1423" spans="1:13">
      <c r="A1423" s="470" t="s">
        <v>2944</v>
      </c>
      <c r="B1423" s="470" t="str">
        <f t="shared" si="462"/>
        <v>202503</v>
      </c>
      <c r="C1423" s="470" t="str">
        <f ca="1">IF(G1423="01","v2","v1")</f>
        <v>v1</v>
      </c>
      <c r="D1423" s="471" t="str">
        <f ca="1">OFFSET('Tabla III.5.'!$F$12,H1423-1,0)</f>
        <v>11.02.</v>
      </c>
      <c r="E1423" s="470">
        <f t="shared" si="473"/>
        <v>0</v>
      </c>
      <c r="F1423" s="472">
        <f ca="1">OFFSET('Tabla III.5.'!$H$12,H1423-1,I1423-1)</f>
        <v>0</v>
      </c>
      <c r="G1423" s="470" t="str">
        <f ca="1">OFFSET('Tabla III.5.'!$H$1,0,I1423-1)</f>
        <v>03</v>
      </c>
      <c r="H1423" s="473">
        <f>+H1422</f>
        <v>4</v>
      </c>
      <c r="I1423" s="473">
        <f>+I1422+1</f>
        <v>3</v>
      </c>
      <c r="J1423" s="473" t="str">
        <f ca="1">+'Tabla III.5.'!$C$9</f>
        <v>Tabla III.5.</v>
      </c>
      <c r="K1423" s="473" t="s">
        <v>2266</v>
      </c>
      <c r="L1423" s="470"/>
      <c r="M1423" s="3"/>
    </row>
    <row r="1424" spans="1:13">
      <c r="A1424" s="470" t="s">
        <v>2944</v>
      </c>
      <c r="B1424" s="470" t="str">
        <f t="shared" si="462"/>
        <v>202503</v>
      </c>
      <c r="C1424" s="470" t="str">
        <f ca="1">IF(G1424="01","v2","v1")</f>
        <v>v1</v>
      </c>
      <c r="D1424" s="471" t="str">
        <f ca="1">OFFSET('Tabla III.5.'!$F$12,H1424-1,0)</f>
        <v>11.02.</v>
      </c>
      <c r="E1424" s="470">
        <f t="shared" si="473"/>
        <v>0</v>
      </c>
      <c r="F1424" s="472">
        <f ca="1">OFFSET('Tabla III.5.'!$H$12,H1424-1,I1424-1)</f>
        <v>0</v>
      </c>
      <c r="G1424" s="470" t="str">
        <f ca="1">OFFSET('Tabla III.5.'!$H$1,0,I1424-1)</f>
        <v>04</v>
      </c>
      <c r="H1424" s="473">
        <f>+H1423</f>
        <v>4</v>
      </c>
      <c r="I1424" s="473">
        <f>+I1423+1</f>
        <v>4</v>
      </c>
      <c r="J1424" s="473" t="str">
        <f ca="1">+'Tabla III.5.'!$C$9</f>
        <v>Tabla III.5.</v>
      </c>
      <c r="K1424" s="473" t="s">
        <v>2266</v>
      </c>
      <c r="L1424" s="470"/>
      <c r="M1424" s="3"/>
    </row>
    <row r="1425" spans="1:13">
      <c r="A1425" s="470" t="s">
        <v>2944</v>
      </c>
      <c r="B1425" s="470" t="str">
        <f t="shared" si="462"/>
        <v>202503</v>
      </c>
      <c r="C1425" s="470" t="str">
        <f ca="1">IF(G1425="01","v2","v1")</f>
        <v>v1</v>
      </c>
      <c r="D1425" s="471" t="str">
        <f ca="1">OFFSET('Tabla III.5.'!$F$12,H1425-1,0)</f>
        <v>11.02.</v>
      </c>
      <c r="E1425" s="470">
        <f t="shared" si="473"/>
        <v>0</v>
      </c>
      <c r="F1425" s="472">
        <f ca="1">OFFSET('Tabla III.5.'!$H$12,H1425-1,I1425-1)</f>
        <v>0</v>
      </c>
      <c r="G1425" s="470" t="str">
        <f ca="1">OFFSET('Tabla III.5.'!$H$1,0,I1425-1)</f>
        <v>05</v>
      </c>
      <c r="H1425" s="473">
        <f>+H1424</f>
        <v>4</v>
      </c>
      <c r="I1425" s="473">
        <f>+I1424+1</f>
        <v>5</v>
      </c>
      <c r="J1425" s="473" t="str">
        <f ca="1">+'Tabla III.5.'!$C$9</f>
        <v>Tabla III.5.</v>
      </c>
      <c r="K1425" s="473" t="s">
        <v>2266</v>
      </c>
      <c r="L1425" s="470"/>
      <c r="M1425" s="3"/>
    </row>
    <row r="1426" spans="1:13">
      <c r="A1426" s="470" t="s">
        <v>2944</v>
      </c>
      <c r="B1426" s="470" t="str">
        <f t="shared" si="462"/>
        <v>202503</v>
      </c>
      <c r="C1426" s="470" t="str">
        <f ca="1">IF(G1426="01","v2","v1")</f>
        <v>v1</v>
      </c>
      <c r="D1426" s="471" t="str">
        <f ca="1">OFFSET('Tabla III.5.'!$F$12,H1426-1,0)</f>
        <v>11.02.</v>
      </c>
      <c r="E1426" s="470">
        <f t="shared" si="473"/>
        <v>0</v>
      </c>
      <c r="F1426" s="472">
        <f ca="1">OFFSET('Tabla III.5.'!$H$12,H1426-1,I1426-1)</f>
        <v>0</v>
      </c>
      <c r="G1426" s="470" t="str">
        <f ca="1">OFFSET('Tabla III.5.'!$H$1,0,I1426-1)</f>
        <v>06</v>
      </c>
      <c r="H1426" s="473">
        <f>+H1425</f>
        <v>4</v>
      </c>
      <c r="I1426" s="473">
        <f>+I1425+1</f>
        <v>6</v>
      </c>
      <c r="J1426" s="473" t="str">
        <f ca="1">+'Tabla III.5.'!$C$9</f>
        <v>Tabla III.5.</v>
      </c>
      <c r="K1426" s="473" t="s">
        <v>2266</v>
      </c>
      <c r="L1426" s="470"/>
      <c r="M1426" s="3"/>
    </row>
    <row r="1427" spans="1:13">
      <c r="A1427" s="104" t="s">
        <v>2944</v>
      </c>
      <c r="B1427" s="104" t="str">
        <f t="shared" ref="B1427:B1490" si="479">PERIODO</f>
        <v>202503</v>
      </c>
      <c r="C1427" s="104" t="s">
        <v>2945</v>
      </c>
      <c r="D1427" s="455" t="str">
        <f ca="1">OFFSET('Tabla III.5.'!$F$12,H1427-1,0)</f>
        <v>11.02.01.</v>
      </c>
      <c r="E1427" s="104">
        <f t="shared" si="473"/>
        <v>0</v>
      </c>
      <c r="F1427" s="456">
        <f ca="1">OFFSET('Tabla III.5.'!$H$12,H1427-1,I1427-1)</f>
        <v>0</v>
      </c>
      <c r="G1427" s="104" t="str">
        <f ca="1">OFFSET('Tabla III.5.'!$H$1,0,I1427-1)</f>
        <v>01</v>
      </c>
      <c r="H1427" s="457">
        <f>+H1421+1</f>
        <v>5</v>
      </c>
      <c r="I1427" s="457">
        <v>1</v>
      </c>
      <c r="J1427" s="457" t="str">
        <f ca="1">+'Tabla III.5.'!$C$9</f>
        <v>Tabla III.5.</v>
      </c>
      <c r="K1427" s="457" t="s">
        <v>2266</v>
      </c>
      <c r="L1427" s="470">
        <f>+L1421+1</f>
        <v>5</v>
      </c>
      <c r="M1427" s="3"/>
    </row>
    <row r="1428" spans="1:13">
      <c r="A1428" s="104" t="s">
        <v>2944</v>
      </c>
      <c r="B1428" s="104" t="str">
        <f t="shared" si="479"/>
        <v>202503</v>
      </c>
      <c r="C1428" s="104" t="str">
        <f ca="1">IF(G1428="01","v2","v1")</f>
        <v>v1</v>
      </c>
      <c r="D1428" s="455" t="str">
        <f ca="1">OFFSET('Tabla III.5.'!$F$12,H1428-1,0)</f>
        <v>11.02.01.</v>
      </c>
      <c r="E1428" s="104">
        <f t="shared" si="473"/>
        <v>0</v>
      </c>
      <c r="F1428" s="456">
        <f ca="1">OFFSET('Tabla III.5.'!$H$12,H1428-1,I1428-1)</f>
        <v>0</v>
      </c>
      <c r="G1428" s="104" t="str">
        <f ca="1">OFFSET('Tabla III.5.'!$H$1,0,I1428-1)</f>
        <v>02</v>
      </c>
      <c r="H1428" s="457">
        <f>+H1427</f>
        <v>5</v>
      </c>
      <c r="I1428" s="457">
        <f>+I1427+1</f>
        <v>2</v>
      </c>
      <c r="J1428" s="457" t="str">
        <f ca="1">+'Tabla III.5.'!$C$9</f>
        <v>Tabla III.5.</v>
      </c>
      <c r="K1428" s="457" t="s">
        <v>2266</v>
      </c>
      <c r="L1428" s="470"/>
      <c r="M1428" s="3"/>
    </row>
    <row r="1429" spans="1:13">
      <c r="A1429" s="104" t="s">
        <v>2944</v>
      </c>
      <c r="B1429" s="104" t="str">
        <f t="shared" si="479"/>
        <v>202503</v>
      </c>
      <c r="C1429" s="104" t="str">
        <f ca="1">IF(G1429="01","v2","v1")</f>
        <v>v1</v>
      </c>
      <c r="D1429" s="455" t="str">
        <f ca="1">OFFSET('Tabla III.5.'!$F$12,H1429-1,0)</f>
        <v>11.02.01.</v>
      </c>
      <c r="E1429" s="104">
        <f t="shared" si="473"/>
        <v>0</v>
      </c>
      <c r="F1429" s="456">
        <f ca="1">OFFSET('Tabla III.5.'!$H$12,H1429-1,I1429-1)</f>
        <v>0</v>
      </c>
      <c r="G1429" s="104" t="str">
        <f ca="1">OFFSET('Tabla III.5.'!$H$1,0,I1429-1)</f>
        <v>03</v>
      </c>
      <c r="H1429" s="457">
        <f>+H1428</f>
        <v>5</v>
      </c>
      <c r="I1429" s="457">
        <f>+I1428+1</f>
        <v>3</v>
      </c>
      <c r="J1429" s="457" t="str">
        <f ca="1">+'Tabla III.5.'!$C$9</f>
        <v>Tabla III.5.</v>
      </c>
      <c r="K1429" s="457" t="s">
        <v>2266</v>
      </c>
      <c r="L1429" s="470"/>
      <c r="M1429" s="3"/>
    </row>
    <row r="1430" spans="1:13">
      <c r="A1430" s="104" t="s">
        <v>2944</v>
      </c>
      <c r="B1430" s="104" t="str">
        <f t="shared" si="479"/>
        <v>202503</v>
      </c>
      <c r="C1430" s="104" t="str">
        <f ca="1">IF(G1430="01","v2","v1")</f>
        <v>v1</v>
      </c>
      <c r="D1430" s="455" t="str">
        <f ca="1">OFFSET('Tabla III.5.'!$F$12,H1430-1,0)</f>
        <v>11.02.01.</v>
      </c>
      <c r="E1430" s="104">
        <f t="shared" si="473"/>
        <v>0</v>
      </c>
      <c r="F1430" s="456">
        <f ca="1">OFFSET('Tabla III.5.'!$H$12,H1430-1,I1430-1)</f>
        <v>0</v>
      </c>
      <c r="G1430" s="104" t="str">
        <f ca="1">OFFSET('Tabla III.5.'!$H$1,0,I1430-1)</f>
        <v>04</v>
      </c>
      <c r="H1430" s="457">
        <f>+H1429</f>
        <v>5</v>
      </c>
      <c r="I1430" s="457">
        <f>+I1429+1</f>
        <v>4</v>
      </c>
      <c r="J1430" s="457" t="str">
        <f ca="1">+'Tabla III.5.'!$C$9</f>
        <v>Tabla III.5.</v>
      </c>
      <c r="K1430" s="457" t="s">
        <v>2266</v>
      </c>
      <c r="L1430" s="470"/>
      <c r="M1430" s="3"/>
    </row>
    <row r="1431" spans="1:13">
      <c r="A1431" s="104" t="s">
        <v>2944</v>
      </c>
      <c r="B1431" s="104" t="str">
        <f t="shared" si="479"/>
        <v>202503</v>
      </c>
      <c r="C1431" s="104" t="str">
        <f ca="1">IF(G1431="01","v2","v1")</f>
        <v>v1</v>
      </c>
      <c r="D1431" s="455" t="str">
        <f ca="1">OFFSET('Tabla III.5.'!$F$12,H1431-1,0)</f>
        <v>11.02.01.</v>
      </c>
      <c r="E1431" s="104">
        <f t="shared" si="473"/>
        <v>0</v>
      </c>
      <c r="F1431" s="456">
        <f ca="1">OFFSET('Tabla III.5.'!$H$12,H1431-1,I1431-1)</f>
        <v>0</v>
      </c>
      <c r="G1431" s="104" t="str">
        <f ca="1">OFFSET('Tabla III.5.'!$H$1,0,I1431-1)</f>
        <v>05</v>
      </c>
      <c r="H1431" s="457">
        <f>+H1430</f>
        <v>5</v>
      </c>
      <c r="I1431" s="457">
        <f>+I1430+1</f>
        <v>5</v>
      </c>
      <c r="J1431" s="457" t="str">
        <f ca="1">+'Tabla III.5.'!$C$9</f>
        <v>Tabla III.5.</v>
      </c>
      <c r="K1431" s="457" t="s">
        <v>2266</v>
      </c>
      <c r="L1431" s="470"/>
      <c r="M1431" s="3"/>
    </row>
    <row r="1432" spans="1:13">
      <c r="A1432" s="104" t="s">
        <v>2944</v>
      </c>
      <c r="B1432" s="104" t="str">
        <f t="shared" si="479"/>
        <v>202503</v>
      </c>
      <c r="C1432" s="104" t="str">
        <f ca="1">IF(G1432="01","v2","v1")</f>
        <v>v1</v>
      </c>
      <c r="D1432" s="455" t="str">
        <f ca="1">OFFSET('Tabla III.5.'!$F$12,H1432-1,0)</f>
        <v>11.02.01.</v>
      </c>
      <c r="E1432" s="104">
        <f t="shared" si="473"/>
        <v>0</v>
      </c>
      <c r="F1432" s="456">
        <f ca="1">OFFSET('Tabla III.5.'!$H$12,H1432-1,I1432-1)</f>
        <v>0</v>
      </c>
      <c r="G1432" s="104" t="str">
        <f ca="1">OFFSET('Tabla III.5.'!$H$1,0,I1432-1)</f>
        <v>06</v>
      </c>
      <c r="H1432" s="457">
        <f>+H1431</f>
        <v>5</v>
      </c>
      <c r="I1432" s="457">
        <f>+I1431+1</f>
        <v>6</v>
      </c>
      <c r="J1432" s="457" t="str">
        <f ca="1">+'Tabla III.5.'!$C$9</f>
        <v>Tabla III.5.</v>
      </c>
      <c r="K1432" s="457" t="s">
        <v>2266</v>
      </c>
      <c r="L1432" s="470"/>
      <c r="M1432" s="3"/>
    </row>
    <row r="1433" spans="1:13">
      <c r="A1433" s="470" t="s">
        <v>2944</v>
      </c>
      <c r="B1433" s="470" t="str">
        <f t="shared" si="479"/>
        <v>202503</v>
      </c>
      <c r="C1433" s="470" t="s">
        <v>2945</v>
      </c>
      <c r="D1433" s="471" t="str">
        <f ca="1">OFFSET('Tabla III.5.'!$F$12,H1433-1,0)</f>
        <v>11.02.01.01.</v>
      </c>
      <c r="E1433" s="470">
        <f t="shared" si="473"/>
        <v>0</v>
      </c>
      <c r="F1433" s="472">
        <f ca="1">OFFSET('Tabla III.5.'!$H$12,H1433-1,I1433-1)</f>
        <v>0</v>
      </c>
      <c r="G1433" s="470" t="str">
        <f ca="1">OFFSET('Tabla III.5.'!$H$1,0,I1433-1)</f>
        <v>01</v>
      </c>
      <c r="H1433" s="473">
        <f>+H1427+1</f>
        <v>6</v>
      </c>
      <c r="I1433" s="473">
        <v>1</v>
      </c>
      <c r="J1433" s="473" t="str">
        <f ca="1">+'Tabla III.5.'!$C$9</f>
        <v>Tabla III.5.</v>
      </c>
      <c r="K1433" s="473" t="s">
        <v>2266</v>
      </c>
      <c r="L1433" s="470">
        <f>+L1427+1</f>
        <v>6</v>
      </c>
      <c r="M1433" s="3"/>
    </row>
    <row r="1434" spans="1:13">
      <c r="A1434" s="470" t="s">
        <v>2944</v>
      </c>
      <c r="B1434" s="470" t="str">
        <f t="shared" si="479"/>
        <v>202503</v>
      </c>
      <c r="C1434" s="470" t="str">
        <f ca="1">IF(G1434="01","v2","v1")</f>
        <v>v1</v>
      </c>
      <c r="D1434" s="471" t="str">
        <f ca="1">OFFSET('Tabla III.5.'!$F$12,H1434-1,0)</f>
        <v>11.02.01.01.</v>
      </c>
      <c r="E1434" s="470">
        <f t="shared" si="473"/>
        <v>0</v>
      </c>
      <c r="F1434" s="472">
        <f ca="1">OFFSET('Tabla III.5.'!$H$12,H1434-1,I1434-1)</f>
        <v>0</v>
      </c>
      <c r="G1434" s="470" t="str">
        <f ca="1">OFFSET('Tabla III.5.'!$H$1,0,I1434-1)</f>
        <v>02</v>
      </c>
      <c r="H1434" s="473">
        <f>+H1433</f>
        <v>6</v>
      </c>
      <c r="I1434" s="473">
        <f>+I1433+1</f>
        <v>2</v>
      </c>
      <c r="J1434" s="473" t="str">
        <f ca="1">+'Tabla III.5.'!$C$9</f>
        <v>Tabla III.5.</v>
      </c>
      <c r="K1434" s="473" t="s">
        <v>2266</v>
      </c>
      <c r="L1434" s="470"/>
      <c r="M1434" s="3"/>
    </row>
    <row r="1435" spans="1:13">
      <c r="A1435" s="470" t="s">
        <v>2944</v>
      </c>
      <c r="B1435" s="470" t="str">
        <f t="shared" si="479"/>
        <v>202503</v>
      </c>
      <c r="C1435" s="470" t="str">
        <f ca="1">IF(G1435="01","v2","v1")</f>
        <v>v1</v>
      </c>
      <c r="D1435" s="471" t="str">
        <f ca="1">OFFSET('Tabla III.5.'!$F$12,H1435-1,0)</f>
        <v>11.02.01.01.</v>
      </c>
      <c r="E1435" s="470">
        <f t="shared" si="473"/>
        <v>0</v>
      </c>
      <c r="F1435" s="472">
        <f ca="1">OFFSET('Tabla III.5.'!$H$12,H1435-1,I1435-1)</f>
        <v>0</v>
      </c>
      <c r="G1435" s="470" t="str">
        <f ca="1">OFFSET('Tabla III.5.'!$H$1,0,I1435-1)</f>
        <v>03</v>
      </c>
      <c r="H1435" s="473">
        <f>+H1434</f>
        <v>6</v>
      </c>
      <c r="I1435" s="473">
        <f>+I1434+1</f>
        <v>3</v>
      </c>
      <c r="J1435" s="473" t="str">
        <f ca="1">+'Tabla III.5.'!$C$9</f>
        <v>Tabla III.5.</v>
      </c>
      <c r="K1435" s="473" t="s">
        <v>2266</v>
      </c>
      <c r="L1435" s="470"/>
      <c r="M1435" s="3"/>
    </row>
    <row r="1436" spans="1:13">
      <c r="A1436" s="470" t="s">
        <v>2944</v>
      </c>
      <c r="B1436" s="470" t="str">
        <f t="shared" si="479"/>
        <v>202503</v>
      </c>
      <c r="C1436" s="470" t="str">
        <f ca="1">IF(G1436="01","v2","v1")</f>
        <v>v1</v>
      </c>
      <c r="D1436" s="471" t="str">
        <f ca="1">OFFSET('Tabla III.5.'!$F$12,H1436-1,0)</f>
        <v>11.02.01.01.</v>
      </c>
      <c r="E1436" s="470">
        <f t="shared" si="473"/>
        <v>0</v>
      </c>
      <c r="F1436" s="472">
        <f ca="1">OFFSET('Tabla III.5.'!$H$12,H1436-1,I1436-1)</f>
        <v>0</v>
      </c>
      <c r="G1436" s="470" t="str">
        <f ca="1">OFFSET('Tabla III.5.'!$H$1,0,I1436-1)</f>
        <v>04</v>
      </c>
      <c r="H1436" s="473">
        <f>+H1435</f>
        <v>6</v>
      </c>
      <c r="I1436" s="473">
        <f>+I1435+1</f>
        <v>4</v>
      </c>
      <c r="J1436" s="473" t="str">
        <f ca="1">+'Tabla III.5.'!$C$9</f>
        <v>Tabla III.5.</v>
      </c>
      <c r="K1436" s="473" t="s">
        <v>2266</v>
      </c>
      <c r="L1436" s="470"/>
      <c r="M1436" s="3"/>
    </row>
    <row r="1437" spans="1:13">
      <c r="A1437" s="470" t="s">
        <v>2944</v>
      </c>
      <c r="B1437" s="470" t="str">
        <f t="shared" si="479"/>
        <v>202503</v>
      </c>
      <c r="C1437" s="470" t="str">
        <f ca="1">IF(G1437="01","v2","v1")</f>
        <v>v1</v>
      </c>
      <c r="D1437" s="471" t="str">
        <f ca="1">OFFSET('Tabla III.5.'!$F$12,H1437-1,0)</f>
        <v>11.02.01.01.</v>
      </c>
      <c r="E1437" s="470">
        <f t="shared" si="473"/>
        <v>0</v>
      </c>
      <c r="F1437" s="472">
        <f ca="1">OFFSET('Tabla III.5.'!$H$12,H1437-1,I1437-1)</f>
        <v>0</v>
      </c>
      <c r="G1437" s="470" t="str">
        <f ca="1">OFFSET('Tabla III.5.'!$H$1,0,I1437-1)</f>
        <v>05</v>
      </c>
      <c r="H1437" s="473">
        <f>+H1436</f>
        <v>6</v>
      </c>
      <c r="I1437" s="473">
        <f>+I1436+1</f>
        <v>5</v>
      </c>
      <c r="J1437" s="473" t="str">
        <f ca="1">+'Tabla III.5.'!$C$9</f>
        <v>Tabla III.5.</v>
      </c>
      <c r="K1437" s="473" t="s">
        <v>2266</v>
      </c>
      <c r="L1437" s="470"/>
      <c r="M1437" s="3"/>
    </row>
    <row r="1438" spans="1:13">
      <c r="A1438" s="470" t="s">
        <v>2944</v>
      </c>
      <c r="B1438" s="470" t="str">
        <f t="shared" si="479"/>
        <v>202503</v>
      </c>
      <c r="C1438" s="470" t="str">
        <f ca="1">IF(G1438="01","v2","v1")</f>
        <v>v1</v>
      </c>
      <c r="D1438" s="471" t="str">
        <f ca="1">OFFSET('Tabla III.5.'!$F$12,H1438-1,0)</f>
        <v>11.02.01.01.</v>
      </c>
      <c r="E1438" s="470">
        <f t="shared" si="473"/>
        <v>0</v>
      </c>
      <c r="F1438" s="472">
        <f ca="1">OFFSET('Tabla III.5.'!$H$12,H1438-1,I1438-1)</f>
        <v>0</v>
      </c>
      <c r="G1438" s="470" t="str">
        <f ca="1">OFFSET('Tabla III.5.'!$H$1,0,I1438-1)</f>
        <v>06</v>
      </c>
      <c r="H1438" s="473">
        <f>+H1437</f>
        <v>6</v>
      </c>
      <c r="I1438" s="473">
        <f>+I1437+1</f>
        <v>6</v>
      </c>
      <c r="J1438" s="473" t="str">
        <f ca="1">+'Tabla III.5.'!$C$9</f>
        <v>Tabla III.5.</v>
      </c>
      <c r="K1438" s="473" t="s">
        <v>2266</v>
      </c>
      <c r="L1438" s="470"/>
      <c r="M1438" s="3"/>
    </row>
    <row r="1439" spans="1:13">
      <c r="A1439" s="104" t="s">
        <v>2944</v>
      </c>
      <c r="B1439" s="104" t="str">
        <f t="shared" si="479"/>
        <v>202503</v>
      </c>
      <c r="C1439" s="104" t="s">
        <v>2945</v>
      </c>
      <c r="D1439" s="455" t="str">
        <f ca="1">OFFSET('Tabla III.5.'!$F$12,H1439-1,0)</f>
        <v>11.02.01.02.</v>
      </c>
      <c r="E1439" s="104">
        <f t="shared" si="473"/>
        <v>0</v>
      </c>
      <c r="F1439" s="456">
        <f ca="1">OFFSET('Tabla III.5.'!$H$12,H1439-1,I1439-1)</f>
        <v>0</v>
      </c>
      <c r="G1439" s="104" t="str">
        <f ca="1">OFFSET('Tabla III.5.'!$H$1,0,I1439-1)</f>
        <v>01</v>
      </c>
      <c r="H1439" s="457">
        <f>+H1433+1</f>
        <v>7</v>
      </c>
      <c r="I1439" s="457">
        <v>1</v>
      </c>
      <c r="J1439" s="457" t="str">
        <f ca="1">+'Tabla III.5.'!$C$9</f>
        <v>Tabla III.5.</v>
      </c>
      <c r="K1439" s="457" t="s">
        <v>2266</v>
      </c>
      <c r="L1439" s="470">
        <f>+L1433+1</f>
        <v>7</v>
      </c>
      <c r="M1439" s="3"/>
    </row>
    <row r="1440" spans="1:13">
      <c r="A1440" s="104" t="s">
        <v>2944</v>
      </c>
      <c r="B1440" s="104" t="str">
        <f t="shared" si="479"/>
        <v>202503</v>
      </c>
      <c r="C1440" s="104" t="str">
        <f ca="1">IF(G1440="01","v2","v1")</f>
        <v>v1</v>
      </c>
      <c r="D1440" s="455" t="str">
        <f ca="1">OFFSET('Tabla III.5.'!$F$12,H1440-1,0)</f>
        <v>11.02.01.02.</v>
      </c>
      <c r="E1440" s="104">
        <f t="shared" si="473"/>
        <v>0</v>
      </c>
      <c r="F1440" s="456">
        <f ca="1">OFFSET('Tabla III.5.'!$H$12,H1440-1,I1440-1)</f>
        <v>0</v>
      </c>
      <c r="G1440" s="104" t="str">
        <f ca="1">OFFSET('Tabla III.5.'!$H$1,0,I1440-1)</f>
        <v>02</v>
      </c>
      <c r="H1440" s="457">
        <f>+H1439</f>
        <v>7</v>
      </c>
      <c r="I1440" s="457">
        <f>+I1439+1</f>
        <v>2</v>
      </c>
      <c r="J1440" s="457" t="str">
        <f ca="1">+'Tabla III.5.'!$C$9</f>
        <v>Tabla III.5.</v>
      </c>
      <c r="K1440" s="457" t="s">
        <v>2266</v>
      </c>
      <c r="L1440" s="470"/>
      <c r="M1440" s="3"/>
    </row>
    <row r="1441" spans="1:13">
      <c r="A1441" s="104" t="s">
        <v>2944</v>
      </c>
      <c r="B1441" s="104" t="str">
        <f t="shared" si="479"/>
        <v>202503</v>
      </c>
      <c r="C1441" s="104" t="str">
        <f ca="1">IF(G1441="01","v2","v1")</f>
        <v>v1</v>
      </c>
      <c r="D1441" s="455" t="str">
        <f ca="1">OFFSET('Tabla III.5.'!$F$12,H1441-1,0)</f>
        <v>11.02.01.02.</v>
      </c>
      <c r="E1441" s="104">
        <f t="shared" si="473"/>
        <v>0</v>
      </c>
      <c r="F1441" s="456">
        <f ca="1">OFFSET('Tabla III.5.'!$H$12,H1441-1,I1441-1)</f>
        <v>0</v>
      </c>
      <c r="G1441" s="104" t="str">
        <f ca="1">OFFSET('Tabla III.5.'!$H$1,0,I1441-1)</f>
        <v>03</v>
      </c>
      <c r="H1441" s="457">
        <f>+H1440</f>
        <v>7</v>
      </c>
      <c r="I1441" s="457">
        <f>+I1440+1</f>
        <v>3</v>
      </c>
      <c r="J1441" s="457" t="str">
        <f ca="1">+'Tabla III.5.'!$C$9</f>
        <v>Tabla III.5.</v>
      </c>
      <c r="K1441" s="457" t="s">
        <v>2266</v>
      </c>
      <c r="L1441" s="470"/>
      <c r="M1441" s="3"/>
    </row>
    <row r="1442" spans="1:13">
      <c r="A1442" s="104" t="s">
        <v>2944</v>
      </c>
      <c r="B1442" s="104" t="str">
        <f t="shared" si="479"/>
        <v>202503</v>
      </c>
      <c r="C1442" s="104" t="str">
        <f ca="1">IF(G1442="01","v2","v1")</f>
        <v>v1</v>
      </c>
      <c r="D1442" s="455" t="str">
        <f ca="1">OFFSET('Tabla III.5.'!$F$12,H1442-1,0)</f>
        <v>11.02.01.02.</v>
      </c>
      <c r="E1442" s="104">
        <f t="shared" si="473"/>
        <v>0</v>
      </c>
      <c r="F1442" s="456">
        <f ca="1">OFFSET('Tabla III.5.'!$H$12,H1442-1,I1442-1)</f>
        <v>0</v>
      </c>
      <c r="G1442" s="104" t="str">
        <f ca="1">OFFSET('Tabla III.5.'!$H$1,0,I1442-1)</f>
        <v>04</v>
      </c>
      <c r="H1442" s="457">
        <f>+H1441</f>
        <v>7</v>
      </c>
      <c r="I1442" s="457">
        <f>+I1441+1</f>
        <v>4</v>
      </c>
      <c r="J1442" s="457" t="str">
        <f ca="1">+'Tabla III.5.'!$C$9</f>
        <v>Tabla III.5.</v>
      </c>
      <c r="K1442" s="457" t="s">
        <v>2266</v>
      </c>
      <c r="L1442" s="470"/>
      <c r="M1442" s="3"/>
    </row>
    <row r="1443" spans="1:13">
      <c r="A1443" s="104" t="s">
        <v>2944</v>
      </c>
      <c r="B1443" s="104" t="str">
        <f t="shared" si="479"/>
        <v>202503</v>
      </c>
      <c r="C1443" s="104" t="str">
        <f ca="1">IF(G1443="01","v2","v1")</f>
        <v>v1</v>
      </c>
      <c r="D1443" s="455" t="str">
        <f ca="1">OFFSET('Tabla III.5.'!$F$12,H1443-1,0)</f>
        <v>11.02.01.02.</v>
      </c>
      <c r="E1443" s="104">
        <f t="shared" si="473"/>
        <v>0</v>
      </c>
      <c r="F1443" s="456">
        <f ca="1">OFFSET('Tabla III.5.'!$H$12,H1443-1,I1443-1)</f>
        <v>0</v>
      </c>
      <c r="G1443" s="104" t="str">
        <f ca="1">OFFSET('Tabla III.5.'!$H$1,0,I1443-1)</f>
        <v>05</v>
      </c>
      <c r="H1443" s="457">
        <f>+H1442</f>
        <v>7</v>
      </c>
      <c r="I1443" s="457">
        <f>+I1442+1</f>
        <v>5</v>
      </c>
      <c r="J1443" s="457" t="str">
        <f ca="1">+'Tabla III.5.'!$C$9</f>
        <v>Tabla III.5.</v>
      </c>
      <c r="K1443" s="457" t="s">
        <v>2266</v>
      </c>
      <c r="L1443" s="470"/>
      <c r="M1443" s="3"/>
    </row>
    <row r="1444" spans="1:13">
      <c r="A1444" s="104" t="s">
        <v>2944</v>
      </c>
      <c r="B1444" s="104" t="str">
        <f t="shared" si="479"/>
        <v>202503</v>
      </c>
      <c r="C1444" s="104" t="str">
        <f ca="1">IF(G1444="01","v2","v1")</f>
        <v>v1</v>
      </c>
      <c r="D1444" s="455" t="str">
        <f ca="1">OFFSET('Tabla III.5.'!$F$12,H1444-1,0)</f>
        <v>11.02.01.02.</v>
      </c>
      <c r="E1444" s="104">
        <f t="shared" si="473"/>
        <v>0</v>
      </c>
      <c r="F1444" s="456">
        <f ca="1">OFFSET('Tabla III.5.'!$H$12,H1444-1,I1444-1)</f>
        <v>0</v>
      </c>
      <c r="G1444" s="104" t="str">
        <f ca="1">OFFSET('Tabla III.5.'!$H$1,0,I1444-1)</f>
        <v>06</v>
      </c>
      <c r="H1444" s="457">
        <f>+H1443</f>
        <v>7</v>
      </c>
      <c r="I1444" s="457">
        <f>+I1443+1</f>
        <v>6</v>
      </c>
      <c r="J1444" s="457" t="str">
        <f ca="1">+'Tabla III.5.'!$C$9</f>
        <v>Tabla III.5.</v>
      </c>
      <c r="K1444" s="457" t="s">
        <v>2266</v>
      </c>
      <c r="L1444" s="470"/>
      <c r="M1444" s="3"/>
    </row>
    <row r="1445" spans="1:13">
      <c r="A1445" s="470" t="s">
        <v>2944</v>
      </c>
      <c r="B1445" s="470" t="str">
        <f t="shared" si="479"/>
        <v>202503</v>
      </c>
      <c r="C1445" s="470" t="s">
        <v>2945</v>
      </c>
      <c r="D1445" s="471" t="str">
        <f ca="1">OFFSET('Tabla III.5.'!$F$12,H1445-1,0)</f>
        <v>11.02.02.</v>
      </c>
      <c r="E1445" s="470">
        <f t="shared" si="473"/>
        <v>0</v>
      </c>
      <c r="F1445" s="472">
        <f ca="1">OFFSET('Tabla III.5.'!$H$12,H1445-1,I1445-1)</f>
        <v>0</v>
      </c>
      <c r="G1445" s="470" t="str">
        <f ca="1">OFFSET('Tabla III.5.'!$H$1,0,I1445-1)</f>
        <v>01</v>
      </c>
      <c r="H1445" s="473">
        <f>+H1439+1</f>
        <v>8</v>
      </c>
      <c r="I1445" s="473">
        <v>1</v>
      </c>
      <c r="J1445" s="473" t="str">
        <f ca="1">+'Tabla III.5.'!$C$9</f>
        <v>Tabla III.5.</v>
      </c>
      <c r="K1445" s="473" t="s">
        <v>2266</v>
      </c>
      <c r="L1445" s="470">
        <f>+L1439+1</f>
        <v>8</v>
      </c>
      <c r="M1445" s="3"/>
    </row>
    <row r="1446" spans="1:13">
      <c r="A1446" s="470" t="s">
        <v>2944</v>
      </c>
      <c r="B1446" s="470" t="str">
        <f t="shared" si="479"/>
        <v>202503</v>
      </c>
      <c r="C1446" s="470" t="str">
        <f ca="1">IF(G1446="01","v2","v1")</f>
        <v>v1</v>
      </c>
      <c r="D1446" s="471" t="str">
        <f ca="1">OFFSET('Tabla III.5.'!$F$12,H1446-1,0)</f>
        <v>11.02.02.</v>
      </c>
      <c r="E1446" s="470">
        <f t="shared" si="473"/>
        <v>0</v>
      </c>
      <c r="F1446" s="472">
        <f ca="1">OFFSET('Tabla III.5.'!$H$12,H1446-1,I1446-1)</f>
        <v>0</v>
      </c>
      <c r="G1446" s="470" t="str">
        <f ca="1">OFFSET('Tabla III.5.'!$H$1,0,I1446-1)</f>
        <v>02</v>
      </c>
      <c r="H1446" s="473">
        <f>+H1445</f>
        <v>8</v>
      </c>
      <c r="I1446" s="473">
        <f>+I1445+1</f>
        <v>2</v>
      </c>
      <c r="J1446" s="473" t="str">
        <f ca="1">+'Tabla III.5.'!$C$9</f>
        <v>Tabla III.5.</v>
      </c>
      <c r="K1446" s="473" t="s">
        <v>2266</v>
      </c>
      <c r="L1446" s="470"/>
      <c r="M1446" s="3"/>
    </row>
    <row r="1447" spans="1:13">
      <c r="A1447" s="470" t="s">
        <v>2944</v>
      </c>
      <c r="B1447" s="470" t="str">
        <f t="shared" si="479"/>
        <v>202503</v>
      </c>
      <c r="C1447" s="470" t="str">
        <f ca="1">IF(G1447="01","v2","v1")</f>
        <v>v1</v>
      </c>
      <c r="D1447" s="471" t="str">
        <f ca="1">OFFSET('Tabla III.5.'!$F$12,H1447-1,0)</f>
        <v>11.02.02.</v>
      </c>
      <c r="E1447" s="470">
        <f t="shared" si="473"/>
        <v>0</v>
      </c>
      <c r="F1447" s="472">
        <f ca="1">OFFSET('Tabla III.5.'!$H$12,H1447-1,I1447-1)</f>
        <v>0</v>
      </c>
      <c r="G1447" s="470" t="str">
        <f ca="1">OFFSET('Tabla III.5.'!$H$1,0,I1447-1)</f>
        <v>03</v>
      </c>
      <c r="H1447" s="473">
        <f>+H1446</f>
        <v>8</v>
      </c>
      <c r="I1447" s="473">
        <f>+I1446+1</f>
        <v>3</v>
      </c>
      <c r="J1447" s="473" t="str">
        <f ca="1">+'Tabla III.5.'!$C$9</f>
        <v>Tabla III.5.</v>
      </c>
      <c r="K1447" s="473" t="s">
        <v>2266</v>
      </c>
      <c r="L1447" s="470"/>
      <c r="M1447" s="3"/>
    </row>
    <row r="1448" spans="1:13">
      <c r="A1448" s="470" t="s">
        <v>2944</v>
      </c>
      <c r="B1448" s="470" t="str">
        <f t="shared" si="479"/>
        <v>202503</v>
      </c>
      <c r="C1448" s="470" t="str">
        <f ca="1">IF(G1448="01","v2","v1")</f>
        <v>v1</v>
      </c>
      <c r="D1448" s="471" t="str">
        <f ca="1">OFFSET('Tabla III.5.'!$F$12,H1448-1,0)</f>
        <v>11.02.02.</v>
      </c>
      <c r="E1448" s="470">
        <f t="shared" si="473"/>
        <v>0</v>
      </c>
      <c r="F1448" s="472">
        <f ca="1">OFFSET('Tabla III.5.'!$H$12,H1448-1,I1448-1)</f>
        <v>0</v>
      </c>
      <c r="G1448" s="470" t="str">
        <f ca="1">OFFSET('Tabla III.5.'!$H$1,0,I1448-1)</f>
        <v>04</v>
      </c>
      <c r="H1448" s="473">
        <f>+H1447</f>
        <v>8</v>
      </c>
      <c r="I1448" s="473">
        <f>+I1447+1</f>
        <v>4</v>
      </c>
      <c r="J1448" s="473" t="str">
        <f ca="1">+'Tabla III.5.'!$C$9</f>
        <v>Tabla III.5.</v>
      </c>
      <c r="K1448" s="473" t="s">
        <v>2266</v>
      </c>
      <c r="L1448" s="470"/>
      <c r="M1448" s="3"/>
    </row>
    <row r="1449" spans="1:13">
      <c r="A1449" s="470" t="s">
        <v>2944</v>
      </c>
      <c r="B1449" s="470" t="str">
        <f t="shared" si="479"/>
        <v>202503</v>
      </c>
      <c r="C1449" s="470" t="str">
        <f ca="1">IF(G1449="01","v2","v1")</f>
        <v>v1</v>
      </c>
      <c r="D1449" s="471" t="str">
        <f ca="1">OFFSET('Tabla III.5.'!$F$12,H1449-1,0)</f>
        <v>11.02.02.</v>
      </c>
      <c r="E1449" s="470">
        <f t="shared" si="473"/>
        <v>0</v>
      </c>
      <c r="F1449" s="472">
        <f ca="1">OFFSET('Tabla III.5.'!$H$12,H1449-1,I1449-1)</f>
        <v>0</v>
      </c>
      <c r="G1449" s="470" t="str">
        <f ca="1">OFFSET('Tabla III.5.'!$H$1,0,I1449-1)</f>
        <v>05</v>
      </c>
      <c r="H1449" s="473">
        <f>+H1448</f>
        <v>8</v>
      </c>
      <c r="I1449" s="473">
        <f>+I1448+1</f>
        <v>5</v>
      </c>
      <c r="J1449" s="473" t="str">
        <f ca="1">+'Tabla III.5.'!$C$9</f>
        <v>Tabla III.5.</v>
      </c>
      <c r="K1449" s="473" t="s">
        <v>2266</v>
      </c>
      <c r="L1449" s="470"/>
      <c r="M1449" s="3"/>
    </row>
    <row r="1450" spans="1:13">
      <c r="A1450" s="470" t="s">
        <v>2944</v>
      </c>
      <c r="B1450" s="470" t="str">
        <f t="shared" si="479"/>
        <v>202503</v>
      </c>
      <c r="C1450" s="470" t="str">
        <f ca="1">IF(G1450="01","v2","v1")</f>
        <v>v1</v>
      </c>
      <c r="D1450" s="471" t="str">
        <f ca="1">OFFSET('Tabla III.5.'!$F$12,H1450-1,0)</f>
        <v>11.02.02.</v>
      </c>
      <c r="E1450" s="470">
        <f t="shared" si="473"/>
        <v>0</v>
      </c>
      <c r="F1450" s="472">
        <f ca="1">OFFSET('Tabla III.5.'!$H$12,H1450-1,I1450-1)</f>
        <v>0</v>
      </c>
      <c r="G1450" s="470" t="str">
        <f ca="1">OFFSET('Tabla III.5.'!$H$1,0,I1450-1)</f>
        <v>06</v>
      </c>
      <c r="H1450" s="473">
        <f>+H1449</f>
        <v>8</v>
      </c>
      <c r="I1450" s="473">
        <f>+I1449+1</f>
        <v>6</v>
      </c>
      <c r="J1450" s="473" t="str">
        <f ca="1">+'Tabla III.5.'!$C$9</f>
        <v>Tabla III.5.</v>
      </c>
      <c r="K1450" s="473" t="s">
        <v>2266</v>
      </c>
      <c r="L1450" s="470"/>
      <c r="M1450" s="3"/>
    </row>
    <row r="1451" spans="1:13">
      <c r="A1451" s="104" t="s">
        <v>2944</v>
      </c>
      <c r="B1451" s="104" t="str">
        <f t="shared" si="479"/>
        <v>202503</v>
      </c>
      <c r="C1451" s="104" t="s">
        <v>2945</v>
      </c>
      <c r="D1451" s="455" t="str">
        <f ca="1">OFFSET('Tabla III.5.'!$F$12,H1451-1,0)</f>
        <v>11.02.02.01.</v>
      </c>
      <c r="E1451" s="104">
        <f t="shared" si="473"/>
        <v>0</v>
      </c>
      <c r="F1451" s="456">
        <f ca="1">OFFSET('Tabla III.5.'!$H$12,H1451-1,I1451-1)</f>
        <v>0</v>
      </c>
      <c r="G1451" s="104" t="str">
        <f ca="1">OFFSET('Tabla III.5.'!$H$1,0,I1451-1)</f>
        <v>01</v>
      </c>
      <c r="H1451" s="457">
        <f>+H1445+1</f>
        <v>9</v>
      </c>
      <c r="I1451" s="457">
        <v>1</v>
      </c>
      <c r="J1451" s="457" t="str">
        <f ca="1">+'Tabla III.5.'!$C$9</f>
        <v>Tabla III.5.</v>
      </c>
      <c r="K1451" s="457" t="s">
        <v>2266</v>
      </c>
      <c r="L1451" s="470">
        <f>+L1445+1</f>
        <v>9</v>
      </c>
      <c r="M1451" s="3"/>
    </row>
    <row r="1452" spans="1:13">
      <c r="A1452" s="104" t="s">
        <v>2944</v>
      </c>
      <c r="B1452" s="104" t="str">
        <f t="shared" si="479"/>
        <v>202503</v>
      </c>
      <c r="C1452" s="104" t="str">
        <f ca="1">IF(G1452="01","v2","v1")</f>
        <v>v1</v>
      </c>
      <c r="D1452" s="455" t="str">
        <f ca="1">OFFSET('Tabla III.5.'!$F$12,H1452-1,0)</f>
        <v>11.02.02.01.</v>
      </c>
      <c r="E1452" s="104">
        <f t="shared" si="473"/>
        <v>0</v>
      </c>
      <c r="F1452" s="456">
        <f ca="1">OFFSET('Tabla III.5.'!$H$12,H1452-1,I1452-1)</f>
        <v>0</v>
      </c>
      <c r="G1452" s="104" t="str">
        <f ca="1">OFFSET('Tabla III.5.'!$H$1,0,I1452-1)</f>
        <v>02</v>
      </c>
      <c r="H1452" s="457">
        <f>+H1451</f>
        <v>9</v>
      </c>
      <c r="I1452" s="457">
        <f>+I1451+1</f>
        <v>2</v>
      </c>
      <c r="J1452" s="457" t="str">
        <f ca="1">+'Tabla III.5.'!$C$9</f>
        <v>Tabla III.5.</v>
      </c>
      <c r="K1452" s="457" t="s">
        <v>2266</v>
      </c>
      <c r="L1452" s="470"/>
      <c r="M1452" s="3"/>
    </row>
    <row r="1453" spans="1:13">
      <c r="A1453" s="104" t="s">
        <v>2944</v>
      </c>
      <c r="B1453" s="104" t="str">
        <f t="shared" si="479"/>
        <v>202503</v>
      </c>
      <c r="C1453" s="104" t="str">
        <f ca="1">IF(G1453="01","v2","v1")</f>
        <v>v1</v>
      </c>
      <c r="D1453" s="455" t="str">
        <f ca="1">OFFSET('Tabla III.5.'!$F$12,H1453-1,0)</f>
        <v>11.02.02.01.</v>
      </c>
      <c r="E1453" s="104">
        <f t="shared" si="473"/>
        <v>0</v>
      </c>
      <c r="F1453" s="456">
        <f ca="1">OFFSET('Tabla III.5.'!$H$12,H1453-1,I1453-1)</f>
        <v>0</v>
      </c>
      <c r="G1453" s="104" t="str">
        <f ca="1">OFFSET('Tabla III.5.'!$H$1,0,I1453-1)</f>
        <v>03</v>
      </c>
      <c r="H1453" s="457">
        <f>+H1452</f>
        <v>9</v>
      </c>
      <c r="I1453" s="457">
        <f>+I1452+1</f>
        <v>3</v>
      </c>
      <c r="J1453" s="457" t="str">
        <f ca="1">+'Tabla III.5.'!$C$9</f>
        <v>Tabla III.5.</v>
      </c>
      <c r="K1453" s="457" t="s">
        <v>2266</v>
      </c>
      <c r="L1453" s="470"/>
      <c r="M1453" s="3"/>
    </row>
    <row r="1454" spans="1:13">
      <c r="A1454" s="104" t="s">
        <v>2944</v>
      </c>
      <c r="B1454" s="104" t="str">
        <f t="shared" si="479"/>
        <v>202503</v>
      </c>
      <c r="C1454" s="104" t="str">
        <f ca="1">IF(G1454="01","v2","v1")</f>
        <v>v1</v>
      </c>
      <c r="D1454" s="455" t="str">
        <f ca="1">OFFSET('Tabla III.5.'!$F$12,H1454-1,0)</f>
        <v>11.02.02.01.</v>
      </c>
      <c r="E1454" s="104">
        <f t="shared" si="473"/>
        <v>0</v>
      </c>
      <c r="F1454" s="456">
        <f ca="1">OFFSET('Tabla III.5.'!$H$12,H1454-1,I1454-1)</f>
        <v>0</v>
      </c>
      <c r="G1454" s="104" t="str">
        <f ca="1">OFFSET('Tabla III.5.'!$H$1,0,I1454-1)</f>
        <v>04</v>
      </c>
      <c r="H1454" s="457">
        <f>+H1453</f>
        <v>9</v>
      </c>
      <c r="I1454" s="457">
        <f>+I1453+1</f>
        <v>4</v>
      </c>
      <c r="J1454" s="457" t="str">
        <f ca="1">+'Tabla III.5.'!$C$9</f>
        <v>Tabla III.5.</v>
      </c>
      <c r="K1454" s="457" t="s">
        <v>2266</v>
      </c>
      <c r="L1454" s="470"/>
      <c r="M1454" s="3"/>
    </row>
    <row r="1455" spans="1:13">
      <c r="A1455" s="104" t="s">
        <v>2944</v>
      </c>
      <c r="B1455" s="104" t="str">
        <f t="shared" si="479"/>
        <v>202503</v>
      </c>
      <c r="C1455" s="104" t="str">
        <f ca="1">IF(G1455="01","v2","v1")</f>
        <v>v1</v>
      </c>
      <c r="D1455" s="455" t="str">
        <f ca="1">OFFSET('Tabla III.5.'!$F$12,H1455-1,0)</f>
        <v>11.02.02.01.</v>
      </c>
      <c r="E1455" s="104">
        <f t="shared" si="473"/>
        <v>0</v>
      </c>
      <c r="F1455" s="456">
        <f ca="1">OFFSET('Tabla III.5.'!$H$12,H1455-1,I1455-1)</f>
        <v>0</v>
      </c>
      <c r="G1455" s="104" t="str">
        <f ca="1">OFFSET('Tabla III.5.'!$H$1,0,I1455-1)</f>
        <v>05</v>
      </c>
      <c r="H1455" s="457">
        <f>+H1454</f>
        <v>9</v>
      </c>
      <c r="I1455" s="457">
        <f>+I1454+1</f>
        <v>5</v>
      </c>
      <c r="J1455" s="457" t="str">
        <f ca="1">+'Tabla III.5.'!$C$9</f>
        <v>Tabla III.5.</v>
      </c>
      <c r="K1455" s="457" t="s">
        <v>2266</v>
      </c>
      <c r="L1455" s="470"/>
      <c r="M1455" s="3"/>
    </row>
    <row r="1456" spans="1:13">
      <c r="A1456" s="104" t="s">
        <v>2944</v>
      </c>
      <c r="B1456" s="104" t="str">
        <f t="shared" si="479"/>
        <v>202503</v>
      </c>
      <c r="C1456" s="104" t="str">
        <f ca="1">IF(G1456="01","v2","v1")</f>
        <v>v1</v>
      </c>
      <c r="D1456" s="455" t="str">
        <f ca="1">OFFSET('Tabla III.5.'!$F$12,H1456-1,0)</f>
        <v>11.02.02.01.</v>
      </c>
      <c r="E1456" s="104">
        <f t="shared" si="473"/>
        <v>0</v>
      </c>
      <c r="F1456" s="456">
        <f ca="1">OFFSET('Tabla III.5.'!$H$12,H1456-1,I1456-1)</f>
        <v>0</v>
      </c>
      <c r="G1456" s="104" t="str">
        <f ca="1">OFFSET('Tabla III.5.'!$H$1,0,I1456-1)</f>
        <v>06</v>
      </c>
      <c r="H1456" s="457">
        <f>+H1455</f>
        <v>9</v>
      </c>
      <c r="I1456" s="457">
        <f>+I1455+1</f>
        <v>6</v>
      </c>
      <c r="J1456" s="457" t="str">
        <f ca="1">+'Tabla III.5.'!$C$9</f>
        <v>Tabla III.5.</v>
      </c>
      <c r="K1456" s="457" t="s">
        <v>2266</v>
      </c>
      <c r="L1456" s="470"/>
      <c r="M1456" s="3"/>
    </row>
    <row r="1457" spans="1:13">
      <c r="A1457" s="470" t="s">
        <v>2944</v>
      </c>
      <c r="B1457" s="470" t="str">
        <f t="shared" si="479"/>
        <v>202503</v>
      </c>
      <c r="C1457" s="470" t="s">
        <v>2945</v>
      </c>
      <c r="D1457" s="471" t="str">
        <f ca="1">OFFSET('Tabla III.5.'!$F$12,H1457-1,0)</f>
        <v>11.02.02.02.</v>
      </c>
      <c r="E1457" s="470">
        <f t="shared" si="473"/>
        <v>0</v>
      </c>
      <c r="F1457" s="472">
        <f ca="1">OFFSET('Tabla III.5.'!$H$12,H1457-1,I1457-1)</f>
        <v>0</v>
      </c>
      <c r="G1457" s="470" t="str">
        <f ca="1">OFFSET('Tabla III.5.'!$H$1,0,I1457-1)</f>
        <v>01</v>
      </c>
      <c r="H1457" s="473">
        <f>+H1451+1</f>
        <v>10</v>
      </c>
      <c r="I1457" s="473">
        <v>1</v>
      </c>
      <c r="J1457" s="473" t="str">
        <f ca="1">+'Tabla III.5.'!$C$9</f>
        <v>Tabla III.5.</v>
      </c>
      <c r="K1457" s="473" t="s">
        <v>2266</v>
      </c>
      <c r="L1457" s="470">
        <f>+L1451+1</f>
        <v>10</v>
      </c>
      <c r="M1457" s="3"/>
    </row>
    <row r="1458" spans="1:13">
      <c r="A1458" s="470" t="s">
        <v>2944</v>
      </c>
      <c r="B1458" s="470" t="str">
        <f t="shared" si="479"/>
        <v>202503</v>
      </c>
      <c r="C1458" s="470" t="str">
        <f ca="1">IF(G1458="01","v2","v1")</f>
        <v>v1</v>
      </c>
      <c r="D1458" s="471" t="str">
        <f ca="1">OFFSET('Tabla III.5.'!$F$12,H1458-1,0)</f>
        <v>11.02.02.02.</v>
      </c>
      <c r="E1458" s="470">
        <f t="shared" si="473"/>
        <v>0</v>
      </c>
      <c r="F1458" s="472">
        <f ca="1">OFFSET('Tabla III.5.'!$H$12,H1458-1,I1458-1)</f>
        <v>0</v>
      </c>
      <c r="G1458" s="470" t="str">
        <f ca="1">OFFSET('Tabla III.5.'!$H$1,0,I1458-1)</f>
        <v>02</v>
      </c>
      <c r="H1458" s="473">
        <f>+H1457</f>
        <v>10</v>
      </c>
      <c r="I1458" s="473">
        <f>+I1457+1</f>
        <v>2</v>
      </c>
      <c r="J1458" s="473" t="str">
        <f ca="1">+'Tabla III.5.'!$C$9</f>
        <v>Tabla III.5.</v>
      </c>
      <c r="K1458" s="473" t="s">
        <v>2266</v>
      </c>
      <c r="L1458" s="470"/>
      <c r="M1458" s="3"/>
    </row>
    <row r="1459" spans="1:13">
      <c r="A1459" s="470" t="s">
        <v>2944</v>
      </c>
      <c r="B1459" s="470" t="str">
        <f t="shared" si="479"/>
        <v>202503</v>
      </c>
      <c r="C1459" s="470" t="str">
        <f ca="1">IF(G1459="01","v2","v1")</f>
        <v>v1</v>
      </c>
      <c r="D1459" s="471" t="str">
        <f ca="1">OFFSET('Tabla III.5.'!$F$12,H1459-1,0)</f>
        <v>11.02.02.02.</v>
      </c>
      <c r="E1459" s="470">
        <f t="shared" si="473"/>
        <v>0</v>
      </c>
      <c r="F1459" s="472">
        <f ca="1">OFFSET('Tabla III.5.'!$H$12,H1459-1,I1459-1)</f>
        <v>0</v>
      </c>
      <c r="G1459" s="470" t="str">
        <f ca="1">OFFSET('Tabla III.5.'!$H$1,0,I1459-1)</f>
        <v>03</v>
      </c>
      <c r="H1459" s="473">
        <f>+H1458</f>
        <v>10</v>
      </c>
      <c r="I1459" s="473">
        <f>+I1458+1</f>
        <v>3</v>
      </c>
      <c r="J1459" s="473" t="str">
        <f ca="1">+'Tabla III.5.'!$C$9</f>
        <v>Tabla III.5.</v>
      </c>
      <c r="K1459" s="473" t="s">
        <v>2266</v>
      </c>
      <c r="L1459" s="470"/>
      <c r="M1459" s="3"/>
    </row>
    <row r="1460" spans="1:13">
      <c r="A1460" s="470" t="s">
        <v>2944</v>
      </c>
      <c r="B1460" s="470" t="str">
        <f t="shared" si="479"/>
        <v>202503</v>
      </c>
      <c r="C1460" s="470" t="str">
        <f ca="1">IF(G1460="01","v2","v1")</f>
        <v>v1</v>
      </c>
      <c r="D1460" s="471" t="str">
        <f ca="1">OFFSET('Tabla III.5.'!$F$12,H1460-1,0)</f>
        <v>11.02.02.02.</v>
      </c>
      <c r="E1460" s="470">
        <f t="shared" si="473"/>
        <v>0</v>
      </c>
      <c r="F1460" s="472">
        <f ca="1">OFFSET('Tabla III.5.'!$H$12,H1460-1,I1460-1)</f>
        <v>0</v>
      </c>
      <c r="G1460" s="470" t="str">
        <f ca="1">OFFSET('Tabla III.5.'!$H$1,0,I1460-1)</f>
        <v>04</v>
      </c>
      <c r="H1460" s="473">
        <f>+H1459</f>
        <v>10</v>
      </c>
      <c r="I1460" s="473">
        <f>+I1459+1</f>
        <v>4</v>
      </c>
      <c r="J1460" s="473" t="str">
        <f ca="1">+'Tabla III.5.'!$C$9</f>
        <v>Tabla III.5.</v>
      </c>
      <c r="K1460" s="473" t="s">
        <v>2266</v>
      </c>
      <c r="L1460" s="470"/>
      <c r="M1460" s="3"/>
    </row>
    <row r="1461" spans="1:13">
      <c r="A1461" s="470" t="s">
        <v>2944</v>
      </c>
      <c r="B1461" s="470" t="str">
        <f t="shared" si="479"/>
        <v>202503</v>
      </c>
      <c r="C1461" s="470" t="str">
        <f ca="1">IF(G1461="01","v2","v1")</f>
        <v>v1</v>
      </c>
      <c r="D1461" s="471" t="str">
        <f ca="1">OFFSET('Tabla III.5.'!$F$12,H1461-1,0)</f>
        <v>11.02.02.02.</v>
      </c>
      <c r="E1461" s="470">
        <f t="shared" si="473"/>
        <v>0</v>
      </c>
      <c r="F1461" s="472">
        <f ca="1">OFFSET('Tabla III.5.'!$H$12,H1461-1,I1461-1)</f>
        <v>0</v>
      </c>
      <c r="G1461" s="470" t="str">
        <f ca="1">OFFSET('Tabla III.5.'!$H$1,0,I1461-1)</f>
        <v>05</v>
      </c>
      <c r="H1461" s="473">
        <f>+H1460</f>
        <v>10</v>
      </c>
      <c r="I1461" s="473">
        <f>+I1460+1</f>
        <v>5</v>
      </c>
      <c r="J1461" s="473" t="str">
        <f ca="1">+'Tabla III.5.'!$C$9</f>
        <v>Tabla III.5.</v>
      </c>
      <c r="K1461" s="473" t="s">
        <v>2266</v>
      </c>
      <c r="L1461" s="470"/>
      <c r="M1461" s="3"/>
    </row>
    <row r="1462" spans="1:13">
      <c r="A1462" s="470" t="s">
        <v>2944</v>
      </c>
      <c r="B1462" s="470" t="str">
        <f t="shared" si="479"/>
        <v>202503</v>
      </c>
      <c r="C1462" s="470" t="str">
        <f ca="1">IF(G1462="01","v2","v1")</f>
        <v>v1</v>
      </c>
      <c r="D1462" s="471" t="str">
        <f ca="1">OFFSET('Tabla III.5.'!$F$12,H1462-1,0)</f>
        <v>11.02.02.02.</v>
      </c>
      <c r="E1462" s="470">
        <f t="shared" si="473"/>
        <v>0</v>
      </c>
      <c r="F1462" s="472">
        <f ca="1">OFFSET('Tabla III.5.'!$H$12,H1462-1,I1462-1)</f>
        <v>0</v>
      </c>
      <c r="G1462" s="470" t="str">
        <f ca="1">OFFSET('Tabla III.5.'!$H$1,0,I1462-1)</f>
        <v>06</v>
      </c>
      <c r="H1462" s="473">
        <f>+H1461</f>
        <v>10</v>
      </c>
      <c r="I1462" s="473">
        <f>+I1461+1</f>
        <v>6</v>
      </c>
      <c r="J1462" s="473" t="str">
        <f ca="1">+'Tabla III.5.'!$C$9</f>
        <v>Tabla III.5.</v>
      </c>
      <c r="K1462" s="473" t="s">
        <v>2266</v>
      </c>
      <c r="L1462" s="470"/>
      <c r="M1462" s="3"/>
    </row>
    <row r="1463" spans="1:13">
      <c r="A1463" s="475" t="s">
        <v>2944</v>
      </c>
      <c r="B1463" s="475" t="str">
        <f t="shared" si="479"/>
        <v>202503</v>
      </c>
      <c r="C1463" s="475" t="s">
        <v>2945</v>
      </c>
      <c r="D1463" s="476" t="str">
        <f ca="1">OFFSET('Tabla III.5.'!$F$12,H1463-1,0)</f>
        <v>11.99.</v>
      </c>
      <c r="E1463" s="475">
        <f t="shared" si="473"/>
        <v>0</v>
      </c>
      <c r="F1463" s="477">
        <f ca="1">OFFSET('Tabla III.5.'!$H$12,H1463-1,I1463-1)</f>
        <v>0</v>
      </c>
      <c r="G1463" s="475" t="str">
        <f ca="1">OFFSET('Tabla III.5.'!$H$1,0,I1463-1)</f>
        <v>01</v>
      </c>
      <c r="H1463" s="478">
        <f>+H1457+1</f>
        <v>11</v>
      </c>
      <c r="I1463" s="478">
        <v>1</v>
      </c>
      <c r="J1463" s="478" t="str">
        <f ca="1">+'Tabla III.5.'!$C$9</f>
        <v>Tabla III.5.</v>
      </c>
      <c r="K1463" s="478" t="s">
        <v>2266</v>
      </c>
      <c r="L1463" s="470">
        <f>+L1457+1</f>
        <v>11</v>
      </c>
      <c r="M1463" s="3"/>
    </row>
    <row r="1464" spans="1:13">
      <c r="A1464" s="475" t="s">
        <v>2944</v>
      </c>
      <c r="B1464" s="475" t="str">
        <f t="shared" si="479"/>
        <v>202503</v>
      </c>
      <c r="C1464" s="475" t="str">
        <f ca="1">IF(G1464="01","v2","v1")</f>
        <v>v1</v>
      </c>
      <c r="D1464" s="476" t="str">
        <f ca="1">OFFSET('Tabla III.5.'!$F$12,H1464-1,0)</f>
        <v>11.99.</v>
      </c>
      <c r="E1464" s="475">
        <f t="shared" si="473"/>
        <v>0</v>
      </c>
      <c r="F1464" s="477">
        <f ca="1">OFFSET('Tabla III.5.'!$H$12,H1464-1,I1464-1)</f>
        <v>0</v>
      </c>
      <c r="G1464" s="475" t="str">
        <f ca="1">OFFSET('Tabla III.5.'!$H$1,0,I1464-1)</f>
        <v>02</v>
      </c>
      <c r="H1464" s="478">
        <f>+H1463</f>
        <v>11</v>
      </c>
      <c r="I1464" s="478">
        <f>+I1463+1</f>
        <v>2</v>
      </c>
      <c r="J1464" s="478" t="str">
        <f ca="1">+'Tabla III.5.'!$C$9</f>
        <v>Tabla III.5.</v>
      </c>
      <c r="K1464" s="478" t="s">
        <v>2266</v>
      </c>
      <c r="L1464" s="470"/>
      <c r="M1464" s="3"/>
    </row>
    <row r="1465" spans="1:13">
      <c r="A1465" s="475" t="s">
        <v>2944</v>
      </c>
      <c r="B1465" s="475" t="str">
        <f t="shared" si="479"/>
        <v>202503</v>
      </c>
      <c r="C1465" s="475" t="str">
        <f ca="1">IF(G1465="01","v2","v1")</f>
        <v>v1</v>
      </c>
      <c r="D1465" s="476" t="str">
        <f ca="1">OFFSET('Tabla III.5.'!$F$12,H1465-1,0)</f>
        <v>11.99.</v>
      </c>
      <c r="E1465" s="475">
        <f t="shared" si="473"/>
        <v>0</v>
      </c>
      <c r="F1465" s="477">
        <f ca="1">OFFSET('Tabla III.5.'!$H$12,H1465-1,I1465-1)</f>
        <v>0</v>
      </c>
      <c r="G1465" s="475" t="str">
        <f ca="1">OFFSET('Tabla III.5.'!$H$1,0,I1465-1)</f>
        <v>03</v>
      </c>
      <c r="H1465" s="478">
        <f>+H1464</f>
        <v>11</v>
      </c>
      <c r="I1465" s="478">
        <f>+I1464+1</f>
        <v>3</v>
      </c>
      <c r="J1465" s="478" t="str">
        <f ca="1">+'Tabla III.5.'!$C$9</f>
        <v>Tabla III.5.</v>
      </c>
      <c r="K1465" s="478" t="s">
        <v>2266</v>
      </c>
      <c r="L1465" s="470"/>
      <c r="M1465" s="3"/>
    </row>
    <row r="1466" spans="1:13">
      <c r="A1466" s="475" t="s">
        <v>2944</v>
      </c>
      <c r="B1466" s="475" t="str">
        <f t="shared" si="479"/>
        <v>202503</v>
      </c>
      <c r="C1466" s="475" t="str">
        <f ca="1">IF(G1466="01","v2","v1")</f>
        <v>v1</v>
      </c>
      <c r="D1466" s="476" t="str">
        <f ca="1">OFFSET('Tabla III.5.'!$F$12,H1466-1,0)</f>
        <v>11.99.</v>
      </c>
      <c r="E1466" s="475">
        <f t="shared" si="473"/>
        <v>0</v>
      </c>
      <c r="F1466" s="477">
        <f ca="1">OFFSET('Tabla III.5.'!$H$12,H1466-1,I1466-1)</f>
        <v>0</v>
      </c>
      <c r="G1466" s="475" t="str">
        <f ca="1">OFFSET('Tabla III.5.'!$H$1,0,I1466-1)</f>
        <v>04</v>
      </c>
      <c r="H1466" s="478">
        <f>+H1465</f>
        <v>11</v>
      </c>
      <c r="I1466" s="478">
        <f>+I1465+1</f>
        <v>4</v>
      </c>
      <c r="J1466" s="478" t="str">
        <f ca="1">+'Tabla III.5.'!$C$9</f>
        <v>Tabla III.5.</v>
      </c>
      <c r="K1466" s="478" t="s">
        <v>2266</v>
      </c>
      <c r="L1466" s="470"/>
      <c r="M1466" s="3"/>
    </row>
    <row r="1467" spans="1:13">
      <c r="A1467" s="475" t="s">
        <v>2944</v>
      </c>
      <c r="B1467" s="475" t="str">
        <f t="shared" si="479"/>
        <v>202503</v>
      </c>
      <c r="C1467" s="475" t="str">
        <f ca="1">IF(G1467="01","v2","v1")</f>
        <v>v1</v>
      </c>
      <c r="D1467" s="476" t="str">
        <f ca="1">OFFSET('Tabla III.5.'!$F$12,H1467-1,0)</f>
        <v>11.99.</v>
      </c>
      <c r="E1467" s="475">
        <f t="shared" si="473"/>
        <v>0</v>
      </c>
      <c r="F1467" s="477">
        <f ca="1">OFFSET('Tabla III.5.'!$H$12,H1467-1,I1467-1)</f>
        <v>0</v>
      </c>
      <c r="G1467" s="475" t="str">
        <f ca="1">OFFSET('Tabla III.5.'!$H$1,0,I1467-1)</f>
        <v>05</v>
      </c>
      <c r="H1467" s="478">
        <f>+H1466</f>
        <v>11</v>
      </c>
      <c r="I1467" s="478">
        <f>+I1466+1</f>
        <v>5</v>
      </c>
      <c r="J1467" s="478" t="str">
        <f ca="1">+'Tabla III.5.'!$C$9</f>
        <v>Tabla III.5.</v>
      </c>
      <c r="K1467" s="478" t="s">
        <v>2266</v>
      </c>
      <c r="L1467" s="470"/>
      <c r="M1467" s="3"/>
    </row>
    <row r="1468" spans="1:13">
      <c r="A1468" s="475" t="s">
        <v>2944</v>
      </c>
      <c r="B1468" s="475" t="str">
        <f t="shared" si="479"/>
        <v>202503</v>
      </c>
      <c r="C1468" s="475" t="str">
        <f ca="1">IF(G1468="01","v2","v1")</f>
        <v>v1</v>
      </c>
      <c r="D1468" s="476" t="str">
        <f ca="1">OFFSET('Tabla III.5.'!$F$12,H1468-1,0)</f>
        <v>11.99.</v>
      </c>
      <c r="E1468" s="475">
        <f t="shared" si="473"/>
        <v>0</v>
      </c>
      <c r="F1468" s="477">
        <f ca="1">OFFSET('Tabla III.5.'!$H$12,H1468-1,I1468-1)</f>
        <v>0</v>
      </c>
      <c r="G1468" s="475" t="str">
        <f ca="1">OFFSET('Tabla III.5.'!$H$1,0,I1468-1)</f>
        <v>06</v>
      </c>
      <c r="H1468" s="478">
        <f>+H1467</f>
        <v>11</v>
      </c>
      <c r="I1468" s="478">
        <f>+I1467+1</f>
        <v>6</v>
      </c>
      <c r="J1468" s="478" t="str">
        <f ca="1">+'Tabla III.5.'!$C$9</f>
        <v>Tabla III.5.</v>
      </c>
      <c r="K1468" s="478" t="s">
        <v>2266</v>
      </c>
      <c r="L1468" s="470"/>
      <c r="M1468" s="3"/>
    </row>
    <row r="1469" spans="1:13">
      <c r="A1469" s="412" t="s">
        <v>2944</v>
      </c>
      <c r="B1469" s="412" t="str">
        <f t="shared" si="479"/>
        <v>202503</v>
      </c>
      <c r="C1469" s="412" t="s">
        <v>2945</v>
      </c>
      <c r="D1469" s="413" t="str">
        <f ca="1">OFFSET('Tabla IV.1.'!$F$12,H1469-1,0)</f>
        <v>12.01.</v>
      </c>
      <c r="E1469" s="412">
        <f t="shared" si="473"/>
        <v>0</v>
      </c>
      <c r="F1469" s="414">
        <f ca="1">OFFSET('Tabla IV.1.'!$H$12,H1469-1,I1469-1)</f>
        <v>0</v>
      </c>
      <c r="G1469" s="412" t="str">
        <f ca="1">OFFSET('Tabla IV.1.'!$H$1,0,I1469-1)</f>
        <v>01</v>
      </c>
      <c r="H1469" s="111">
        <v>1</v>
      </c>
      <c r="I1469" s="111">
        <v>1</v>
      </c>
      <c r="J1469" s="111" t="str">
        <f ca="1">+'Tabla IV.1.'!$C$8</f>
        <v>Tabla IV.1.</v>
      </c>
      <c r="K1469" s="111" t="s">
        <v>2266</v>
      </c>
      <c r="L1469" s="412">
        <v>1</v>
      </c>
    </row>
    <row r="1470" spans="1:13">
      <c r="A1470" s="406" t="s">
        <v>2944</v>
      </c>
      <c r="B1470" s="406" t="str">
        <f t="shared" si="479"/>
        <v>202503</v>
      </c>
      <c r="C1470" s="406" t="s">
        <v>2945</v>
      </c>
      <c r="D1470" s="407" t="str">
        <f ca="1">OFFSET('Tabla IV.1.'!$F$12,H1470-1,0)</f>
        <v>12.01.01.</v>
      </c>
      <c r="E1470" s="406">
        <f t="shared" si="473"/>
        <v>0</v>
      </c>
      <c r="F1470" s="408">
        <f ca="1">OFFSET('Tabla IV.1.'!$H$12,H1470-1,I1470-1)</f>
        <v>0</v>
      </c>
      <c r="G1470" s="406" t="str">
        <f ca="1">OFFSET('Tabla IV.1.'!$H$1,0,I1470-1)</f>
        <v>01</v>
      </c>
      <c r="H1470" s="409">
        <f t="shared" ref="H1470:H1481" si="480">+H1469+1</f>
        <v>2</v>
      </c>
      <c r="I1470" s="409">
        <v>1</v>
      </c>
      <c r="J1470" s="409" t="str">
        <f ca="1">+'Tabla IV.1.'!$C$8</f>
        <v>Tabla IV.1.</v>
      </c>
      <c r="K1470" s="409" t="str">
        <f>+K1469</f>
        <v>A</v>
      </c>
      <c r="L1470" s="406">
        <f t="shared" ref="L1470:L1481" si="481">+L1469+1</f>
        <v>2</v>
      </c>
    </row>
    <row r="1471" spans="1:13">
      <c r="A1471" s="412" t="s">
        <v>2944</v>
      </c>
      <c r="B1471" s="412" t="str">
        <f t="shared" si="479"/>
        <v>202503</v>
      </c>
      <c r="C1471" s="412" t="s">
        <v>2945</v>
      </c>
      <c r="D1471" s="413" t="str">
        <f ca="1">OFFSET('Tabla IV.1.'!$F$12,H1471-1,0)</f>
        <v>12.01.01.01</v>
      </c>
      <c r="E1471" s="412">
        <f t="shared" si="473"/>
        <v>0</v>
      </c>
      <c r="F1471" s="414">
        <f ca="1">OFFSET('Tabla IV.1.'!$H$12,H1471-1,I1471-1)</f>
        <v>0</v>
      </c>
      <c r="G1471" s="412" t="str">
        <f ca="1">OFFSET('Tabla IV.1.'!$H$1,0,I1471-1)</f>
        <v>01</v>
      </c>
      <c r="H1471" s="111">
        <f t="shared" si="480"/>
        <v>3</v>
      </c>
      <c r="I1471" s="111">
        <v>1</v>
      </c>
      <c r="J1471" s="111" t="str">
        <f ca="1">+'Tabla IV.1.'!$C$8</f>
        <v>Tabla IV.1.</v>
      </c>
      <c r="K1471" s="111" t="str">
        <f t="shared" ref="K1471:K1481" si="482">+K1470</f>
        <v>A</v>
      </c>
      <c r="L1471" s="412">
        <f t="shared" si="481"/>
        <v>3</v>
      </c>
    </row>
    <row r="1472" spans="1:13">
      <c r="A1472" s="406" t="s">
        <v>2944</v>
      </c>
      <c r="B1472" s="406" t="str">
        <f t="shared" si="479"/>
        <v>202503</v>
      </c>
      <c r="C1472" s="406" t="s">
        <v>2945</v>
      </c>
      <c r="D1472" s="407" t="str">
        <f ca="1">OFFSET('Tabla IV.1.'!$F$12,H1472-1,0)</f>
        <v>12.01.01.02</v>
      </c>
      <c r="E1472" s="406">
        <f t="shared" si="473"/>
        <v>0</v>
      </c>
      <c r="F1472" s="408">
        <f ca="1">OFFSET('Tabla IV.1.'!$H$12,H1472-1,I1472-1)</f>
        <v>0</v>
      </c>
      <c r="G1472" s="406" t="str">
        <f ca="1">OFFSET('Tabla IV.1.'!$H$1,0,I1472-1)</f>
        <v>01</v>
      </c>
      <c r="H1472" s="409">
        <f t="shared" si="480"/>
        <v>4</v>
      </c>
      <c r="I1472" s="409">
        <v>1</v>
      </c>
      <c r="J1472" s="409" t="str">
        <f ca="1">+'Tabla IV.1.'!$C$8</f>
        <v>Tabla IV.1.</v>
      </c>
      <c r="K1472" s="409" t="str">
        <f t="shared" si="482"/>
        <v>A</v>
      </c>
      <c r="L1472" s="406">
        <f t="shared" si="481"/>
        <v>4</v>
      </c>
    </row>
    <row r="1473" spans="1:12">
      <c r="A1473" s="412" t="s">
        <v>2944</v>
      </c>
      <c r="B1473" s="412" t="str">
        <f t="shared" si="479"/>
        <v>202503</v>
      </c>
      <c r="C1473" s="412" t="s">
        <v>2945</v>
      </c>
      <c r="D1473" s="413" t="str">
        <f ca="1">OFFSET('Tabla IV.1.'!$F$12,H1473-1,0)</f>
        <v>12.01.02.</v>
      </c>
      <c r="E1473" s="412">
        <f t="shared" si="473"/>
        <v>0</v>
      </c>
      <c r="F1473" s="414">
        <f ca="1">OFFSET('Tabla IV.1.'!$H$12,H1473-1,I1473-1)</f>
        <v>0</v>
      </c>
      <c r="G1473" s="412" t="str">
        <f ca="1">OFFSET('Tabla IV.1.'!$H$1,0,I1473-1)</f>
        <v>01</v>
      </c>
      <c r="H1473" s="111">
        <f t="shared" si="480"/>
        <v>5</v>
      </c>
      <c r="I1473" s="111">
        <v>1</v>
      </c>
      <c r="J1473" s="111" t="str">
        <f ca="1">+'Tabla IV.1.'!$C$8</f>
        <v>Tabla IV.1.</v>
      </c>
      <c r="K1473" s="111" t="str">
        <f t="shared" si="482"/>
        <v>A</v>
      </c>
      <c r="L1473" s="412">
        <f t="shared" si="481"/>
        <v>5</v>
      </c>
    </row>
    <row r="1474" spans="1:12">
      <c r="A1474" s="406" t="s">
        <v>2944</v>
      </c>
      <c r="B1474" s="406" t="str">
        <f t="shared" si="479"/>
        <v>202503</v>
      </c>
      <c r="C1474" s="406" t="s">
        <v>2945</v>
      </c>
      <c r="D1474" s="407" t="str">
        <f ca="1">OFFSET('Tabla IV.1.'!$F$12,H1474-1,0)</f>
        <v>12.01.02.01</v>
      </c>
      <c r="E1474" s="406">
        <f t="shared" si="473"/>
        <v>0</v>
      </c>
      <c r="F1474" s="408">
        <f ca="1">OFFSET('Tabla IV.1.'!$H$12,H1474-1,I1474-1)</f>
        <v>0</v>
      </c>
      <c r="G1474" s="406" t="str">
        <f ca="1">OFFSET('Tabla IV.1.'!$H$1,0,I1474-1)</f>
        <v>01</v>
      </c>
      <c r="H1474" s="409">
        <f t="shared" si="480"/>
        <v>6</v>
      </c>
      <c r="I1474" s="409">
        <v>1</v>
      </c>
      <c r="J1474" s="409" t="str">
        <f ca="1">+'Tabla IV.1.'!$C$8</f>
        <v>Tabla IV.1.</v>
      </c>
      <c r="K1474" s="409" t="str">
        <f t="shared" si="482"/>
        <v>A</v>
      </c>
      <c r="L1474" s="406">
        <f t="shared" si="481"/>
        <v>6</v>
      </c>
    </row>
    <row r="1475" spans="1:12">
      <c r="A1475" s="412" t="s">
        <v>2944</v>
      </c>
      <c r="B1475" s="412" t="str">
        <f t="shared" si="479"/>
        <v>202503</v>
      </c>
      <c r="C1475" s="412" t="s">
        <v>2945</v>
      </c>
      <c r="D1475" s="413" t="str">
        <f ca="1">OFFSET('Tabla IV.1.'!$F$12,H1475-1,0)</f>
        <v>12.01.02.02</v>
      </c>
      <c r="E1475" s="412">
        <f t="shared" si="473"/>
        <v>0</v>
      </c>
      <c r="F1475" s="414">
        <f ca="1">OFFSET('Tabla IV.1.'!$H$12,H1475-1,I1475-1)</f>
        <v>0</v>
      </c>
      <c r="G1475" s="412" t="str">
        <f ca="1">OFFSET('Tabla IV.1.'!$H$1,0,I1475-1)</f>
        <v>01</v>
      </c>
      <c r="H1475" s="111">
        <f t="shared" si="480"/>
        <v>7</v>
      </c>
      <c r="I1475" s="111">
        <v>1</v>
      </c>
      <c r="J1475" s="111" t="str">
        <f ca="1">+'Tabla IV.1.'!$C$8</f>
        <v>Tabla IV.1.</v>
      </c>
      <c r="K1475" s="111" t="str">
        <f t="shared" si="482"/>
        <v>A</v>
      </c>
      <c r="L1475" s="412">
        <f t="shared" si="481"/>
        <v>7</v>
      </c>
    </row>
    <row r="1476" spans="1:12">
      <c r="A1476" s="406" t="s">
        <v>2944</v>
      </c>
      <c r="B1476" s="406" t="str">
        <f t="shared" si="479"/>
        <v>202503</v>
      </c>
      <c r="C1476" s="406" t="s">
        <v>2945</v>
      </c>
      <c r="D1476" s="407" t="str">
        <f ca="1">OFFSET('Tabla IV.1.'!$F$12,H1476-1,0)</f>
        <v>12.02.</v>
      </c>
      <c r="E1476" s="406">
        <f t="shared" si="473"/>
        <v>0</v>
      </c>
      <c r="F1476" s="408">
        <f ca="1">OFFSET('Tabla IV.1.'!$H$12,H1476-1,I1476-1)</f>
        <v>0</v>
      </c>
      <c r="G1476" s="406" t="str">
        <f ca="1">OFFSET('Tabla IV.1.'!$H$1,0,I1476-1)</f>
        <v>01</v>
      </c>
      <c r="H1476" s="409">
        <f t="shared" si="480"/>
        <v>8</v>
      </c>
      <c r="I1476" s="409">
        <v>1</v>
      </c>
      <c r="J1476" s="409" t="str">
        <f ca="1">+'Tabla IV.1.'!$C$8</f>
        <v>Tabla IV.1.</v>
      </c>
      <c r="K1476" s="409" t="str">
        <f t="shared" si="482"/>
        <v>A</v>
      </c>
      <c r="L1476" s="406">
        <f t="shared" si="481"/>
        <v>8</v>
      </c>
    </row>
    <row r="1477" spans="1:12">
      <c r="A1477" s="412" t="s">
        <v>2944</v>
      </c>
      <c r="B1477" s="412" t="str">
        <f t="shared" si="479"/>
        <v>202503</v>
      </c>
      <c r="C1477" s="412" t="s">
        <v>2945</v>
      </c>
      <c r="D1477" s="413" t="str">
        <f ca="1">OFFSET('Tabla IV.1.'!$F$12,H1477-1,0)</f>
        <v>12.02.01.</v>
      </c>
      <c r="E1477" s="412">
        <f t="shared" si="473"/>
        <v>0</v>
      </c>
      <c r="F1477" s="414">
        <f ca="1">OFFSET('Tabla IV.1.'!$H$12,H1477-1,I1477-1)</f>
        <v>0</v>
      </c>
      <c r="G1477" s="412" t="str">
        <f ca="1">OFFSET('Tabla IV.1.'!$H$1,0,I1477-1)</f>
        <v>01</v>
      </c>
      <c r="H1477" s="111">
        <f t="shared" si="480"/>
        <v>9</v>
      </c>
      <c r="I1477" s="111">
        <v>1</v>
      </c>
      <c r="J1477" s="111" t="str">
        <f ca="1">+'Tabla IV.1.'!$C$8</f>
        <v>Tabla IV.1.</v>
      </c>
      <c r="K1477" s="111" t="str">
        <f t="shared" si="482"/>
        <v>A</v>
      </c>
      <c r="L1477" s="412">
        <f t="shared" si="481"/>
        <v>9</v>
      </c>
    </row>
    <row r="1478" spans="1:12">
      <c r="A1478" s="406" t="s">
        <v>2944</v>
      </c>
      <c r="B1478" s="406" t="str">
        <f t="shared" si="479"/>
        <v>202503</v>
      </c>
      <c r="C1478" s="406" t="s">
        <v>2945</v>
      </c>
      <c r="D1478" s="407" t="str">
        <f ca="1">OFFSET('Tabla IV.1.'!$F$12,H1478-1,0)</f>
        <v>12.02.02.</v>
      </c>
      <c r="E1478" s="406">
        <f t="shared" si="473"/>
        <v>0</v>
      </c>
      <c r="F1478" s="408">
        <f ca="1">OFFSET('Tabla IV.1.'!$H$12,H1478-1,I1478-1)</f>
        <v>0</v>
      </c>
      <c r="G1478" s="406" t="str">
        <f ca="1">OFFSET('Tabla IV.1.'!$H$1,0,I1478-1)</f>
        <v>01</v>
      </c>
      <c r="H1478" s="409">
        <f t="shared" si="480"/>
        <v>10</v>
      </c>
      <c r="I1478" s="409">
        <v>1</v>
      </c>
      <c r="J1478" s="409" t="str">
        <f ca="1">+'Tabla IV.1.'!$C$8</f>
        <v>Tabla IV.1.</v>
      </c>
      <c r="K1478" s="409" t="str">
        <f t="shared" si="482"/>
        <v>A</v>
      </c>
      <c r="L1478" s="406">
        <f t="shared" si="481"/>
        <v>10</v>
      </c>
    </row>
    <row r="1479" spans="1:12">
      <c r="A1479" s="412" t="s">
        <v>2944</v>
      </c>
      <c r="B1479" s="412" t="str">
        <f t="shared" si="479"/>
        <v>202503</v>
      </c>
      <c r="C1479" s="412" t="s">
        <v>2945</v>
      </c>
      <c r="D1479" s="413" t="str">
        <f ca="1">OFFSET('Tabla IV.1.'!$F$12,H1479-1,0)</f>
        <v>12.03.</v>
      </c>
      <c r="E1479" s="412">
        <f t="shared" ref="E1479:E1650" si="483">RUC</f>
        <v>0</v>
      </c>
      <c r="F1479" s="414">
        <f ca="1">OFFSET('Tabla IV.1.'!$H$12,H1479-1,I1479-1)</f>
        <v>0</v>
      </c>
      <c r="G1479" s="412" t="str">
        <f ca="1">OFFSET('Tabla IV.1.'!$H$1,0,I1479-1)</f>
        <v>01</v>
      </c>
      <c r="H1479" s="111">
        <f t="shared" si="480"/>
        <v>11</v>
      </c>
      <c r="I1479" s="111">
        <v>1</v>
      </c>
      <c r="J1479" s="111" t="str">
        <f ca="1">+'Tabla IV.1.'!$C$8</f>
        <v>Tabla IV.1.</v>
      </c>
      <c r="K1479" s="111" t="str">
        <f t="shared" si="482"/>
        <v>A</v>
      </c>
      <c r="L1479" s="412">
        <f t="shared" si="481"/>
        <v>11</v>
      </c>
    </row>
    <row r="1480" spans="1:12">
      <c r="A1480" s="406" t="s">
        <v>2944</v>
      </c>
      <c r="B1480" s="406" t="str">
        <f t="shared" si="479"/>
        <v>202503</v>
      </c>
      <c r="C1480" s="406" t="s">
        <v>2945</v>
      </c>
      <c r="D1480" s="407" t="str">
        <f ca="1">OFFSET('Tabla IV.1.'!$F$12,H1480-1,0)</f>
        <v>12.03.00.01.</v>
      </c>
      <c r="E1480" s="406">
        <f t="shared" si="483"/>
        <v>0</v>
      </c>
      <c r="F1480" s="408">
        <f ca="1">OFFSET('Tabla IV.1.'!$H$12,H1480-1,I1480-1)</f>
        <v>0</v>
      </c>
      <c r="G1480" s="406" t="str">
        <f ca="1">OFFSET('Tabla IV.1.'!$H$1,0,I1480-1)</f>
        <v>01</v>
      </c>
      <c r="H1480" s="409">
        <f t="shared" si="480"/>
        <v>12</v>
      </c>
      <c r="I1480" s="409">
        <v>1</v>
      </c>
      <c r="J1480" s="409" t="str">
        <f ca="1">+'Tabla IV.1.'!$C$8</f>
        <v>Tabla IV.1.</v>
      </c>
      <c r="K1480" s="409" t="str">
        <f t="shared" si="482"/>
        <v>A</v>
      </c>
      <c r="L1480" s="406">
        <f t="shared" si="481"/>
        <v>12</v>
      </c>
    </row>
    <row r="1481" spans="1:12">
      <c r="A1481" s="412" t="s">
        <v>2944</v>
      </c>
      <c r="B1481" s="412" t="str">
        <f t="shared" si="479"/>
        <v>202503</v>
      </c>
      <c r="C1481" s="412" t="s">
        <v>2945</v>
      </c>
      <c r="D1481" s="413" t="str">
        <f ca="1">OFFSET('Tabla IV.1.'!$F$12,H1481-1,0)</f>
        <v>12.03.00.02.</v>
      </c>
      <c r="E1481" s="412">
        <f t="shared" si="483"/>
        <v>0</v>
      </c>
      <c r="F1481" s="414">
        <f ca="1">OFFSET('Tabla IV.1.'!$H$12,H1481-1,I1481-1)</f>
        <v>0</v>
      </c>
      <c r="G1481" s="412" t="str">
        <f ca="1">OFFSET('Tabla IV.1.'!$H$1,0,I1481-1)</f>
        <v>01</v>
      </c>
      <c r="H1481" s="111">
        <f t="shared" si="480"/>
        <v>13</v>
      </c>
      <c r="I1481" s="111">
        <v>1</v>
      </c>
      <c r="J1481" s="111" t="str">
        <f ca="1">+'Tabla IV.1.'!$C$8</f>
        <v>Tabla IV.1.</v>
      </c>
      <c r="K1481" s="111" t="str">
        <f t="shared" si="482"/>
        <v>A</v>
      </c>
      <c r="L1481" s="412">
        <f t="shared" si="481"/>
        <v>13</v>
      </c>
    </row>
    <row r="1482" spans="1:12">
      <c r="A1482" s="406" t="s">
        <v>2944</v>
      </c>
      <c r="B1482" s="406" t="str">
        <f t="shared" si="479"/>
        <v>202503</v>
      </c>
      <c r="C1482" s="406" t="s">
        <v>2945</v>
      </c>
      <c r="D1482" s="407" t="str">
        <f ca="1">OFFSET('Tabla IV.2.'!$F$13,H1482-1,0)</f>
        <v>13.01.</v>
      </c>
      <c r="E1482" s="406">
        <f t="shared" si="483"/>
        <v>0</v>
      </c>
      <c r="F1482" s="408">
        <f ca="1">OFFSET('Tabla IV.2.'!$H$13,H1482-1,I1482-1)</f>
        <v>0</v>
      </c>
      <c r="G1482" s="406" t="str">
        <f ca="1">OFFSET('Tabla IV.2.'!$H$1,0,I1482-1)</f>
        <v>01</v>
      </c>
      <c r="H1482" s="409">
        <v>1</v>
      </c>
      <c r="I1482" s="409">
        <v>1</v>
      </c>
      <c r="J1482" s="409" t="str">
        <f ca="1">+'Tabla IV.2.'!$C$8</f>
        <v>Tabla IV.2.</v>
      </c>
      <c r="K1482" s="409" t="s">
        <v>2266</v>
      </c>
      <c r="L1482" s="406">
        <v>1</v>
      </c>
    </row>
    <row r="1483" spans="1:12">
      <c r="A1483" s="406" t="s">
        <v>2944</v>
      </c>
      <c r="B1483" s="406" t="str">
        <f t="shared" si="479"/>
        <v>202503</v>
      </c>
      <c r="C1483" s="406" t="s">
        <v>2945</v>
      </c>
      <c r="D1483" s="407" t="str">
        <f t="shared" ref="D1483:D1522" ca="1" si="484">+D1482</f>
        <v>13.01.</v>
      </c>
      <c r="E1483" s="406">
        <f t="shared" si="483"/>
        <v>0</v>
      </c>
      <c r="F1483" s="408">
        <f ca="1">OFFSET('Tabla IV.2.'!$H$13,H1483-1,I1483-1)</f>
        <v>0</v>
      </c>
      <c r="G1483" s="406" t="str">
        <f ca="1">OFFSET('Tabla IV.2.'!$H$1,0,I1483-1)</f>
        <v>02</v>
      </c>
      <c r="H1483" s="409">
        <f t="shared" ref="H1483:H1522" si="485">+H1482</f>
        <v>1</v>
      </c>
      <c r="I1483" s="409">
        <f>+I1482+1</f>
        <v>2</v>
      </c>
      <c r="J1483" s="409" t="str">
        <f ca="1">+'Tabla IV.2.'!$C$8</f>
        <v>Tabla IV.2.</v>
      </c>
      <c r="K1483" s="409" t="str">
        <f t="shared" ref="K1483:K1597" si="486">+K1482</f>
        <v>A</v>
      </c>
      <c r="L1483" s="406"/>
    </row>
    <row r="1484" spans="1:12">
      <c r="A1484" s="406" t="s">
        <v>2944</v>
      </c>
      <c r="B1484" s="406" t="str">
        <f t="shared" si="479"/>
        <v>202503</v>
      </c>
      <c r="C1484" s="406" t="s">
        <v>2945</v>
      </c>
      <c r="D1484" s="407" t="str">
        <f t="shared" ca="1" si="484"/>
        <v>13.01.</v>
      </c>
      <c r="E1484" s="406">
        <f t="shared" si="483"/>
        <v>0</v>
      </c>
      <c r="F1484" s="408">
        <f ca="1">OFFSET('Tabla IV.2.'!$H$13,H1484-1,I1484-1)</f>
        <v>0</v>
      </c>
      <c r="G1484" s="406" t="str">
        <f ca="1">OFFSET('Tabla IV.2.'!$H$1,0,I1484-1)</f>
        <v>03</v>
      </c>
      <c r="H1484" s="409">
        <f t="shared" si="485"/>
        <v>1</v>
      </c>
      <c r="I1484" s="409">
        <f>+I1483+1</f>
        <v>3</v>
      </c>
      <c r="J1484" s="409" t="str">
        <f ca="1">+'Tabla IV.2.'!$C$8</f>
        <v>Tabla IV.2.</v>
      </c>
      <c r="K1484" s="409" t="str">
        <f t="shared" si="486"/>
        <v>A</v>
      </c>
    </row>
    <row r="1485" spans="1:12">
      <c r="A1485" s="406" t="s">
        <v>2944</v>
      </c>
      <c r="B1485" s="406" t="str">
        <f t="shared" si="479"/>
        <v>202503</v>
      </c>
      <c r="C1485" s="406" t="s">
        <v>2945</v>
      </c>
      <c r="D1485" s="407" t="str">
        <f t="shared" ca="1" si="484"/>
        <v>13.01.</v>
      </c>
      <c r="E1485" s="406">
        <f t="shared" si="483"/>
        <v>0</v>
      </c>
      <c r="F1485" s="408">
        <f ca="1">OFFSET('Tabla IV.2.'!$H$13,H1485-1,I1485-1)</f>
        <v>0</v>
      </c>
      <c r="G1485" s="406" t="str">
        <f ca="1">OFFSET('Tabla IV.2.'!$H$1,0,I1485-1)</f>
        <v>04</v>
      </c>
      <c r="H1485" s="409">
        <f t="shared" si="485"/>
        <v>1</v>
      </c>
      <c r="I1485" s="409">
        <f>+I1484+1</f>
        <v>4</v>
      </c>
      <c r="J1485" s="409" t="str">
        <f ca="1">+'Tabla IV.2.'!$C$8</f>
        <v>Tabla IV.2.</v>
      </c>
      <c r="K1485" s="409" t="str">
        <f t="shared" si="486"/>
        <v>A</v>
      </c>
    </row>
    <row r="1486" spans="1:12">
      <c r="A1486" s="406" t="s">
        <v>2944</v>
      </c>
      <c r="B1486" s="406" t="str">
        <f t="shared" si="479"/>
        <v>202503</v>
      </c>
      <c r="C1486" s="406" t="s">
        <v>2945</v>
      </c>
      <c r="D1486" s="407" t="str">
        <f t="shared" ca="1" si="484"/>
        <v>13.01.</v>
      </c>
      <c r="E1486" s="406">
        <f t="shared" si="483"/>
        <v>0</v>
      </c>
      <c r="F1486" s="408">
        <f ca="1">OFFSET('Tabla IV.2.'!$H$13,H1486-1,I1486-1)</f>
        <v>0</v>
      </c>
      <c r="G1486" s="406" t="str">
        <f ca="1">OFFSET('Tabla IV.2.'!$H$1,0,I1486-1)</f>
        <v>05</v>
      </c>
      <c r="H1486" s="409">
        <f t="shared" si="485"/>
        <v>1</v>
      </c>
      <c r="I1486" s="409">
        <f>+I1485+1</f>
        <v>5</v>
      </c>
      <c r="J1486" s="409" t="str">
        <f ca="1">+'Tabla IV.2.'!$C$8</f>
        <v>Tabla IV.2.</v>
      </c>
      <c r="K1486" s="409" t="str">
        <f t="shared" si="486"/>
        <v>A</v>
      </c>
    </row>
    <row r="1487" spans="1:12">
      <c r="A1487" s="406" t="s">
        <v>2944</v>
      </c>
      <c r="B1487" s="406" t="str">
        <f t="shared" si="479"/>
        <v>202503</v>
      </c>
      <c r="C1487" s="406" t="s">
        <v>2945</v>
      </c>
      <c r="D1487" s="407" t="str">
        <f t="shared" ca="1" si="484"/>
        <v>13.01.</v>
      </c>
      <c r="E1487" s="406">
        <f t="shared" si="483"/>
        <v>0</v>
      </c>
      <c r="F1487" s="408">
        <f ca="1">OFFSET('Tabla IV.2.'!$H$13,H1487-1,I1487-1)</f>
        <v>0</v>
      </c>
      <c r="G1487" s="406" t="str">
        <f ca="1">OFFSET('Tabla IV.2.'!$H$1,0,I1487-1)</f>
        <v>06</v>
      </c>
      <c r="H1487" s="409">
        <f t="shared" si="485"/>
        <v>1</v>
      </c>
      <c r="I1487" s="409">
        <f>+I1486+1</f>
        <v>6</v>
      </c>
      <c r="J1487" s="409" t="str">
        <f ca="1">+'Tabla IV.2.'!$C$8</f>
        <v>Tabla IV.2.</v>
      </c>
      <c r="K1487" s="409" t="str">
        <f t="shared" si="486"/>
        <v>A</v>
      </c>
    </row>
    <row r="1488" spans="1:12">
      <c r="A1488" s="1047" t="s">
        <v>2944</v>
      </c>
      <c r="B1488" s="1047" t="str">
        <f t="shared" si="479"/>
        <v>202503</v>
      </c>
      <c r="C1488" s="1047" t="s">
        <v>2945</v>
      </c>
      <c r="D1488" s="1048" t="str">
        <f ca="1">OFFSET('Tabla IV.2.'!$F$13,H1488-1,0)</f>
        <v>13.01.01.</v>
      </c>
      <c r="E1488" s="1047">
        <f t="shared" si="483"/>
        <v>0</v>
      </c>
      <c r="F1488" s="1049">
        <f ca="1">OFFSET('Tabla IV.2.'!$H$13,H1488-1,I1488-1)</f>
        <v>0</v>
      </c>
      <c r="G1488" s="1047" t="str">
        <f ca="1">OFFSET('Tabla IV.2.'!$H$1,0,I1488-1)</f>
        <v>01</v>
      </c>
      <c r="H1488" s="1050">
        <f>+H1482+1</f>
        <v>2</v>
      </c>
      <c r="I1488" s="1050">
        <v>1</v>
      </c>
      <c r="J1488" s="1050" t="str">
        <f ca="1">+'Tabla IV.2.'!$C$8</f>
        <v>Tabla IV.2.</v>
      </c>
      <c r="K1488" s="1050" t="str">
        <f t="shared" si="486"/>
        <v>A</v>
      </c>
      <c r="L1488" s="1047">
        <v>2</v>
      </c>
    </row>
    <row r="1489" spans="1:12">
      <c r="A1489" s="1047" t="s">
        <v>2944</v>
      </c>
      <c r="B1489" s="1047" t="str">
        <f t="shared" si="479"/>
        <v>202503</v>
      </c>
      <c r="C1489" s="1047" t="s">
        <v>2945</v>
      </c>
      <c r="D1489" s="1048" t="str">
        <f t="shared" ca="1" si="484"/>
        <v>13.01.01.</v>
      </c>
      <c r="E1489" s="1047">
        <f t="shared" si="483"/>
        <v>0</v>
      </c>
      <c r="F1489" s="1049">
        <f ca="1">OFFSET('Tabla IV.2.'!$H$13,H1489-1,I1489-1)</f>
        <v>0</v>
      </c>
      <c r="G1489" s="1047" t="str">
        <f ca="1">OFFSET('Tabla IV.2.'!$H$1,0,I1489-1)</f>
        <v>02</v>
      </c>
      <c r="H1489" s="1050">
        <f t="shared" si="485"/>
        <v>2</v>
      </c>
      <c r="I1489" s="1050">
        <f>+I1488+1</f>
        <v>2</v>
      </c>
      <c r="J1489" s="1050" t="str">
        <f ca="1">+'Tabla IV.2.'!$C$8</f>
        <v>Tabla IV.2.</v>
      </c>
      <c r="K1489" s="1050" t="str">
        <f t="shared" si="486"/>
        <v>A</v>
      </c>
      <c r="L1489" s="1047"/>
    </row>
    <row r="1490" spans="1:12">
      <c r="A1490" s="1047" t="s">
        <v>2944</v>
      </c>
      <c r="B1490" s="1047" t="str">
        <f t="shared" si="479"/>
        <v>202503</v>
      </c>
      <c r="C1490" s="1047" t="s">
        <v>2945</v>
      </c>
      <c r="D1490" s="1048" t="str">
        <f t="shared" ca="1" si="484"/>
        <v>13.01.01.</v>
      </c>
      <c r="E1490" s="1047">
        <f t="shared" si="483"/>
        <v>0</v>
      </c>
      <c r="F1490" s="1049">
        <f ca="1">OFFSET('Tabla IV.2.'!$H$13,H1490-1,I1490-1)</f>
        <v>0</v>
      </c>
      <c r="G1490" s="1047" t="str">
        <f ca="1">OFFSET('Tabla IV.2.'!$H$1,0,I1490-1)</f>
        <v>03</v>
      </c>
      <c r="H1490" s="1050">
        <f t="shared" si="485"/>
        <v>2</v>
      </c>
      <c r="I1490" s="1050">
        <f>+I1489+1</f>
        <v>3</v>
      </c>
      <c r="J1490" s="1050" t="str">
        <f ca="1">+'Tabla IV.2.'!$C$8</f>
        <v>Tabla IV.2.</v>
      </c>
      <c r="K1490" s="1050" t="str">
        <f t="shared" si="486"/>
        <v>A</v>
      </c>
      <c r="L1490" s="1047"/>
    </row>
    <row r="1491" spans="1:12">
      <c r="A1491" s="1047" t="s">
        <v>2944</v>
      </c>
      <c r="B1491" s="1047" t="str">
        <f t="shared" ref="B1491:B1554" si="487">PERIODO</f>
        <v>202503</v>
      </c>
      <c r="C1491" s="1047" t="s">
        <v>2945</v>
      </c>
      <c r="D1491" s="1048" t="str">
        <f t="shared" ca="1" si="484"/>
        <v>13.01.01.</v>
      </c>
      <c r="E1491" s="1047">
        <f t="shared" si="483"/>
        <v>0</v>
      </c>
      <c r="F1491" s="1049">
        <f ca="1">OFFSET('Tabla IV.2.'!$H$13,H1491-1,I1491-1)</f>
        <v>0</v>
      </c>
      <c r="G1491" s="1047" t="str">
        <f ca="1">OFFSET('Tabla IV.2.'!$H$1,0,I1491-1)</f>
        <v>04</v>
      </c>
      <c r="H1491" s="1050">
        <f t="shared" si="485"/>
        <v>2</v>
      </c>
      <c r="I1491" s="1050">
        <f>+I1490+1</f>
        <v>4</v>
      </c>
      <c r="J1491" s="1050" t="str">
        <f ca="1">+'Tabla IV.2.'!$C$8</f>
        <v>Tabla IV.2.</v>
      </c>
      <c r="K1491" s="1050" t="str">
        <f t="shared" si="486"/>
        <v>A</v>
      </c>
      <c r="L1491" s="1047"/>
    </row>
    <row r="1492" spans="1:12">
      <c r="A1492" s="1047" t="s">
        <v>2944</v>
      </c>
      <c r="B1492" s="1047" t="str">
        <f t="shared" si="487"/>
        <v>202503</v>
      </c>
      <c r="C1492" s="1047" t="s">
        <v>2945</v>
      </c>
      <c r="D1492" s="1048" t="str">
        <f t="shared" ca="1" si="484"/>
        <v>13.01.01.</v>
      </c>
      <c r="E1492" s="1047">
        <f t="shared" si="483"/>
        <v>0</v>
      </c>
      <c r="F1492" s="1049">
        <f ca="1">OFFSET('Tabla IV.2.'!$H$13,H1492-1,I1492-1)</f>
        <v>0</v>
      </c>
      <c r="G1492" s="1047" t="str">
        <f ca="1">OFFSET('Tabla IV.2.'!$H$1,0,I1492-1)</f>
        <v>05</v>
      </c>
      <c r="H1492" s="1050">
        <f t="shared" si="485"/>
        <v>2</v>
      </c>
      <c r="I1492" s="1050">
        <f>+I1491+1</f>
        <v>5</v>
      </c>
      <c r="J1492" s="1050" t="str">
        <f ca="1">+'Tabla IV.2.'!$C$8</f>
        <v>Tabla IV.2.</v>
      </c>
      <c r="K1492" s="1050" t="str">
        <f t="shared" si="486"/>
        <v>A</v>
      </c>
      <c r="L1492" s="1047"/>
    </row>
    <row r="1493" spans="1:12">
      <c r="A1493" s="1047" t="s">
        <v>2944</v>
      </c>
      <c r="B1493" s="1047" t="str">
        <f t="shared" si="487"/>
        <v>202503</v>
      </c>
      <c r="C1493" s="1047" t="s">
        <v>2945</v>
      </c>
      <c r="D1493" s="1048" t="str">
        <f t="shared" ca="1" si="484"/>
        <v>13.01.01.</v>
      </c>
      <c r="E1493" s="1047">
        <f t="shared" si="483"/>
        <v>0</v>
      </c>
      <c r="F1493" s="1049">
        <f ca="1">OFFSET('Tabla IV.2.'!$H$13,H1493-1,I1493-1)</f>
        <v>0</v>
      </c>
      <c r="G1493" s="1047" t="str">
        <f ca="1">OFFSET('Tabla IV.2.'!$H$1,0,I1493-1)</f>
        <v>06</v>
      </c>
      <c r="H1493" s="1050">
        <f t="shared" si="485"/>
        <v>2</v>
      </c>
      <c r="I1493" s="1050">
        <f>+I1492+1</f>
        <v>6</v>
      </c>
      <c r="J1493" s="1050" t="str">
        <f ca="1">+'Tabla IV.2.'!$C$8</f>
        <v>Tabla IV.2.</v>
      </c>
      <c r="K1493" s="1050" t="str">
        <f t="shared" si="486"/>
        <v>A</v>
      </c>
      <c r="L1493" s="1047"/>
    </row>
    <row r="1494" spans="1:12">
      <c r="A1494" s="412" t="s">
        <v>2944</v>
      </c>
      <c r="B1494" s="412" t="str">
        <f t="shared" si="487"/>
        <v>202503</v>
      </c>
      <c r="C1494" s="412" t="s">
        <v>2945</v>
      </c>
      <c r="D1494" s="413" t="str">
        <f ca="1">OFFSET('Tabla IV.2.'!$F$13,H1494-1,0)</f>
        <v>13.01.02.</v>
      </c>
      <c r="E1494" s="412">
        <f t="shared" si="483"/>
        <v>0</v>
      </c>
      <c r="F1494" s="414">
        <f ca="1">OFFSET('Tabla IV.2.'!$H$13,H1494-1,I1494-1)</f>
        <v>0</v>
      </c>
      <c r="G1494" s="412" t="str">
        <f ca="1">OFFSET('Tabla IV.2.'!$H$1,0,I1494-1)</f>
        <v>01</v>
      </c>
      <c r="H1494" s="111">
        <v>3</v>
      </c>
      <c r="I1494" s="111">
        <v>1</v>
      </c>
      <c r="J1494" s="111" t="str">
        <f ca="1">+'Tabla IV.2.'!$C$8</f>
        <v>Tabla IV.2.</v>
      </c>
      <c r="K1494" s="111" t="str">
        <f>+K1487</f>
        <v>A</v>
      </c>
      <c r="L1494" s="412">
        <v>3</v>
      </c>
    </row>
    <row r="1495" spans="1:12">
      <c r="A1495" s="412" t="s">
        <v>2944</v>
      </c>
      <c r="B1495" s="412" t="str">
        <f t="shared" si="487"/>
        <v>202503</v>
      </c>
      <c r="C1495" s="412" t="s">
        <v>2945</v>
      </c>
      <c r="D1495" s="413" t="str">
        <f t="shared" ca="1" si="484"/>
        <v>13.01.02.</v>
      </c>
      <c r="E1495" s="412">
        <f t="shared" si="483"/>
        <v>0</v>
      </c>
      <c r="F1495" s="414">
        <f ca="1">OFFSET('Tabla IV.2.'!$H$13,H1495-1,I1495-1)</f>
        <v>0</v>
      </c>
      <c r="G1495" s="412" t="str">
        <f ca="1">OFFSET('Tabla IV.2.'!$H$1,0,I1495-1)</f>
        <v>02</v>
      </c>
      <c r="H1495" s="111">
        <f t="shared" si="485"/>
        <v>3</v>
      </c>
      <c r="I1495" s="111">
        <f>+I1494+1</f>
        <v>2</v>
      </c>
      <c r="J1495" s="111" t="str">
        <f ca="1">+'Tabla IV.2.'!$C$8</f>
        <v>Tabla IV.2.</v>
      </c>
      <c r="K1495" s="111" t="str">
        <f t="shared" si="486"/>
        <v>A</v>
      </c>
      <c r="L1495" s="412"/>
    </row>
    <row r="1496" spans="1:12">
      <c r="A1496" s="412" t="s">
        <v>2944</v>
      </c>
      <c r="B1496" s="412" t="str">
        <f t="shared" si="487"/>
        <v>202503</v>
      </c>
      <c r="C1496" s="412" t="s">
        <v>2945</v>
      </c>
      <c r="D1496" s="413" t="str">
        <f t="shared" ca="1" si="484"/>
        <v>13.01.02.</v>
      </c>
      <c r="E1496" s="412">
        <f t="shared" si="483"/>
        <v>0</v>
      </c>
      <c r="F1496" s="414">
        <f ca="1">OFFSET('Tabla IV.2.'!$H$13,H1496-1,I1496-1)</f>
        <v>0</v>
      </c>
      <c r="G1496" s="412" t="str">
        <f ca="1">OFFSET('Tabla IV.2.'!$H$1,0,I1496-1)</f>
        <v>03</v>
      </c>
      <c r="H1496" s="111">
        <f t="shared" si="485"/>
        <v>3</v>
      </c>
      <c r="I1496" s="111">
        <f>+I1495+1</f>
        <v>3</v>
      </c>
      <c r="J1496" s="111" t="str">
        <f ca="1">+'Tabla IV.2.'!$C$8</f>
        <v>Tabla IV.2.</v>
      </c>
      <c r="K1496" s="111" t="str">
        <f t="shared" si="486"/>
        <v>A</v>
      </c>
      <c r="L1496" s="412"/>
    </row>
    <row r="1497" spans="1:12">
      <c r="A1497" s="412" t="s">
        <v>2944</v>
      </c>
      <c r="B1497" s="412" t="str">
        <f t="shared" si="487"/>
        <v>202503</v>
      </c>
      <c r="C1497" s="412" t="s">
        <v>2945</v>
      </c>
      <c r="D1497" s="413" t="str">
        <f t="shared" ca="1" si="484"/>
        <v>13.01.02.</v>
      </c>
      <c r="E1497" s="412">
        <f t="shared" si="483"/>
        <v>0</v>
      </c>
      <c r="F1497" s="414">
        <f ca="1">OFFSET('Tabla IV.2.'!$H$13,H1497-1,I1497-1)</f>
        <v>0</v>
      </c>
      <c r="G1497" s="412" t="str">
        <f ca="1">OFFSET('Tabla IV.2.'!$H$1,0,I1497-1)</f>
        <v>04</v>
      </c>
      <c r="H1497" s="111">
        <f t="shared" si="485"/>
        <v>3</v>
      </c>
      <c r="I1497" s="111">
        <f>+I1496+1</f>
        <v>4</v>
      </c>
      <c r="J1497" s="111" t="str">
        <f ca="1">+'Tabla IV.2.'!$C$8</f>
        <v>Tabla IV.2.</v>
      </c>
      <c r="K1497" s="111" t="str">
        <f t="shared" si="486"/>
        <v>A</v>
      </c>
      <c r="L1497" s="412"/>
    </row>
    <row r="1498" spans="1:12">
      <c r="A1498" s="412" t="s">
        <v>2944</v>
      </c>
      <c r="B1498" s="412" t="str">
        <f t="shared" si="487"/>
        <v>202503</v>
      </c>
      <c r="C1498" s="412" t="s">
        <v>2945</v>
      </c>
      <c r="D1498" s="413" t="str">
        <f t="shared" ca="1" si="484"/>
        <v>13.01.02.</v>
      </c>
      <c r="E1498" s="412">
        <f t="shared" si="483"/>
        <v>0</v>
      </c>
      <c r="F1498" s="414">
        <f ca="1">OFFSET('Tabla IV.2.'!$H$13,H1498-1,I1498-1)</f>
        <v>0</v>
      </c>
      <c r="G1498" s="412" t="str">
        <f ca="1">OFFSET('Tabla IV.2.'!$H$1,0,I1498-1)</f>
        <v>05</v>
      </c>
      <c r="H1498" s="111">
        <f t="shared" si="485"/>
        <v>3</v>
      </c>
      <c r="I1498" s="111">
        <f>+I1497+1</f>
        <v>5</v>
      </c>
      <c r="J1498" s="111" t="str">
        <f ca="1">+'Tabla IV.2.'!$C$8</f>
        <v>Tabla IV.2.</v>
      </c>
      <c r="K1498" s="111" t="str">
        <f t="shared" si="486"/>
        <v>A</v>
      </c>
      <c r="L1498" s="412"/>
    </row>
    <row r="1499" spans="1:12">
      <c r="A1499" s="412" t="s">
        <v>2944</v>
      </c>
      <c r="B1499" s="412" t="str">
        <f t="shared" si="487"/>
        <v>202503</v>
      </c>
      <c r="C1499" s="412" t="s">
        <v>2945</v>
      </c>
      <c r="D1499" s="413" t="str">
        <f t="shared" ca="1" si="484"/>
        <v>13.01.02.</v>
      </c>
      <c r="E1499" s="412">
        <f t="shared" si="483"/>
        <v>0</v>
      </c>
      <c r="F1499" s="414">
        <f ca="1">OFFSET('Tabla IV.2.'!$H$13,H1499-1,I1499-1)</f>
        <v>0</v>
      </c>
      <c r="G1499" s="412" t="str">
        <f ca="1">OFFSET('Tabla IV.2.'!$H$1,0,I1499-1)</f>
        <v>06</v>
      </c>
      <c r="H1499" s="111">
        <f t="shared" si="485"/>
        <v>3</v>
      </c>
      <c r="I1499" s="111">
        <f>+I1498+1</f>
        <v>6</v>
      </c>
      <c r="J1499" s="111" t="str">
        <f ca="1">+'Tabla IV.2.'!$C$8</f>
        <v>Tabla IV.2.</v>
      </c>
      <c r="K1499" s="111" t="str">
        <f t="shared" si="486"/>
        <v>A</v>
      </c>
      <c r="L1499" s="412"/>
    </row>
    <row r="1500" spans="1:12">
      <c r="A1500" s="406" t="s">
        <v>2944</v>
      </c>
      <c r="B1500" s="406" t="str">
        <f t="shared" si="487"/>
        <v>202503</v>
      </c>
      <c r="C1500" s="406" t="s">
        <v>2945</v>
      </c>
      <c r="D1500" s="407" t="str">
        <f ca="1">OFFSET('Tabla IV.2.'!$F$13,H1500-1,0)</f>
        <v>13.01.03.</v>
      </c>
      <c r="E1500" s="406">
        <f t="shared" si="483"/>
        <v>0</v>
      </c>
      <c r="F1500" s="408">
        <f ca="1">OFFSET('Tabla IV.2.'!$H$13,H1500-1,I1500-1)</f>
        <v>0</v>
      </c>
      <c r="G1500" s="406" t="str">
        <f ca="1">OFFSET('Tabla IV.2.'!$H$1,0,I1500-1)</f>
        <v>01</v>
      </c>
      <c r="H1500" s="409">
        <v>4</v>
      </c>
      <c r="I1500" s="409">
        <v>1</v>
      </c>
      <c r="J1500" s="409" t="str">
        <f ca="1">+'Tabla IV.2.'!$C$8</f>
        <v>Tabla IV.2.</v>
      </c>
      <c r="K1500" s="409" t="str">
        <f t="shared" si="486"/>
        <v>A</v>
      </c>
      <c r="L1500" s="406">
        <f>+L1494+1</f>
        <v>4</v>
      </c>
    </row>
    <row r="1501" spans="1:12">
      <c r="A1501" s="406" t="s">
        <v>2944</v>
      </c>
      <c r="B1501" s="406" t="str">
        <f t="shared" si="487"/>
        <v>202503</v>
      </c>
      <c r="C1501" s="406" t="s">
        <v>2945</v>
      </c>
      <c r="D1501" s="407" t="str">
        <f t="shared" ca="1" si="484"/>
        <v>13.01.03.</v>
      </c>
      <c r="E1501" s="406">
        <f t="shared" si="483"/>
        <v>0</v>
      </c>
      <c r="F1501" s="408">
        <f ca="1">OFFSET('Tabla IV.2.'!$H$13,H1501-1,I1501-1)</f>
        <v>0</v>
      </c>
      <c r="G1501" s="406" t="str">
        <f ca="1">OFFSET('Tabla IV.2.'!$H$1,0,I1501-1)</f>
        <v>02</v>
      </c>
      <c r="H1501" s="409">
        <f t="shared" si="485"/>
        <v>4</v>
      </c>
      <c r="I1501" s="409">
        <f>+I1500+1</f>
        <v>2</v>
      </c>
      <c r="J1501" s="409" t="str">
        <f ca="1">+'Tabla IV.2.'!$C$8</f>
        <v>Tabla IV.2.</v>
      </c>
      <c r="K1501" s="409" t="str">
        <f t="shared" si="486"/>
        <v>A</v>
      </c>
      <c r="L1501" s="406"/>
    </row>
    <row r="1502" spans="1:12">
      <c r="A1502" s="406" t="s">
        <v>2944</v>
      </c>
      <c r="B1502" s="406" t="str">
        <f t="shared" si="487"/>
        <v>202503</v>
      </c>
      <c r="C1502" s="406" t="s">
        <v>2945</v>
      </c>
      <c r="D1502" s="407" t="str">
        <f t="shared" ca="1" si="484"/>
        <v>13.01.03.</v>
      </c>
      <c r="E1502" s="406">
        <f t="shared" si="483"/>
        <v>0</v>
      </c>
      <c r="F1502" s="408">
        <f ca="1">OFFSET('Tabla IV.2.'!$H$13,H1502-1,I1502-1)</f>
        <v>0</v>
      </c>
      <c r="G1502" s="406" t="str">
        <f ca="1">OFFSET('Tabla IV.2.'!$H$1,0,I1502-1)</f>
        <v>03</v>
      </c>
      <c r="H1502" s="409">
        <f t="shared" si="485"/>
        <v>4</v>
      </c>
      <c r="I1502" s="409">
        <f>+I1501+1</f>
        <v>3</v>
      </c>
      <c r="J1502" s="409" t="str">
        <f ca="1">+'Tabla IV.2.'!$C$8</f>
        <v>Tabla IV.2.</v>
      </c>
      <c r="K1502" s="409" t="str">
        <f t="shared" si="486"/>
        <v>A</v>
      </c>
    </row>
    <row r="1503" spans="1:12">
      <c r="A1503" s="406" t="s">
        <v>2944</v>
      </c>
      <c r="B1503" s="406" t="str">
        <f t="shared" si="487"/>
        <v>202503</v>
      </c>
      <c r="C1503" s="406" t="s">
        <v>2945</v>
      </c>
      <c r="D1503" s="407" t="str">
        <f t="shared" ca="1" si="484"/>
        <v>13.01.03.</v>
      </c>
      <c r="E1503" s="406">
        <f t="shared" si="483"/>
        <v>0</v>
      </c>
      <c r="F1503" s="408">
        <f ca="1">OFFSET('Tabla IV.2.'!$H$13,H1503-1,I1503-1)</f>
        <v>0</v>
      </c>
      <c r="G1503" s="406" t="str">
        <f ca="1">OFFSET('Tabla IV.2.'!$H$1,0,I1503-1)</f>
        <v>04</v>
      </c>
      <c r="H1503" s="409">
        <f t="shared" si="485"/>
        <v>4</v>
      </c>
      <c r="I1503" s="409">
        <f>+I1502+1</f>
        <v>4</v>
      </c>
      <c r="J1503" s="409" t="str">
        <f ca="1">+'Tabla IV.2.'!$C$8</f>
        <v>Tabla IV.2.</v>
      </c>
      <c r="K1503" s="409" t="str">
        <f t="shared" si="486"/>
        <v>A</v>
      </c>
    </row>
    <row r="1504" spans="1:12">
      <c r="A1504" s="406" t="s">
        <v>2944</v>
      </c>
      <c r="B1504" s="406" t="str">
        <f t="shared" si="487"/>
        <v>202503</v>
      </c>
      <c r="C1504" s="406" t="s">
        <v>2945</v>
      </c>
      <c r="D1504" s="407" t="str">
        <f t="shared" ca="1" si="484"/>
        <v>13.01.03.</v>
      </c>
      <c r="E1504" s="406">
        <f t="shared" si="483"/>
        <v>0</v>
      </c>
      <c r="F1504" s="408">
        <f ca="1">OFFSET('Tabla IV.2.'!$H$13,H1504-1,I1504-1)</f>
        <v>0</v>
      </c>
      <c r="G1504" s="406" t="str">
        <f ca="1">OFFSET('Tabla IV.2.'!$H$1,0,I1504-1)</f>
        <v>05</v>
      </c>
      <c r="H1504" s="409">
        <f t="shared" si="485"/>
        <v>4</v>
      </c>
      <c r="I1504" s="409">
        <f>+I1503+1</f>
        <v>5</v>
      </c>
      <c r="J1504" s="409" t="str">
        <f ca="1">+'Tabla IV.2.'!$C$8</f>
        <v>Tabla IV.2.</v>
      </c>
      <c r="K1504" s="409" t="str">
        <f t="shared" si="486"/>
        <v>A</v>
      </c>
    </row>
    <row r="1505" spans="1:12">
      <c r="A1505" s="406" t="s">
        <v>2944</v>
      </c>
      <c r="B1505" s="406" t="str">
        <f t="shared" si="487"/>
        <v>202503</v>
      </c>
      <c r="C1505" s="406" t="s">
        <v>2945</v>
      </c>
      <c r="D1505" s="407" t="str">
        <f t="shared" ca="1" si="484"/>
        <v>13.01.03.</v>
      </c>
      <c r="E1505" s="406">
        <f t="shared" si="483"/>
        <v>0</v>
      </c>
      <c r="F1505" s="408">
        <f ca="1">OFFSET('Tabla IV.2.'!$H$13,H1505-1,I1505-1)</f>
        <v>0</v>
      </c>
      <c r="G1505" s="406" t="str">
        <f ca="1">OFFSET('Tabla IV.2.'!$H$1,0,I1505-1)</f>
        <v>06</v>
      </c>
      <c r="H1505" s="409">
        <f t="shared" si="485"/>
        <v>4</v>
      </c>
      <c r="I1505" s="409">
        <f>+I1504+1</f>
        <v>6</v>
      </c>
      <c r="J1505" s="409" t="str">
        <f ca="1">+'Tabla IV.2.'!$C$8</f>
        <v>Tabla IV.2.</v>
      </c>
      <c r="K1505" s="409" t="str">
        <f t="shared" si="486"/>
        <v>A</v>
      </c>
    </row>
    <row r="1506" spans="1:12">
      <c r="A1506" s="412" t="s">
        <v>2944</v>
      </c>
      <c r="B1506" s="412" t="str">
        <f t="shared" si="487"/>
        <v>202503</v>
      </c>
      <c r="C1506" s="412" t="s">
        <v>2945</v>
      </c>
      <c r="D1506" s="413" t="str">
        <f ca="1">OFFSET('Tabla IV.2.'!$F$13,H1506-1,0)</f>
        <v>13.01.03.01.</v>
      </c>
      <c r="E1506" s="412">
        <f t="shared" si="483"/>
        <v>0</v>
      </c>
      <c r="F1506" s="414">
        <f ca="1">OFFSET('Tabla IV.2.'!$H$13,H1506-1,I1506-1)</f>
        <v>0</v>
      </c>
      <c r="G1506" s="412" t="str">
        <f ca="1">OFFSET('Tabla IV.2.'!$H$1,0,I1506-1)</f>
        <v>01</v>
      </c>
      <c r="H1506" s="111">
        <v>5</v>
      </c>
      <c r="I1506" s="111">
        <v>1</v>
      </c>
      <c r="J1506" s="111" t="str">
        <f ca="1">+'Tabla IV.2.'!$C$8</f>
        <v>Tabla IV.2.</v>
      </c>
      <c r="K1506" s="111" t="str">
        <f>+K1499</f>
        <v>A</v>
      </c>
      <c r="L1506" s="412">
        <v>5</v>
      </c>
    </row>
    <row r="1507" spans="1:12">
      <c r="A1507" s="412" t="s">
        <v>2944</v>
      </c>
      <c r="B1507" s="412" t="str">
        <f t="shared" si="487"/>
        <v>202503</v>
      </c>
      <c r="C1507" s="412" t="s">
        <v>2945</v>
      </c>
      <c r="D1507" s="413" t="str">
        <f t="shared" ca="1" si="484"/>
        <v>13.01.03.01.</v>
      </c>
      <c r="E1507" s="412">
        <f t="shared" si="483"/>
        <v>0</v>
      </c>
      <c r="F1507" s="414">
        <f ca="1">OFFSET('Tabla IV.2.'!$H$13,H1507-1,I1507-1)</f>
        <v>0</v>
      </c>
      <c r="G1507" s="412" t="str">
        <f ca="1">OFFSET('Tabla IV.2.'!$H$1,0,I1507-1)</f>
        <v>02</v>
      </c>
      <c r="H1507" s="111">
        <f t="shared" si="485"/>
        <v>5</v>
      </c>
      <c r="I1507" s="111">
        <f>+I1506+1</f>
        <v>2</v>
      </c>
      <c r="J1507" s="111" t="str">
        <f ca="1">+'Tabla IV.2.'!$C$8</f>
        <v>Tabla IV.2.</v>
      </c>
      <c r="K1507" s="111" t="str">
        <f t="shared" si="486"/>
        <v>A</v>
      </c>
      <c r="L1507" s="412"/>
    </row>
    <row r="1508" spans="1:12">
      <c r="A1508" s="412" t="s">
        <v>2944</v>
      </c>
      <c r="B1508" s="412" t="str">
        <f t="shared" si="487"/>
        <v>202503</v>
      </c>
      <c r="C1508" s="412" t="s">
        <v>2945</v>
      </c>
      <c r="D1508" s="413" t="str">
        <f t="shared" ca="1" si="484"/>
        <v>13.01.03.01.</v>
      </c>
      <c r="E1508" s="412">
        <f t="shared" si="483"/>
        <v>0</v>
      </c>
      <c r="F1508" s="414">
        <f ca="1">OFFSET('Tabla IV.2.'!$H$13,H1508-1,I1508-1)</f>
        <v>0</v>
      </c>
      <c r="G1508" s="412" t="str">
        <f ca="1">OFFSET('Tabla IV.2.'!$H$1,0,I1508-1)</f>
        <v>03</v>
      </c>
      <c r="H1508" s="111">
        <f t="shared" si="485"/>
        <v>5</v>
      </c>
      <c r="I1508" s="111">
        <f>+I1507+1</f>
        <v>3</v>
      </c>
      <c r="J1508" s="111" t="str">
        <f ca="1">+'Tabla IV.2.'!$C$8</f>
        <v>Tabla IV.2.</v>
      </c>
      <c r="K1508" s="111" t="str">
        <f t="shared" si="486"/>
        <v>A</v>
      </c>
      <c r="L1508" s="412"/>
    </row>
    <row r="1509" spans="1:12">
      <c r="A1509" s="412" t="s">
        <v>2944</v>
      </c>
      <c r="B1509" s="412" t="str">
        <f t="shared" si="487"/>
        <v>202503</v>
      </c>
      <c r="C1509" s="412" t="s">
        <v>2945</v>
      </c>
      <c r="D1509" s="413" t="str">
        <f t="shared" ca="1" si="484"/>
        <v>13.01.03.01.</v>
      </c>
      <c r="E1509" s="412">
        <f t="shared" si="483"/>
        <v>0</v>
      </c>
      <c r="F1509" s="414">
        <f ca="1">OFFSET('Tabla IV.2.'!$H$13,H1509-1,I1509-1)</f>
        <v>0</v>
      </c>
      <c r="G1509" s="412" t="str">
        <f ca="1">OFFSET('Tabla IV.2.'!$H$1,0,I1509-1)</f>
        <v>04</v>
      </c>
      <c r="H1509" s="111">
        <f t="shared" si="485"/>
        <v>5</v>
      </c>
      <c r="I1509" s="111">
        <f>+I1508+1</f>
        <v>4</v>
      </c>
      <c r="J1509" s="111" t="str">
        <f ca="1">+'Tabla IV.2.'!$C$8</f>
        <v>Tabla IV.2.</v>
      </c>
      <c r="K1509" s="111" t="str">
        <f t="shared" si="486"/>
        <v>A</v>
      </c>
      <c r="L1509" s="412"/>
    </row>
    <row r="1510" spans="1:12">
      <c r="A1510" s="412" t="s">
        <v>2944</v>
      </c>
      <c r="B1510" s="412" t="str">
        <f t="shared" si="487"/>
        <v>202503</v>
      </c>
      <c r="C1510" s="412" t="s">
        <v>2945</v>
      </c>
      <c r="D1510" s="413" t="str">
        <f t="shared" ca="1" si="484"/>
        <v>13.01.03.01.</v>
      </c>
      <c r="E1510" s="412">
        <f t="shared" si="483"/>
        <v>0</v>
      </c>
      <c r="F1510" s="414">
        <f ca="1">OFFSET('Tabla IV.2.'!$H$13,H1510-1,I1510-1)</f>
        <v>0</v>
      </c>
      <c r="G1510" s="412" t="str">
        <f ca="1">OFFSET('Tabla IV.2.'!$H$1,0,I1510-1)</f>
        <v>05</v>
      </c>
      <c r="H1510" s="111">
        <f t="shared" si="485"/>
        <v>5</v>
      </c>
      <c r="I1510" s="111">
        <f>+I1509+1</f>
        <v>5</v>
      </c>
      <c r="J1510" s="111" t="str">
        <f ca="1">+'Tabla IV.2.'!$C$8</f>
        <v>Tabla IV.2.</v>
      </c>
      <c r="K1510" s="111" t="str">
        <f t="shared" si="486"/>
        <v>A</v>
      </c>
      <c r="L1510" s="412"/>
    </row>
    <row r="1511" spans="1:12">
      <c r="A1511" s="412" t="s">
        <v>2944</v>
      </c>
      <c r="B1511" s="412" t="str">
        <f t="shared" si="487"/>
        <v>202503</v>
      </c>
      <c r="C1511" s="412" t="s">
        <v>2945</v>
      </c>
      <c r="D1511" s="413" t="str">
        <f t="shared" ca="1" si="484"/>
        <v>13.01.03.01.</v>
      </c>
      <c r="E1511" s="412">
        <f t="shared" si="483"/>
        <v>0</v>
      </c>
      <c r="F1511" s="414">
        <f ca="1">OFFSET('Tabla IV.2.'!$H$13,H1511-1,I1511-1)</f>
        <v>0</v>
      </c>
      <c r="G1511" s="412" t="str">
        <f ca="1">OFFSET('Tabla IV.2.'!$H$1,0,I1511-1)</f>
        <v>06</v>
      </c>
      <c r="H1511" s="111">
        <f t="shared" si="485"/>
        <v>5</v>
      </c>
      <c r="I1511" s="111">
        <f>+I1510+1</f>
        <v>6</v>
      </c>
      <c r="J1511" s="111" t="str">
        <f ca="1">+'Tabla IV.2.'!$C$8</f>
        <v>Tabla IV.2.</v>
      </c>
      <c r="K1511" s="111" t="str">
        <f t="shared" si="486"/>
        <v>A</v>
      </c>
      <c r="L1511" s="412"/>
    </row>
    <row r="1512" spans="1:12">
      <c r="A1512" s="406" t="s">
        <v>2944</v>
      </c>
      <c r="B1512" s="406" t="str">
        <f t="shared" si="487"/>
        <v>202503</v>
      </c>
      <c r="C1512" s="406" t="s">
        <v>2945</v>
      </c>
      <c r="D1512" s="407" t="str">
        <f ca="1">OFFSET('Tabla IV.2.'!$F$13,H1512-1,0)</f>
        <v>13.01.03.02.</v>
      </c>
      <c r="E1512" s="406">
        <f t="shared" si="483"/>
        <v>0</v>
      </c>
      <c r="F1512" s="408">
        <f ca="1">OFFSET('Tabla IV.2.'!$H$13,H1512-1,I1512-1)</f>
        <v>0</v>
      </c>
      <c r="G1512" s="406" t="str">
        <f ca="1">OFFSET('Tabla IV.2.'!$H$1,0,I1512-1)</f>
        <v>01</v>
      </c>
      <c r="H1512" s="409">
        <v>6</v>
      </c>
      <c r="I1512" s="409">
        <v>1</v>
      </c>
      <c r="J1512" s="409" t="str">
        <f ca="1">+'Tabla IV.2.'!$C$8</f>
        <v>Tabla IV.2.</v>
      </c>
      <c r="K1512" s="409" t="str">
        <f t="shared" si="486"/>
        <v>A</v>
      </c>
      <c r="L1512" s="406">
        <f>+L1506+1</f>
        <v>6</v>
      </c>
    </row>
    <row r="1513" spans="1:12">
      <c r="A1513" s="406" t="s">
        <v>2944</v>
      </c>
      <c r="B1513" s="406" t="str">
        <f t="shared" si="487"/>
        <v>202503</v>
      </c>
      <c r="C1513" s="406" t="s">
        <v>2945</v>
      </c>
      <c r="D1513" s="407" t="str">
        <f t="shared" ca="1" si="484"/>
        <v>13.01.03.02.</v>
      </c>
      <c r="E1513" s="406">
        <f t="shared" si="483"/>
        <v>0</v>
      </c>
      <c r="F1513" s="408">
        <f ca="1">OFFSET('Tabla IV.2.'!$H$13,H1513-1,I1513-1)</f>
        <v>0</v>
      </c>
      <c r="G1513" s="406" t="str">
        <f ca="1">OFFSET('Tabla IV.2.'!$H$1,0,I1513-1)</f>
        <v>02</v>
      </c>
      <c r="H1513" s="409">
        <f t="shared" si="485"/>
        <v>6</v>
      </c>
      <c r="I1513" s="409">
        <f>+I1512+1</f>
        <v>2</v>
      </c>
      <c r="J1513" s="409" t="str">
        <f ca="1">+'Tabla IV.2.'!$C$8</f>
        <v>Tabla IV.2.</v>
      </c>
      <c r="K1513" s="409" t="str">
        <f t="shared" si="486"/>
        <v>A</v>
      </c>
      <c r="L1513" s="406"/>
    </row>
    <row r="1514" spans="1:12">
      <c r="A1514" s="406" t="s">
        <v>2944</v>
      </c>
      <c r="B1514" s="406" t="str">
        <f t="shared" si="487"/>
        <v>202503</v>
      </c>
      <c r="C1514" s="406" t="s">
        <v>2945</v>
      </c>
      <c r="D1514" s="407" t="str">
        <f t="shared" ca="1" si="484"/>
        <v>13.01.03.02.</v>
      </c>
      <c r="E1514" s="406">
        <f t="shared" si="483"/>
        <v>0</v>
      </c>
      <c r="F1514" s="408">
        <f ca="1">OFFSET('Tabla IV.2.'!$H$13,H1514-1,I1514-1)</f>
        <v>0</v>
      </c>
      <c r="G1514" s="406" t="str">
        <f ca="1">OFFSET('Tabla IV.2.'!$H$1,0,I1514-1)</f>
        <v>03</v>
      </c>
      <c r="H1514" s="409">
        <f t="shared" si="485"/>
        <v>6</v>
      </c>
      <c r="I1514" s="409">
        <f>+I1513+1</f>
        <v>3</v>
      </c>
      <c r="J1514" s="409" t="str">
        <f ca="1">+'Tabla IV.2.'!$C$8</f>
        <v>Tabla IV.2.</v>
      </c>
      <c r="K1514" s="409" t="str">
        <f t="shared" si="486"/>
        <v>A</v>
      </c>
    </row>
    <row r="1515" spans="1:12">
      <c r="A1515" s="406" t="s">
        <v>2944</v>
      </c>
      <c r="B1515" s="406" t="str">
        <f t="shared" si="487"/>
        <v>202503</v>
      </c>
      <c r="C1515" s="406" t="s">
        <v>2945</v>
      </c>
      <c r="D1515" s="407" t="str">
        <f t="shared" ca="1" si="484"/>
        <v>13.01.03.02.</v>
      </c>
      <c r="E1515" s="406">
        <f t="shared" si="483"/>
        <v>0</v>
      </c>
      <c r="F1515" s="408">
        <f ca="1">OFFSET('Tabla IV.2.'!$H$13,H1515-1,I1515-1)</f>
        <v>0</v>
      </c>
      <c r="G1515" s="406" t="str">
        <f ca="1">OFFSET('Tabla IV.2.'!$H$1,0,I1515-1)</f>
        <v>04</v>
      </c>
      <c r="H1515" s="409">
        <f t="shared" si="485"/>
        <v>6</v>
      </c>
      <c r="I1515" s="409">
        <f>+I1514+1</f>
        <v>4</v>
      </c>
      <c r="J1515" s="409" t="str">
        <f ca="1">+'Tabla IV.2.'!$C$8</f>
        <v>Tabla IV.2.</v>
      </c>
      <c r="K1515" s="409" t="str">
        <f t="shared" si="486"/>
        <v>A</v>
      </c>
    </row>
    <row r="1516" spans="1:12">
      <c r="A1516" s="406" t="s">
        <v>2944</v>
      </c>
      <c r="B1516" s="406" t="str">
        <f t="shared" si="487"/>
        <v>202503</v>
      </c>
      <c r="C1516" s="406" t="s">
        <v>2945</v>
      </c>
      <c r="D1516" s="407" t="str">
        <f t="shared" ca="1" si="484"/>
        <v>13.01.03.02.</v>
      </c>
      <c r="E1516" s="406">
        <f t="shared" si="483"/>
        <v>0</v>
      </c>
      <c r="F1516" s="408">
        <f ca="1">OFFSET('Tabla IV.2.'!$H$13,H1516-1,I1516-1)</f>
        <v>0</v>
      </c>
      <c r="G1516" s="406" t="str">
        <f ca="1">OFFSET('Tabla IV.2.'!$H$1,0,I1516-1)</f>
        <v>05</v>
      </c>
      <c r="H1516" s="409">
        <f t="shared" si="485"/>
        <v>6</v>
      </c>
      <c r="I1516" s="409">
        <f>+I1515+1</f>
        <v>5</v>
      </c>
      <c r="J1516" s="409" t="str">
        <f ca="1">+'Tabla IV.2.'!$C$8</f>
        <v>Tabla IV.2.</v>
      </c>
      <c r="K1516" s="409" t="str">
        <f t="shared" si="486"/>
        <v>A</v>
      </c>
    </row>
    <row r="1517" spans="1:12">
      <c r="A1517" s="406" t="s">
        <v>2944</v>
      </c>
      <c r="B1517" s="406" t="str">
        <f t="shared" si="487"/>
        <v>202503</v>
      </c>
      <c r="C1517" s="406" t="s">
        <v>2945</v>
      </c>
      <c r="D1517" s="407" t="str">
        <f t="shared" ca="1" si="484"/>
        <v>13.01.03.02.</v>
      </c>
      <c r="E1517" s="406">
        <f t="shared" si="483"/>
        <v>0</v>
      </c>
      <c r="F1517" s="408">
        <f ca="1">OFFSET('Tabla IV.2.'!$H$13,H1517-1,I1517-1)</f>
        <v>0</v>
      </c>
      <c r="G1517" s="406" t="str">
        <f ca="1">OFFSET('Tabla IV.2.'!$H$1,0,I1517-1)</f>
        <v>06</v>
      </c>
      <c r="H1517" s="409">
        <f t="shared" si="485"/>
        <v>6</v>
      </c>
      <c r="I1517" s="409">
        <f>+I1516+1</f>
        <v>6</v>
      </c>
      <c r="J1517" s="409" t="str">
        <f ca="1">+'Tabla IV.2.'!$C$8</f>
        <v>Tabla IV.2.</v>
      </c>
      <c r="K1517" s="409" t="str">
        <f t="shared" si="486"/>
        <v>A</v>
      </c>
    </row>
    <row r="1518" spans="1:12">
      <c r="A1518" s="1047" t="s">
        <v>2944</v>
      </c>
      <c r="B1518" s="1047" t="str">
        <f t="shared" si="487"/>
        <v>202503</v>
      </c>
      <c r="C1518" s="1047" t="s">
        <v>2945</v>
      </c>
      <c r="D1518" s="1048" t="str">
        <f ca="1">OFFSET('Tabla IV.2.'!$F$26,H1518-1,0)</f>
        <v>13.02.</v>
      </c>
      <c r="E1518" s="1047">
        <f t="shared" si="483"/>
        <v>0</v>
      </c>
      <c r="F1518" s="1049">
        <f ca="1">OFFSET('Tabla IV.2.'!$H$26,H1518-1,I1518-1)</f>
        <v>0</v>
      </c>
      <c r="G1518" s="1047" t="str">
        <f ca="1">OFFSET('Tabla IV.2.'!$H$1,0,I1518-1)</f>
        <v>01</v>
      </c>
      <c r="H1518" s="1050">
        <v>1</v>
      </c>
      <c r="I1518" s="1050">
        <v>1</v>
      </c>
      <c r="J1518" s="1050" t="str">
        <f ca="1">+'Tabla IV.2.'!$C$8</f>
        <v>Tabla IV.2.</v>
      </c>
      <c r="K1518" s="1050" t="s">
        <v>2267</v>
      </c>
      <c r="L1518" s="1047">
        <v>1</v>
      </c>
    </row>
    <row r="1519" spans="1:12">
      <c r="A1519" s="1047" t="s">
        <v>2944</v>
      </c>
      <c r="B1519" s="1047" t="str">
        <f t="shared" si="487"/>
        <v>202503</v>
      </c>
      <c r="C1519" s="1047" t="s">
        <v>2945</v>
      </c>
      <c r="D1519" s="1048" t="str">
        <f t="shared" ca="1" si="484"/>
        <v>13.02.</v>
      </c>
      <c r="E1519" s="1047">
        <f t="shared" si="483"/>
        <v>0</v>
      </c>
      <c r="F1519" s="1049">
        <f ca="1">OFFSET('Tabla IV.2.'!$H$26,H1519-1,I1519-1)</f>
        <v>0</v>
      </c>
      <c r="G1519" s="1047" t="str">
        <f ca="1">OFFSET('Tabla IV.2.'!$H$1,0,I1519-1)</f>
        <v>02</v>
      </c>
      <c r="H1519" s="1050">
        <f t="shared" si="485"/>
        <v>1</v>
      </c>
      <c r="I1519" s="1050">
        <f>+I1518+1</f>
        <v>2</v>
      </c>
      <c r="J1519" s="1050" t="str">
        <f ca="1">+'Tabla IV.2.'!$C$8</f>
        <v>Tabla IV.2.</v>
      </c>
      <c r="K1519" s="1050" t="str">
        <f t="shared" si="486"/>
        <v>B</v>
      </c>
      <c r="L1519" s="1047"/>
    </row>
    <row r="1520" spans="1:12">
      <c r="A1520" s="1047" t="s">
        <v>2944</v>
      </c>
      <c r="B1520" s="1047" t="str">
        <f t="shared" si="487"/>
        <v>202503</v>
      </c>
      <c r="C1520" s="1047" t="s">
        <v>2945</v>
      </c>
      <c r="D1520" s="1048" t="str">
        <f t="shared" ca="1" si="484"/>
        <v>13.02.</v>
      </c>
      <c r="E1520" s="1047">
        <f t="shared" si="483"/>
        <v>0</v>
      </c>
      <c r="F1520" s="1049">
        <f ca="1">OFFSET('Tabla IV.2.'!$H$26,H1520-1,I1520-1)</f>
        <v>0</v>
      </c>
      <c r="G1520" s="1047" t="str">
        <f ca="1">OFFSET('Tabla IV.2.'!$H$1,0,I1520-1)</f>
        <v>03</v>
      </c>
      <c r="H1520" s="1050">
        <f t="shared" si="485"/>
        <v>1</v>
      </c>
      <c r="I1520" s="1050">
        <f>+I1519+1</f>
        <v>3</v>
      </c>
      <c r="J1520" s="1050" t="str">
        <f ca="1">+'Tabla IV.2.'!$C$8</f>
        <v>Tabla IV.2.</v>
      </c>
      <c r="K1520" s="1050" t="str">
        <f t="shared" si="486"/>
        <v>B</v>
      </c>
      <c r="L1520" s="1047"/>
    </row>
    <row r="1521" spans="1:12">
      <c r="A1521" s="1047" t="s">
        <v>2944</v>
      </c>
      <c r="B1521" s="1047" t="str">
        <f t="shared" si="487"/>
        <v>202503</v>
      </c>
      <c r="C1521" s="1047" t="s">
        <v>2945</v>
      </c>
      <c r="D1521" s="1048" t="str">
        <f t="shared" ca="1" si="484"/>
        <v>13.02.</v>
      </c>
      <c r="E1521" s="1047">
        <f t="shared" si="483"/>
        <v>0</v>
      </c>
      <c r="F1521" s="1049">
        <f ca="1">OFFSET('Tabla IV.2.'!$H$26,H1521-1,I1521-1)</f>
        <v>0</v>
      </c>
      <c r="G1521" s="1047" t="str">
        <f ca="1">OFFSET('Tabla IV.2.'!$H$1,0,I1521-1)</f>
        <v>04</v>
      </c>
      <c r="H1521" s="1050">
        <f t="shared" si="485"/>
        <v>1</v>
      </c>
      <c r="I1521" s="1050">
        <f>+I1520+1</f>
        <v>4</v>
      </c>
      <c r="J1521" s="1050" t="str">
        <f ca="1">+'Tabla IV.2.'!$C$8</f>
        <v>Tabla IV.2.</v>
      </c>
      <c r="K1521" s="1050" t="str">
        <f t="shared" si="486"/>
        <v>B</v>
      </c>
      <c r="L1521" s="1047"/>
    </row>
    <row r="1522" spans="1:12">
      <c r="A1522" s="1047" t="s">
        <v>2944</v>
      </c>
      <c r="B1522" s="1047" t="str">
        <f t="shared" si="487"/>
        <v>202503</v>
      </c>
      <c r="C1522" s="1047" t="s">
        <v>2945</v>
      </c>
      <c r="D1522" s="1048" t="str">
        <f t="shared" ca="1" si="484"/>
        <v>13.02.</v>
      </c>
      <c r="E1522" s="1047">
        <f t="shared" si="483"/>
        <v>0</v>
      </c>
      <c r="F1522" s="1049">
        <f ca="1">OFFSET('Tabla IV.2.'!$H$26,H1522-1,I1522-1)</f>
        <v>0</v>
      </c>
      <c r="G1522" s="1047" t="str">
        <f ca="1">OFFSET('Tabla IV.2.'!$H$1,0,I1522-1)</f>
        <v>05</v>
      </c>
      <c r="H1522" s="1050">
        <f t="shared" si="485"/>
        <v>1</v>
      </c>
      <c r="I1522" s="1050">
        <f>+I1521+1</f>
        <v>5</v>
      </c>
      <c r="J1522" s="1050" t="str">
        <f ca="1">+'Tabla IV.2.'!$C$8</f>
        <v>Tabla IV.2.</v>
      </c>
      <c r="K1522" s="1050" t="str">
        <f t="shared" si="486"/>
        <v>B</v>
      </c>
      <c r="L1522" s="1047"/>
    </row>
    <row r="1523" spans="1:12">
      <c r="A1523" s="1047" t="s">
        <v>2944</v>
      </c>
      <c r="B1523" s="1047" t="str">
        <f t="shared" si="487"/>
        <v>202503</v>
      </c>
      <c r="C1523" s="1047" t="s">
        <v>2945</v>
      </c>
      <c r="D1523" s="1048" t="str">
        <f ca="1">+D1522</f>
        <v>13.02.</v>
      </c>
      <c r="E1523" s="1047">
        <f t="shared" si="483"/>
        <v>0</v>
      </c>
      <c r="F1523" s="1049">
        <f ca="1">OFFSET('Tabla IV.2.'!$H$26,H1523-1,I1523-1)</f>
        <v>0</v>
      </c>
      <c r="G1523" s="1047" t="str">
        <f ca="1">OFFSET('Tabla IV.2.'!$H$1,0,I1523-1)</f>
        <v>06</v>
      </c>
      <c r="H1523" s="1050">
        <f>+H1522</f>
        <v>1</v>
      </c>
      <c r="I1523" s="1050">
        <f>+I1522+1</f>
        <v>6</v>
      </c>
      <c r="J1523" s="1050" t="str">
        <f ca="1">+'Tabla IV.2.'!$C$8</f>
        <v>Tabla IV.2.</v>
      </c>
      <c r="K1523" s="1050" t="str">
        <f t="shared" si="486"/>
        <v>B</v>
      </c>
      <c r="L1523" s="1047"/>
    </row>
    <row r="1524" spans="1:12">
      <c r="A1524" s="1051" t="s">
        <v>2944</v>
      </c>
      <c r="B1524" s="1051" t="str">
        <f t="shared" si="487"/>
        <v>202503</v>
      </c>
      <c r="C1524" s="1051" t="s">
        <v>2945</v>
      </c>
      <c r="D1524" s="1052" t="str">
        <f ca="1">OFFSET('Tabla IV.2.'!$F$26,H1524-1,0)</f>
        <v>13.02.01.</v>
      </c>
      <c r="E1524" s="1051">
        <f t="shared" si="483"/>
        <v>0</v>
      </c>
      <c r="F1524" s="1053">
        <f ca="1">OFFSET('Tabla IV.2.'!$H$26,H1524-1,I1524-1)</f>
        <v>0</v>
      </c>
      <c r="G1524" s="1051" t="str">
        <f ca="1">OFFSET('Tabla IV.2.'!$H$1,0,I1524-1)</f>
        <v>01</v>
      </c>
      <c r="H1524" s="1054">
        <v>2</v>
      </c>
      <c r="I1524" s="1054">
        <v>1</v>
      </c>
      <c r="J1524" s="1054" t="str">
        <f ca="1">+'Tabla IV.2.'!$C$8</f>
        <v>Tabla IV.2.</v>
      </c>
      <c r="K1524" s="1054" t="s">
        <v>2267</v>
      </c>
      <c r="L1524" s="1051">
        <v>2</v>
      </c>
    </row>
    <row r="1525" spans="1:12">
      <c r="A1525" s="1051" t="s">
        <v>2944</v>
      </c>
      <c r="B1525" s="1051" t="str">
        <f t="shared" si="487"/>
        <v>202503</v>
      </c>
      <c r="C1525" s="1051" t="s">
        <v>2945</v>
      </c>
      <c r="D1525" s="1052" t="str">
        <f t="shared" ref="D1525:D1588" ca="1" si="488">+D1524</f>
        <v>13.02.01.</v>
      </c>
      <c r="E1525" s="1051">
        <f t="shared" si="483"/>
        <v>0</v>
      </c>
      <c r="F1525" s="1053">
        <f ca="1">OFFSET('Tabla IV.2.'!$H$26,H1525-1,I1525-1)</f>
        <v>0</v>
      </c>
      <c r="G1525" s="1051" t="str">
        <f ca="1">OFFSET('Tabla IV.2.'!$H$1,0,I1525-1)</f>
        <v>02</v>
      </c>
      <c r="H1525" s="1054">
        <f t="shared" ref="H1525:H1588" si="489">+H1524</f>
        <v>2</v>
      </c>
      <c r="I1525" s="1054">
        <f>+I1524+1</f>
        <v>2</v>
      </c>
      <c r="J1525" s="1054" t="str">
        <f ca="1">+'Tabla IV.2.'!$C$8</f>
        <v>Tabla IV.2.</v>
      </c>
      <c r="K1525" s="1054" t="str">
        <f t="shared" si="486"/>
        <v>B</v>
      </c>
      <c r="L1525" s="1051"/>
    </row>
    <row r="1526" spans="1:12">
      <c r="A1526" s="1051" t="s">
        <v>2944</v>
      </c>
      <c r="B1526" s="1051" t="str">
        <f t="shared" si="487"/>
        <v>202503</v>
      </c>
      <c r="C1526" s="1051" t="s">
        <v>2945</v>
      </c>
      <c r="D1526" s="1052" t="str">
        <f t="shared" ca="1" si="488"/>
        <v>13.02.01.</v>
      </c>
      <c r="E1526" s="1051">
        <f t="shared" si="483"/>
        <v>0</v>
      </c>
      <c r="F1526" s="1053">
        <f ca="1">OFFSET('Tabla IV.2.'!$H$26,H1526-1,I1526-1)</f>
        <v>0</v>
      </c>
      <c r="G1526" s="1051" t="str">
        <f ca="1">OFFSET('Tabla IV.2.'!$H$1,0,I1526-1)</f>
        <v>03</v>
      </c>
      <c r="H1526" s="1054">
        <f t="shared" si="489"/>
        <v>2</v>
      </c>
      <c r="I1526" s="1054">
        <f>+I1525+1</f>
        <v>3</v>
      </c>
      <c r="J1526" s="1054" t="str">
        <f ca="1">+'Tabla IV.2.'!$C$8</f>
        <v>Tabla IV.2.</v>
      </c>
      <c r="K1526" s="1054" t="str">
        <f t="shared" si="486"/>
        <v>B</v>
      </c>
      <c r="L1526" s="1051"/>
    </row>
    <row r="1527" spans="1:12">
      <c r="A1527" s="1051" t="s">
        <v>2944</v>
      </c>
      <c r="B1527" s="1051" t="str">
        <f t="shared" si="487"/>
        <v>202503</v>
      </c>
      <c r="C1527" s="1051" t="s">
        <v>2945</v>
      </c>
      <c r="D1527" s="1052" t="str">
        <f t="shared" ca="1" si="488"/>
        <v>13.02.01.</v>
      </c>
      <c r="E1527" s="1051">
        <f t="shared" si="483"/>
        <v>0</v>
      </c>
      <c r="F1527" s="1053">
        <f ca="1">OFFSET('Tabla IV.2.'!$H$26,H1527-1,I1527-1)</f>
        <v>0</v>
      </c>
      <c r="G1527" s="1051" t="str">
        <f ca="1">OFFSET('Tabla IV.2.'!$H$1,0,I1527-1)</f>
        <v>04</v>
      </c>
      <c r="H1527" s="1054">
        <f t="shared" si="489"/>
        <v>2</v>
      </c>
      <c r="I1527" s="1054">
        <f>+I1526+1</f>
        <v>4</v>
      </c>
      <c r="J1527" s="1054" t="str">
        <f ca="1">+'Tabla IV.2.'!$C$8</f>
        <v>Tabla IV.2.</v>
      </c>
      <c r="K1527" s="1054" t="str">
        <f t="shared" si="486"/>
        <v>B</v>
      </c>
      <c r="L1527" s="1051"/>
    </row>
    <row r="1528" spans="1:12">
      <c r="A1528" s="1051" t="s">
        <v>2944</v>
      </c>
      <c r="B1528" s="1051" t="str">
        <f t="shared" si="487"/>
        <v>202503</v>
      </c>
      <c r="C1528" s="1051" t="s">
        <v>2945</v>
      </c>
      <c r="D1528" s="1052" t="str">
        <f t="shared" ca="1" si="488"/>
        <v>13.02.01.</v>
      </c>
      <c r="E1528" s="1051">
        <f t="shared" si="483"/>
        <v>0</v>
      </c>
      <c r="F1528" s="1053">
        <f ca="1">OFFSET('Tabla IV.2.'!$H$26,H1528-1,I1528-1)</f>
        <v>0</v>
      </c>
      <c r="G1528" s="1051" t="str">
        <f ca="1">OFFSET('Tabla IV.2.'!$H$1,0,I1528-1)</f>
        <v>05</v>
      </c>
      <c r="H1528" s="1054">
        <f t="shared" si="489"/>
        <v>2</v>
      </c>
      <c r="I1528" s="1054">
        <f>+I1527+1</f>
        <v>5</v>
      </c>
      <c r="J1528" s="1054" t="str">
        <f ca="1">+'Tabla IV.2.'!$C$8</f>
        <v>Tabla IV.2.</v>
      </c>
      <c r="K1528" s="1054" t="str">
        <f t="shared" si="486"/>
        <v>B</v>
      </c>
      <c r="L1528" s="1051"/>
    </row>
    <row r="1529" spans="1:12">
      <c r="A1529" s="1051" t="s">
        <v>2944</v>
      </c>
      <c r="B1529" s="1051" t="str">
        <f t="shared" si="487"/>
        <v>202503</v>
      </c>
      <c r="C1529" s="1051" t="s">
        <v>2945</v>
      </c>
      <c r="D1529" s="1052" t="str">
        <f t="shared" ca="1" si="488"/>
        <v>13.02.01.</v>
      </c>
      <c r="E1529" s="1051">
        <f t="shared" si="483"/>
        <v>0</v>
      </c>
      <c r="F1529" s="1053">
        <f ca="1">OFFSET('Tabla IV.2.'!$H$26,H1529-1,I1529-1)</f>
        <v>0</v>
      </c>
      <c r="G1529" s="1051" t="str">
        <f ca="1">OFFSET('Tabla IV.2.'!$H$1,0,I1529-1)</f>
        <v>06</v>
      </c>
      <c r="H1529" s="1054">
        <f t="shared" si="489"/>
        <v>2</v>
      </c>
      <c r="I1529" s="1054">
        <f>+I1528+1</f>
        <v>6</v>
      </c>
      <c r="J1529" s="1054" t="str">
        <f ca="1">+'Tabla IV.2.'!$C$8</f>
        <v>Tabla IV.2.</v>
      </c>
      <c r="K1529" s="1054" t="str">
        <f t="shared" si="486"/>
        <v>B</v>
      </c>
      <c r="L1529" s="1051"/>
    </row>
    <row r="1530" spans="1:12">
      <c r="A1530" s="1047" t="s">
        <v>2944</v>
      </c>
      <c r="B1530" s="1047" t="str">
        <f t="shared" si="487"/>
        <v>202503</v>
      </c>
      <c r="C1530" s="1047" t="s">
        <v>2945</v>
      </c>
      <c r="D1530" s="1048" t="str">
        <f ca="1">OFFSET('Tabla IV.2.'!$F$26,H1530-1,0)</f>
        <v>13.02.02.</v>
      </c>
      <c r="E1530" s="1047">
        <f t="shared" si="483"/>
        <v>0</v>
      </c>
      <c r="F1530" s="1049">
        <f ca="1">OFFSET('Tabla IV.2.'!$H$26,H1530-1,I1530-1)</f>
        <v>0</v>
      </c>
      <c r="G1530" s="1047" t="str">
        <f ca="1">OFFSET('Tabla IV.2.'!$H$1,0,I1530-1)</f>
        <v>01</v>
      </c>
      <c r="H1530" s="1050">
        <v>3</v>
      </c>
      <c r="I1530" s="1050">
        <v>1</v>
      </c>
      <c r="J1530" s="1050" t="str">
        <f ca="1">+'Tabla IV.2.'!$C$8</f>
        <v>Tabla IV.2.</v>
      </c>
      <c r="K1530" s="1050" t="s">
        <v>2267</v>
      </c>
      <c r="L1530" s="1047">
        <v>3</v>
      </c>
    </row>
    <row r="1531" spans="1:12">
      <c r="A1531" s="1047" t="s">
        <v>2944</v>
      </c>
      <c r="B1531" s="1047" t="str">
        <f t="shared" si="487"/>
        <v>202503</v>
      </c>
      <c r="C1531" s="1047" t="s">
        <v>2945</v>
      </c>
      <c r="D1531" s="1048" t="str">
        <f t="shared" ca="1" si="488"/>
        <v>13.02.02.</v>
      </c>
      <c r="E1531" s="1047">
        <f t="shared" si="483"/>
        <v>0</v>
      </c>
      <c r="F1531" s="1049">
        <f ca="1">OFFSET('Tabla IV.2.'!$H$26,H1531-1,I1531-1)</f>
        <v>0</v>
      </c>
      <c r="G1531" s="1047" t="str">
        <f ca="1">OFFSET('Tabla IV.2.'!$H$1,0,I1531-1)</f>
        <v>02</v>
      </c>
      <c r="H1531" s="1050">
        <f t="shared" si="489"/>
        <v>3</v>
      </c>
      <c r="I1531" s="1050">
        <f>+I1530+1</f>
        <v>2</v>
      </c>
      <c r="J1531" s="1050" t="str">
        <f ca="1">+'Tabla IV.2.'!$C$8</f>
        <v>Tabla IV.2.</v>
      </c>
      <c r="K1531" s="1050" t="str">
        <f t="shared" si="486"/>
        <v>B</v>
      </c>
      <c r="L1531" s="1047"/>
    </row>
    <row r="1532" spans="1:12">
      <c r="A1532" s="1047" t="s">
        <v>2944</v>
      </c>
      <c r="B1532" s="1047" t="str">
        <f t="shared" si="487"/>
        <v>202503</v>
      </c>
      <c r="C1532" s="1047" t="s">
        <v>2945</v>
      </c>
      <c r="D1532" s="1048" t="str">
        <f t="shared" ca="1" si="488"/>
        <v>13.02.02.</v>
      </c>
      <c r="E1532" s="1047">
        <f t="shared" si="483"/>
        <v>0</v>
      </c>
      <c r="F1532" s="1049">
        <f ca="1">OFFSET('Tabla IV.2.'!$H$26,H1532-1,I1532-1)</f>
        <v>0</v>
      </c>
      <c r="G1532" s="1047" t="str">
        <f ca="1">OFFSET('Tabla IV.2.'!$H$1,0,I1532-1)</f>
        <v>03</v>
      </c>
      <c r="H1532" s="1050">
        <f t="shared" si="489"/>
        <v>3</v>
      </c>
      <c r="I1532" s="1050">
        <f>+I1531+1</f>
        <v>3</v>
      </c>
      <c r="J1532" s="1050" t="str">
        <f ca="1">+'Tabla IV.2.'!$C$8</f>
        <v>Tabla IV.2.</v>
      </c>
      <c r="K1532" s="1050" t="str">
        <f t="shared" si="486"/>
        <v>B</v>
      </c>
      <c r="L1532" s="1047"/>
    </row>
    <row r="1533" spans="1:12">
      <c r="A1533" s="1047" t="s">
        <v>2944</v>
      </c>
      <c r="B1533" s="1047" t="str">
        <f t="shared" si="487"/>
        <v>202503</v>
      </c>
      <c r="C1533" s="1047" t="s">
        <v>2945</v>
      </c>
      <c r="D1533" s="1048" t="str">
        <f t="shared" ca="1" si="488"/>
        <v>13.02.02.</v>
      </c>
      <c r="E1533" s="1047">
        <f t="shared" si="483"/>
        <v>0</v>
      </c>
      <c r="F1533" s="1049">
        <f ca="1">OFFSET('Tabla IV.2.'!$H$26,H1533-1,I1533-1)</f>
        <v>0</v>
      </c>
      <c r="G1533" s="1047" t="str">
        <f ca="1">OFFSET('Tabla IV.2.'!$H$1,0,I1533-1)</f>
        <v>04</v>
      </c>
      <c r="H1533" s="1050">
        <f t="shared" si="489"/>
        <v>3</v>
      </c>
      <c r="I1533" s="1050">
        <f>+I1532+1</f>
        <v>4</v>
      </c>
      <c r="J1533" s="1050" t="str">
        <f ca="1">+'Tabla IV.2.'!$C$8</f>
        <v>Tabla IV.2.</v>
      </c>
      <c r="K1533" s="1050" t="str">
        <f t="shared" si="486"/>
        <v>B</v>
      </c>
      <c r="L1533" s="1047"/>
    </row>
    <row r="1534" spans="1:12">
      <c r="A1534" s="1047" t="s">
        <v>2944</v>
      </c>
      <c r="B1534" s="1047" t="str">
        <f t="shared" si="487"/>
        <v>202503</v>
      </c>
      <c r="C1534" s="1047" t="s">
        <v>2945</v>
      </c>
      <c r="D1534" s="1048" t="str">
        <f t="shared" ca="1" si="488"/>
        <v>13.02.02.</v>
      </c>
      <c r="E1534" s="1047">
        <f t="shared" si="483"/>
        <v>0</v>
      </c>
      <c r="F1534" s="1049">
        <f ca="1">OFFSET('Tabla IV.2.'!$H$26,H1534-1,I1534-1)</f>
        <v>0</v>
      </c>
      <c r="G1534" s="1047" t="str">
        <f ca="1">OFFSET('Tabla IV.2.'!$H$1,0,I1534-1)</f>
        <v>05</v>
      </c>
      <c r="H1534" s="1050">
        <f t="shared" si="489"/>
        <v>3</v>
      </c>
      <c r="I1534" s="1050">
        <f>+I1533+1</f>
        <v>5</v>
      </c>
      <c r="J1534" s="1050" t="str">
        <f ca="1">+'Tabla IV.2.'!$C$8</f>
        <v>Tabla IV.2.</v>
      </c>
      <c r="K1534" s="1050" t="str">
        <f t="shared" si="486"/>
        <v>B</v>
      </c>
      <c r="L1534" s="1047"/>
    </row>
    <row r="1535" spans="1:12">
      <c r="A1535" s="1047" t="s">
        <v>2944</v>
      </c>
      <c r="B1535" s="1047" t="str">
        <f t="shared" si="487"/>
        <v>202503</v>
      </c>
      <c r="C1535" s="1047" t="s">
        <v>2945</v>
      </c>
      <c r="D1535" s="1048" t="str">
        <f t="shared" ca="1" si="488"/>
        <v>13.02.02.</v>
      </c>
      <c r="E1535" s="1047">
        <f t="shared" si="483"/>
        <v>0</v>
      </c>
      <c r="F1535" s="1049">
        <f ca="1">OFFSET('Tabla IV.2.'!$H$26,H1535-1,I1535-1)</f>
        <v>0</v>
      </c>
      <c r="G1535" s="1047" t="str">
        <f ca="1">OFFSET('Tabla IV.2.'!$H$1,0,I1535-1)</f>
        <v>06</v>
      </c>
      <c r="H1535" s="1050">
        <f t="shared" si="489"/>
        <v>3</v>
      </c>
      <c r="I1535" s="1050">
        <f>+I1534+1</f>
        <v>6</v>
      </c>
      <c r="J1535" s="1050" t="str">
        <f ca="1">+'Tabla IV.2.'!$C$8</f>
        <v>Tabla IV.2.</v>
      </c>
      <c r="K1535" s="1050" t="str">
        <f t="shared" si="486"/>
        <v>B</v>
      </c>
      <c r="L1535" s="1047"/>
    </row>
    <row r="1536" spans="1:12">
      <c r="A1536" s="1051" t="s">
        <v>2944</v>
      </c>
      <c r="B1536" s="1051" t="str">
        <f t="shared" si="487"/>
        <v>202503</v>
      </c>
      <c r="C1536" s="1051" t="s">
        <v>2945</v>
      </c>
      <c r="D1536" s="1052" t="str">
        <f ca="1">OFFSET('Tabla IV.2.'!$F$26,H1536-1,0)</f>
        <v>13.02.03.</v>
      </c>
      <c r="E1536" s="1051">
        <f t="shared" si="483"/>
        <v>0</v>
      </c>
      <c r="F1536" s="1053">
        <f ca="1">OFFSET('Tabla IV.2.'!$H$26,H1536-1,I1536-1)</f>
        <v>0</v>
      </c>
      <c r="G1536" s="1051" t="str">
        <f ca="1">OFFSET('Tabla IV.2.'!$H$1,0,I1536-1)</f>
        <v>01</v>
      </c>
      <c r="H1536" s="1054">
        <v>4</v>
      </c>
      <c r="I1536" s="1054">
        <v>1</v>
      </c>
      <c r="J1536" s="1054" t="str">
        <f ca="1">+'Tabla IV.2.'!$C$8</f>
        <v>Tabla IV.2.</v>
      </c>
      <c r="K1536" s="1054" t="s">
        <v>2267</v>
      </c>
      <c r="L1536" s="1051">
        <v>4</v>
      </c>
    </row>
    <row r="1537" spans="1:12">
      <c r="A1537" s="1051" t="s">
        <v>2944</v>
      </c>
      <c r="B1537" s="1051" t="str">
        <f t="shared" si="487"/>
        <v>202503</v>
      </c>
      <c r="C1537" s="1051" t="s">
        <v>2945</v>
      </c>
      <c r="D1537" s="1052" t="str">
        <f t="shared" ca="1" si="488"/>
        <v>13.02.03.</v>
      </c>
      <c r="E1537" s="1051">
        <f t="shared" si="483"/>
        <v>0</v>
      </c>
      <c r="F1537" s="1053">
        <f ca="1">OFFSET('Tabla IV.2.'!$H$26,H1537-1,I1537-1)</f>
        <v>0</v>
      </c>
      <c r="G1537" s="1051" t="str">
        <f ca="1">OFFSET('Tabla IV.2.'!$H$1,0,I1537-1)</f>
        <v>02</v>
      </c>
      <c r="H1537" s="1054">
        <f t="shared" si="489"/>
        <v>4</v>
      </c>
      <c r="I1537" s="1054">
        <f>+I1536+1</f>
        <v>2</v>
      </c>
      <c r="J1537" s="1054" t="str">
        <f ca="1">+'Tabla IV.2.'!$C$8</f>
        <v>Tabla IV.2.</v>
      </c>
      <c r="K1537" s="1054" t="str">
        <f t="shared" si="486"/>
        <v>B</v>
      </c>
      <c r="L1537" s="1051"/>
    </row>
    <row r="1538" spans="1:12">
      <c r="A1538" s="1051" t="s">
        <v>2944</v>
      </c>
      <c r="B1538" s="1051" t="str">
        <f t="shared" si="487"/>
        <v>202503</v>
      </c>
      <c r="C1538" s="1051" t="s">
        <v>2945</v>
      </c>
      <c r="D1538" s="1052" t="str">
        <f t="shared" ca="1" si="488"/>
        <v>13.02.03.</v>
      </c>
      <c r="E1538" s="1051">
        <f t="shared" si="483"/>
        <v>0</v>
      </c>
      <c r="F1538" s="1053">
        <f ca="1">OFFSET('Tabla IV.2.'!$H$26,H1538-1,I1538-1)</f>
        <v>0</v>
      </c>
      <c r="G1538" s="1051" t="str">
        <f ca="1">OFFSET('Tabla IV.2.'!$H$1,0,I1538-1)</f>
        <v>03</v>
      </c>
      <c r="H1538" s="1054">
        <f t="shared" si="489"/>
        <v>4</v>
      </c>
      <c r="I1538" s="1054">
        <f>+I1537+1</f>
        <v>3</v>
      </c>
      <c r="J1538" s="1054" t="str">
        <f ca="1">+'Tabla IV.2.'!$C$8</f>
        <v>Tabla IV.2.</v>
      </c>
      <c r="K1538" s="1054" t="str">
        <f t="shared" si="486"/>
        <v>B</v>
      </c>
      <c r="L1538" s="1051"/>
    </row>
    <row r="1539" spans="1:12">
      <c r="A1539" s="1051" t="s">
        <v>2944</v>
      </c>
      <c r="B1539" s="1051" t="str">
        <f t="shared" si="487"/>
        <v>202503</v>
      </c>
      <c r="C1539" s="1051" t="s">
        <v>2945</v>
      </c>
      <c r="D1539" s="1052" t="str">
        <f t="shared" ca="1" si="488"/>
        <v>13.02.03.</v>
      </c>
      <c r="E1539" s="1051">
        <f t="shared" si="483"/>
        <v>0</v>
      </c>
      <c r="F1539" s="1053">
        <f ca="1">OFFSET('Tabla IV.2.'!$H$26,H1539-1,I1539-1)</f>
        <v>0</v>
      </c>
      <c r="G1539" s="1051" t="str">
        <f ca="1">OFFSET('Tabla IV.2.'!$H$1,0,I1539-1)</f>
        <v>04</v>
      </c>
      <c r="H1539" s="1054">
        <f t="shared" si="489"/>
        <v>4</v>
      </c>
      <c r="I1539" s="1054">
        <f>+I1538+1</f>
        <v>4</v>
      </c>
      <c r="J1539" s="1054" t="str">
        <f ca="1">+'Tabla IV.2.'!$C$8</f>
        <v>Tabla IV.2.</v>
      </c>
      <c r="K1539" s="1054" t="str">
        <f t="shared" si="486"/>
        <v>B</v>
      </c>
      <c r="L1539" s="1051"/>
    </row>
    <row r="1540" spans="1:12">
      <c r="A1540" s="1051" t="s">
        <v>2944</v>
      </c>
      <c r="B1540" s="1051" t="str">
        <f t="shared" si="487"/>
        <v>202503</v>
      </c>
      <c r="C1540" s="1051" t="s">
        <v>2945</v>
      </c>
      <c r="D1540" s="1052" t="str">
        <f t="shared" ca="1" si="488"/>
        <v>13.02.03.</v>
      </c>
      <c r="E1540" s="1051">
        <f t="shared" si="483"/>
        <v>0</v>
      </c>
      <c r="F1540" s="1053">
        <f ca="1">OFFSET('Tabla IV.2.'!$H$26,H1540-1,I1540-1)</f>
        <v>0</v>
      </c>
      <c r="G1540" s="1051" t="str">
        <f ca="1">OFFSET('Tabla IV.2.'!$H$1,0,I1540-1)</f>
        <v>05</v>
      </c>
      <c r="H1540" s="1054">
        <f t="shared" si="489"/>
        <v>4</v>
      </c>
      <c r="I1540" s="1054">
        <f>+I1539+1</f>
        <v>5</v>
      </c>
      <c r="J1540" s="1054" t="str">
        <f ca="1">+'Tabla IV.2.'!$C$8</f>
        <v>Tabla IV.2.</v>
      </c>
      <c r="K1540" s="1054" t="str">
        <f t="shared" si="486"/>
        <v>B</v>
      </c>
      <c r="L1540" s="1051"/>
    </row>
    <row r="1541" spans="1:12">
      <c r="A1541" s="1051" t="s">
        <v>2944</v>
      </c>
      <c r="B1541" s="1051" t="str">
        <f t="shared" si="487"/>
        <v>202503</v>
      </c>
      <c r="C1541" s="1051" t="s">
        <v>2945</v>
      </c>
      <c r="D1541" s="1052" t="str">
        <f t="shared" ca="1" si="488"/>
        <v>13.02.03.</v>
      </c>
      <c r="E1541" s="1051">
        <f t="shared" si="483"/>
        <v>0</v>
      </c>
      <c r="F1541" s="1053">
        <f ca="1">OFFSET('Tabla IV.2.'!$H$26,H1541-1,I1541-1)</f>
        <v>0</v>
      </c>
      <c r="G1541" s="1051" t="str">
        <f ca="1">OFFSET('Tabla IV.2.'!$H$1,0,I1541-1)</f>
        <v>06</v>
      </c>
      <c r="H1541" s="1054">
        <f t="shared" si="489"/>
        <v>4</v>
      </c>
      <c r="I1541" s="1054">
        <f>+I1540+1</f>
        <v>6</v>
      </c>
      <c r="J1541" s="1054" t="str">
        <f ca="1">+'Tabla IV.2.'!$C$8</f>
        <v>Tabla IV.2.</v>
      </c>
      <c r="K1541" s="1054" t="str">
        <f t="shared" si="486"/>
        <v>B</v>
      </c>
      <c r="L1541" s="1051"/>
    </row>
    <row r="1542" spans="1:12">
      <c r="A1542" s="1047" t="s">
        <v>2944</v>
      </c>
      <c r="B1542" s="1047" t="str">
        <f t="shared" si="487"/>
        <v>202503</v>
      </c>
      <c r="C1542" s="1047" t="s">
        <v>2945</v>
      </c>
      <c r="D1542" s="1048" t="str">
        <f ca="1">OFFSET('Tabla IV.2.'!$F$26,H1542-1,0)</f>
        <v>13.02.03.01.</v>
      </c>
      <c r="E1542" s="1047">
        <f t="shared" si="483"/>
        <v>0</v>
      </c>
      <c r="F1542" s="1049">
        <f ca="1">OFFSET('Tabla IV.2.'!$H$26,H1542-1,I1542-1)</f>
        <v>0</v>
      </c>
      <c r="G1542" s="1047" t="str">
        <f ca="1">OFFSET('Tabla IV.2.'!$H$1,0,I1542-1)</f>
        <v>01</v>
      </c>
      <c r="H1542" s="1050">
        <v>5</v>
      </c>
      <c r="I1542" s="1050">
        <v>1</v>
      </c>
      <c r="J1542" s="1050" t="str">
        <f ca="1">+'Tabla IV.2.'!$C$8</f>
        <v>Tabla IV.2.</v>
      </c>
      <c r="K1542" s="1050" t="s">
        <v>2267</v>
      </c>
      <c r="L1542" s="1047">
        <v>5</v>
      </c>
    </row>
    <row r="1543" spans="1:12">
      <c r="A1543" s="1047" t="s">
        <v>2944</v>
      </c>
      <c r="B1543" s="1047" t="str">
        <f t="shared" si="487"/>
        <v>202503</v>
      </c>
      <c r="C1543" s="1047" t="s">
        <v>2945</v>
      </c>
      <c r="D1543" s="1048" t="str">
        <f t="shared" ca="1" si="488"/>
        <v>13.02.03.01.</v>
      </c>
      <c r="E1543" s="1047">
        <f t="shared" si="483"/>
        <v>0</v>
      </c>
      <c r="F1543" s="1049">
        <f ca="1">OFFSET('Tabla IV.2.'!$H$26,H1543-1,I1543-1)</f>
        <v>0</v>
      </c>
      <c r="G1543" s="1047" t="str">
        <f ca="1">OFFSET('Tabla IV.2.'!$H$1,0,I1543-1)</f>
        <v>02</v>
      </c>
      <c r="H1543" s="1050">
        <f t="shared" si="489"/>
        <v>5</v>
      </c>
      <c r="I1543" s="1050">
        <f>+I1542+1</f>
        <v>2</v>
      </c>
      <c r="J1543" s="1050" t="str">
        <f ca="1">+'Tabla IV.2.'!$C$8</f>
        <v>Tabla IV.2.</v>
      </c>
      <c r="K1543" s="1050" t="str">
        <f t="shared" si="486"/>
        <v>B</v>
      </c>
      <c r="L1543" s="1047"/>
    </row>
    <row r="1544" spans="1:12">
      <c r="A1544" s="1047" t="s">
        <v>2944</v>
      </c>
      <c r="B1544" s="1047" t="str">
        <f t="shared" si="487"/>
        <v>202503</v>
      </c>
      <c r="C1544" s="1047" t="s">
        <v>2945</v>
      </c>
      <c r="D1544" s="1048" t="str">
        <f t="shared" ca="1" si="488"/>
        <v>13.02.03.01.</v>
      </c>
      <c r="E1544" s="1047">
        <f t="shared" si="483"/>
        <v>0</v>
      </c>
      <c r="F1544" s="1049">
        <f ca="1">OFFSET('Tabla IV.2.'!$H$26,H1544-1,I1544-1)</f>
        <v>0</v>
      </c>
      <c r="G1544" s="1047" t="str">
        <f ca="1">OFFSET('Tabla IV.2.'!$H$1,0,I1544-1)</f>
        <v>03</v>
      </c>
      <c r="H1544" s="1050">
        <f t="shared" si="489"/>
        <v>5</v>
      </c>
      <c r="I1544" s="1050">
        <f>+I1543+1</f>
        <v>3</v>
      </c>
      <c r="J1544" s="1050" t="str">
        <f ca="1">+'Tabla IV.2.'!$C$8</f>
        <v>Tabla IV.2.</v>
      </c>
      <c r="K1544" s="1050" t="str">
        <f t="shared" si="486"/>
        <v>B</v>
      </c>
      <c r="L1544" s="1047"/>
    </row>
    <row r="1545" spans="1:12">
      <c r="A1545" s="1047" t="s">
        <v>2944</v>
      </c>
      <c r="B1545" s="1047" t="str">
        <f t="shared" si="487"/>
        <v>202503</v>
      </c>
      <c r="C1545" s="1047" t="s">
        <v>2945</v>
      </c>
      <c r="D1545" s="1048" t="str">
        <f t="shared" ca="1" si="488"/>
        <v>13.02.03.01.</v>
      </c>
      <c r="E1545" s="1047">
        <f t="shared" si="483"/>
        <v>0</v>
      </c>
      <c r="F1545" s="1049">
        <f ca="1">OFFSET('Tabla IV.2.'!$H$26,H1545-1,I1545-1)</f>
        <v>0</v>
      </c>
      <c r="G1545" s="1047" t="str">
        <f ca="1">OFFSET('Tabla IV.2.'!$H$1,0,I1545-1)</f>
        <v>04</v>
      </c>
      <c r="H1545" s="1050">
        <f t="shared" si="489"/>
        <v>5</v>
      </c>
      <c r="I1545" s="1050">
        <f>+I1544+1</f>
        <v>4</v>
      </c>
      <c r="J1545" s="1050" t="str">
        <f ca="1">+'Tabla IV.2.'!$C$8</f>
        <v>Tabla IV.2.</v>
      </c>
      <c r="K1545" s="1050" t="str">
        <f t="shared" si="486"/>
        <v>B</v>
      </c>
      <c r="L1545" s="1047"/>
    </row>
    <row r="1546" spans="1:12">
      <c r="A1546" s="1047" t="s">
        <v>2944</v>
      </c>
      <c r="B1546" s="1047" t="str">
        <f t="shared" si="487"/>
        <v>202503</v>
      </c>
      <c r="C1546" s="1047" t="s">
        <v>2945</v>
      </c>
      <c r="D1546" s="1048" t="str">
        <f t="shared" ca="1" si="488"/>
        <v>13.02.03.01.</v>
      </c>
      <c r="E1546" s="1047">
        <f t="shared" si="483"/>
        <v>0</v>
      </c>
      <c r="F1546" s="1049">
        <f ca="1">OFFSET('Tabla IV.2.'!$H$26,H1546-1,I1546-1)</f>
        <v>0</v>
      </c>
      <c r="G1546" s="1047" t="str">
        <f ca="1">OFFSET('Tabla IV.2.'!$H$1,0,I1546-1)</f>
        <v>05</v>
      </c>
      <c r="H1546" s="1050">
        <f t="shared" si="489"/>
        <v>5</v>
      </c>
      <c r="I1546" s="1050">
        <f>+I1545+1</f>
        <v>5</v>
      </c>
      <c r="J1546" s="1050" t="str">
        <f ca="1">+'Tabla IV.2.'!$C$8</f>
        <v>Tabla IV.2.</v>
      </c>
      <c r="K1546" s="1050" t="str">
        <f t="shared" si="486"/>
        <v>B</v>
      </c>
      <c r="L1546" s="1047"/>
    </row>
    <row r="1547" spans="1:12">
      <c r="A1547" s="1047" t="s">
        <v>2944</v>
      </c>
      <c r="B1547" s="1047" t="str">
        <f t="shared" si="487"/>
        <v>202503</v>
      </c>
      <c r="C1547" s="1047" t="s">
        <v>2945</v>
      </c>
      <c r="D1547" s="1048" t="str">
        <f t="shared" ca="1" si="488"/>
        <v>13.02.03.01.</v>
      </c>
      <c r="E1547" s="1047">
        <f t="shared" si="483"/>
        <v>0</v>
      </c>
      <c r="F1547" s="1049">
        <f ca="1">OFFSET('Tabla IV.2.'!$H$26,H1547-1,I1547-1)</f>
        <v>0</v>
      </c>
      <c r="G1547" s="1047" t="str">
        <f ca="1">OFFSET('Tabla IV.2.'!$H$1,0,I1547-1)</f>
        <v>06</v>
      </c>
      <c r="H1547" s="1050">
        <f t="shared" si="489"/>
        <v>5</v>
      </c>
      <c r="I1547" s="1050">
        <f>+I1546+1</f>
        <v>6</v>
      </c>
      <c r="J1547" s="1050" t="str">
        <f ca="1">+'Tabla IV.2.'!$C$8</f>
        <v>Tabla IV.2.</v>
      </c>
      <c r="K1547" s="1050" t="str">
        <f t="shared" si="486"/>
        <v>B</v>
      </c>
      <c r="L1547" s="1047"/>
    </row>
    <row r="1548" spans="1:12">
      <c r="A1548" s="1051" t="s">
        <v>2944</v>
      </c>
      <c r="B1548" s="1051" t="str">
        <f t="shared" si="487"/>
        <v>202503</v>
      </c>
      <c r="C1548" s="1051" t="s">
        <v>2945</v>
      </c>
      <c r="D1548" s="1052" t="str">
        <f ca="1">OFFSET('Tabla IV.2.'!$F$26,H1548-1,0)</f>
        <v>13.02.03.02.</v>
      </c>
      <c r="E1548" s="1051">
        <f t="shared" si="483"/>
        <v>0</v>
      </c>
      <c r="F1548" s="1053">
        <f ca="1">OFFSET('Tabla IV.2.'!$H$26,H1548-1,I1548-1)</f>
        <v>0</v>
      </c>
      <c r="G1548" s="1051" t="str">
        <f ca="1">OFFSET('Tabla IV.2.'!$H$1,0,I1548-1)</f>
        <v>01</v>
      </c>
      <c r="H1548" s="1054">
        <v>6</v>
      </c>
      <c r="I1548" s="1054">
        <v>1</v>
      </c>
      <c r="J1548" s="1054" t="str">
        <f ca="1">+'Tabla IV.2.'!$C$8</f>
        <v>Tabla IV.2.</v>
      </c>
      <c r="K1548" s="1054" t="s">
        <v>2267</v>
      </c>
      <c r="L1548" s="1051">
        <v>6</v>
      </c>
    </row>
    <row r="1549" spans="1:12">
      <c r="A1549" s="1051" t="s">
        <v>2944</v>
      </c>
      <c r="B1549" s="1051" t="str">
        <f t="shared" si="487"/>
        <v>202503</v>
      </c>
      <c r="C1549" s="1051" t="s">
        <v>2945</v>
      </c>
      <c r="D1549" s="1052" t="str">
        <f t="shared" ca="1" si="488"/>
        <v>13.02.03.02.</v>
      </c>
      <c r="E1549" s="1051">
        <f t="shared" si="483"/>
        <v>0</v>
      </c>
      <c r="F1549" s="1053">
        <f ca="1">OFFSET('Tabla IV.2.'!$H$26,H1549-1,I1549-1)</f>
        <v>0</v>
      </c>
      <c r="G1549" s="1051" t="str">
        <f ca="1">OFFSET('Tabla IV.2.'!$H$1,0,I1549-1)</f>
        <v>02</v>
      </c>
      <c r="H1549" s="1054">
        <f t="shared" si="489"/>
        <v>6</v>
      </c>
      <c r="I1549" s="1054">
        <f>+I1548+1</f>
        <v>2</v>
      </c>
      <c r="J1549" s="1054" t="str">
        <f ca="1">+'Tabla IV.2.'!$C$8</f>
        <v>Tabla IV.2.</v>
      </c>
      <c r="K1549" s="1054" t="str">
        <f t="shared" si="486"/>
        <v>B</v>
      </c>
      <c r="L1549" s="1051"/>
    </row>
    <row r="1550" spans="1:12">
      <c r="A1550" s="1051" t="s">
        <v>2944</v>
      </c>
      <c r="B1550" s="1051" t="str">
        <f t="shared" si="487"/>
        <v>202503</v>
      </c>
      <c r="C1550" s="1051" t="s">
        <v>2945</v>
      </c>
      <c r="D1550" s="1052" t="str">
        <f t="shared" ca="1" si="488"/>
        <v>13.02.03.02.</v>
      </c>
      <c r="E1550" s="1051">
        <f t="shared" si="483"/>
        <v>0</v>
      </c>
      <c r="F1550" s="1053">
        <f ca="1">OFFSET('Tabla IV.2.'!$H$26,H1550-1,I1550-1)</f>
        <v>0</v>
      </c>
      <c r="G1550" s="1051" t="str">
        <f ca="1">OFFSET('Tabla IV.2.'!$H$1,0,I1550-1)</f>
        <v>03</v>
      </c>
      <c r="H1550" s="1054">
        <f t="shared" si="489"/>
        <v>6</v>
      </c>
      <c r="I1550" s="1054">
        <f>+I1549+1</f>
        <v>3</v>
      </c>
      <c r="J1550" s="1054" t="str">
        <f ca="1">+'Tabla IV.2.'!$C$8</f>
        <v>Tabla IV.2.</v>
      </c>
      <c r="K1550" s="1054" t="str">
        <f t="shared" si="486"/>
        <v>B</v>
      </c>
      <c r="L1550" s="1051"/>
    </row>
    <row r="1551" spans="1:12">
      <c r="A1551" s="1051" t="s">
        <v>2944</v>
      </c>
      <c r="B1551" s="1051" t="str">
        <f t="shared" si="487"/>
        <v>202503</v>
      </c>
      <c r="C1551" s="1051" t="s">
        <v>2945</v>
      </c>
      <c r="D1551" s="1052" t="str">
        <f t="shared" ca="1" si="488"/>
        <v>13.02.03.02.</v>
      </c>
      <c r="E1551" s="1051">
        <f t="shared" si="483"/>
        <v>0</v>
      </c>
      <c r="F1551" s="1053">
        <f ca="1">OFFSET('Tabla IV.2.'!$H$26,H1551-1,I1551-1)</f>
        <v>0</v>
      </c>
      <c r="G1551" s="1051" t="str">
        <f ca="1">OFFSET('Tabla IV.2.'!$H$1,0,I1551-1)</f>
        <v>04</v>
      </c>
      <c r="H1551" s="1054">
        <f t="shared" si="489"/>
        <v>6</v>
      </c>
      <c r="I1551" s="1054">
        <f>+I1550+1</f>
        <v>4</v>
      </c>
      <c r="J1551" s="1054" t="str">
        <f ca="1">+'Tabla IV.2.'!$C$8</f>
        <v>Tabla IV.2.</v>
      </c>
      <c r="K1551" s="1054" t="str">
        <f t="shared" si="486"/>
        <v>B</v>
      </c>
      <c r="L1551" s="1051"/>
    </row>
    <row r="1552" spans="1:12">
      <c r="A1552" s="1051" t="s">
        <v>2944</v>
      </c>
      <c r="B1552" s="1051" t="str">
        <f t="shared" si="487"/>
        <v>202503</v>
      </c>
      <c r="C1552" s="1051" t="s">
        <v>2945</v>
      </c>
      <c r="D1552" s="1052" t="str">
        <f t="shared" ca="1" si="488"/>
        <v>13.02.03.02.</v>
      </c>
      <c r="E1552" s="1051">
        <f t="shared" si="483"/>
        <v>0</v>
      </c>
      <c r="F1552" s="1053">
        <f ca="1">OFFSET('Tabla IV.2.'!$H$26,H1552-1,I1552-1)</f>
        <v>0</v>
      </c>
      <c r="G1552" s="1051" t="str">
        <f ca="1">OFFSET('Tabla IV.2.'!$H$1,0,I1552-1)</f>
        <v>05</v>
      </c>
      <c r="H1552" s="1054">
        <f t="shared" si="489"/>
        <v>6</v>
      </c>
      <c r="I1552" s="1054">
        <f>+I1551+1</f>
        <v>5</v>
      </c>
      <c r="J1552" s="1054" t="str">
        <f ca="1">+'Tabla IV.2.'!$C$8</f>
        <v>Tabla IV.2.</v>
      </c>
      <c r="K1552" s="1054" t="str">
        <f t="shared" si="486"/>
        <v>B</v>
      </c>
      <c r="L1552" s="1051"/>
    </row>
    <row r="1553" spans="1:12">
      <c r="A1553" s="1051" t="s">
        <v>2944</v>
      </c>
      <c r="B1553" s="1051" t="str">
        <f t="shared" si="487"/>
        <v>202503</v>
      </c>
      <c r="C1553" s="1051" t="s">
        <v>2945</v>
      </c>
      <c r="D1553" s="1052" t="str">
        <f t="shared" ca="1" si="488"/>
        <v>13.02.03.02.</v>
      </c>
      <c r="E1553" s="1051">
        <f t="shared" si="483"/>
        <v>0</v>
      </c>
      <c r="F1553" s="1053">
        <f ca="1">OFFSET('Tabla IV.2.'!$H$26,H1553-1,I1553-1)</f>
        <v>0</v>
      </c>
      <c r="G1553" s="1051" t="str">
        <f ca="1">OFFSET('Tabla IV.2.'!$H$1,0,I1553-1)</f>
        <v>06</v>
      </c>
      <c r="H1553" s="1054">
        <f t="shared" si="489"/>
        <v>6</v>
      </c>
      <c r="I1553" s="1054">
        <f>+I1552+1</f>
        <v>6</v>
      </c>
      <c r="J1553" s="1054" t="str">
        <f ca="1">+'Tabla IV.2.'!$C$8</f>
        <v>Tabla IV.2.</v>
      </c>
      <c r="K1553" s="1054" t="str">
        <f t="shared" si="486"/>
        <v>B</v>
      </c>
      <c r="L1553" s="1051"/>
    </row>
    <row r="1554" spans="1:12">
      <c r="A1554" s="1047" t="s">
        <v>2944</v>
      </c>
      <c r="B1554" s="1047" t="str">
        <f t="shared" si="487"/>
        <v>202503</v>
      </c>
      <c r="C1554" s="1047" t="s">
        <v>2945</v>
      </c>
      <c r="D1554" s="1048" t="str">
        <f ca="1">OFFSET('Tabla IV.2.'!$F$39,H1554-1,0)</f>
        <v>13.03.</v>
      </c>
      <c r="E1554" s="1047">
        <f t="shared" si="483"/>
        <v>0</v>
      </c>
      <c r="F1554" s="1049">
        <f ca="1">OFFSET('Tabla IV.2.'!$H$39,H1554-1,I1554-1)</f>
        <v>0</v>
      </c>
      <c r="G1554" s="1047" t="str">
        <f ca="1">OFFSET('Tabla IV.2.'!$H$1,0,I1554-1)</f>
        <v>01</v>
      </c>
      <c r="H1554" s="1050">
        <v>1</v>
      </c>
      <c r="I1554" s="1050">
        <v>1</v>
      </c>
      <c r="J1554" s="1050" t="str">
        <f ca="1">+'Tabla IV.2.'!$C$8</f>
        <v>Tabla IV.2.</v>
      </c>
      <c r="K1554" s="1050" t="s">
        <v>2268</v>
      </c>
      <c r="L1554" s="1047">
        <v>7</v>
      </c>
    </row>
    <row r="1555" spans="1:12">
      <c r="A1555" s="1047" t="s">
        <v>2944</v>
      </c>
      <c r="B1555" s="1047" t="str">
        <f t="shared" ref="B1555:B1618" si="490">PERIODO</f>
        <v>202503</v>
      </c>
      <c r="C1555" s="1047" t="s">
        <v>2945</v>
      </c>
      <c r="D1555" s="1048" t="str">
        <f t="shared" ca="1" si="488"/>
        <v>13.03.</v>
      </c>
      <c r="E1555" s="1047">
        <f t="shared" si="483"/>
        <v>0</v>
      </c>
      <c r="F1555" s="1049">
        <f ca="1">OFFSET('Tabla IV.2.'!$H$39,H1555-1,I1555-1)</f>
        <v>0</v>
      </c>
      <c r="G1555" s="1047" t="str">
        <f ca="1">OFFSET('Tabla IV.2.'!$H$1,0,I1555-1)</f>
        <v>02</v>
      </c>
      <c r="H1555" s="1050">
        <f t="shared" si="489"/>
        <v>1</v>
      </c>
      <c r="I1555" s="1050">
        <f>+I1554+1</f>
        <v>2</v>
      </c>
      <c r="J1555" s="1050" t="str">
        <f ca="1">+'Tabla IV.2.'!$C$8</f>
        <v>Tabla IV.2.</v>
      </c>
      <c r="K1555" s="1050" t="str">
        <f t="shared" si="486"/>
        <v>C</v>
      </c>
      <c r="L1555" s="1047"/>
    </row>
    <row r="1556" spans="1:12">
      <c r="A1556" s="1047" t="s">
        <v>2944</v>
      </c>
      <c r="B1556" s="1047" t="str">
        <f t="shared" si="490"/>
        <v>202503</v>
      </c>
      <c r="C1556" s="1047" t="s">
        <v>2945</v>
      </c>
      <c r="D1556" s="1048" t="str">
        <f t="shared" ca="1" si="488"/>
        <v>13.03.</v>
      </c>
      <c r="E1556" s="1047">
        <f t="shared" si="483"/>
        <v>0</v>
      </c>
      <c r="F1556" s="1049">
        <f ca="1">OFFSET('Tabla IV.2.'!$H$39,H1556-1,I1556-1)</f>
        <v>0</v>
      </c>
      <c r="G1556" s="1047" t="str">
        <f ca="1">OFFSET('Tabla IV.2.'!$H$1,0,I1556-1)</f>
        <v>03</v>
      </c>
      <c r="H1556" s="1050">
        <f t="shared" si="489"/>
        <v>1</v>
      </c>
      <c r="I1556" s="1050">
        <f>+I1555+1</f>
        <v>3</v>
      </c>
      <c r="J1556" s="1050" t="str">
        <f ca="1">+'Tabla IV.2.'!$C$8</f>
        <v>Tabla IV.2.</v>
      </c>
      <c r="K1556" s="1050" t="str">
        <f t="shared" si="486"/>
        <v>C</v>
      </c>
      <c r="L1556" s="1047"/>
    </row>
    <row r="1557" spans="1:12">
      <c r="A1557" s="1047" t="s">
        <v>2944</v>
      </c>
      <c r="B1557" s="1047" t="str">
        <f t="shared" si="490"/>
        <v>202503</v>
      </c>
      <c r="C1557" s="1047" t="s">
        <v>2945</v>
      </c>
      <c r="D1557" s="1048" t="str">
        <f t="shared" ca="1" si="488"/>
        <v>13.03.</v>
      </c>
      <c r="E1557" s="1047">
        <f t="shared" si="483"/>
        <v>0</v>
      </c>
      <c r="F1557" s="1049">
        <f ca="1">OFFSET('Tabla IV.2.'!$H$39,H1557-1,I1557-1)</f>
        <v>0</v>
      </c>
      <c r="G1557" s="1047" t="str">
        <f ca="1">OFFSET('Tabla IV.2.'!$H$1,0,I1557-1)</f>
        <v>04</v>
      </c>
      <c r="H1557" s="1050">
        <f t="shared" si="489"/>
        <v>1</v>
      </c>
      <c r="I1557" s="1050">
        <f>+I1556+1</f>
        <v>4</v>
      </c>
      <c r="J1557" s="1050" t="str">
        <f ca="1">+'Tabla IV.2.'!$C$8</f>
        <v>Tabla IV.2.</v>
      </c>
      <c r="K1557" s="1050" t="str">
        <f t="shared" si="486"/>
        <v>C</v>
      </c>
      <c r="L1557" s="1047"/>
    </row>
    <row r="1558" spans="1:12">
      <c r="A1558" s="1047" t="s">
        <v>2944</v>
      </c>
      <c r="B1558" s="1047" t="str">
        <f t="shared" si="490"/>
        <v>202503</v>
      </c>
      <c r="C1558" s="1047" t="s">
        <v>2945</v>
      </c>
      <c r="D1558" s="1048" t="str">
        <f t="shared" ca="1" si="488"/>
        <v>13.03.</v>
      </c>
      <c r="E1558" s="1047">
        <f t="shared" si="483"/>
        <v>0</v>
      </c>
      <c r="F1558" s="1049">
        <f ca="1">OFFSET('Tabla IV.2.'!$H$39,H1558-1,I1558-1)</f>
        <v>0</v>
      </c>
      <c r="G1558" s="1047" t="str">
        <f ca="1">OFFSET('Tabla IV.2.'!$H$1,0,I1558-1)</f>
        <v>05</v>
      </c>
      <c r="H1558" s="1050">
        <f t="shared" si="489"/>
        <v>1</v>
      </c>
      <c r="I1558" s="1050">
        <f>+I1557+1</f>
        <v>5</v>
      </c>
      <c r="J1558" s="1050" t="str">
        <f ca="1">+'Tabla IV.2.'!$C$8</f>
        <v>Tabla IV.2.</v>
      </c>
      <c r="K1558" s="1050" t="str">
        <f t="shared" si="486"/>
        <v>C</v>
      </c>
      <c r="L1558" s="1047"/>
    </row>
    <row r="1559" spans="1:12">
      <c r="A1559" s="1047" t="s">
        <v>2944</v>
      </c>
      <c r="B1559" s="1047" t="str">
        <f t="shared" si="490"/>
        <v>202503</v>
      </c>
      <c r="C1559" s="1047" t="s">
        <v>2945</v>
      </c>
      <c r="D1559" s="1048" t="str">
        <f t="shared" ca="1" si="488"/>
        <v>13.03.</v>
      </c>
      <c r="E1559" s="1047">
        <f t="shared" si="483"/>
        <v>0</v>
      </c>
      <c r="F1559" s="1049">
        <f ca="1">OFFSET('Tabla IV.2.'!$H$39,H1559-1,I1559-1)</f>
        <v>0</v>
      </c>
      <c r="G1559" s="1047" t="str">
        <f ca="1">OFFSET('Tabla IV.2.'!$H$1,0,I1559-1)</f>
        <v>06</v>
      </c>
      <c r="H1559" s="1050">
        <f t="shared" si="489"/>
        <v>1</v>
      </c>
      <c r="I1559" s="1050">
        <f>+I1558+1</f>
        <v>6</v>
      </c>
      <c r="J1559" s="1050" t="str">
        <f ca="1">+'Tabla IV.2.'!$C$8</f>
        <v>Tabla IV.2.</v>
      </c>
      <c r="K1559" s="1050" t="str">
        <f t="shared" si="486"/>
        <v>C</v>
      </c>
      <c r="L1559" s="1047"/>
    </row>
    <row r="1560" spans="1:12">
      <c r="A1560" s="1051" t="s">
        <v>2944</v>
      </c>
      <c r="B1560" s="1051" t="str">
        <f t="shared" si="490"/>
        <v>202503</v>
      </c>
      <c r="C1560" s="1051" t="s">
        <v>2945</v>
      </c>
      <c r="D1560" s="1052" t="str">
        <f ca="1">OFFSET('Tabla IV.2.'!$F$39,H1560-1,0)</f>
        <v>13.03.01.</v>
      </c>
      <c r="E1560" s="1051">
        <f t="shared" si="483"/>
        <v>0</v>
      </c>
      <c r="F1560" s="1053">
        <f ca="1">OFFSET('Tabla IV.2.'!$H$39,H1560-1,I1560-1)</f>
        <v>0</v>
      </c>
      <c r="G1560" s="1051" t="str">
        <f ca="1">OFFSET('Tabla IV.2.'!$H$1,0,I1560-1)</f>
        <v>01</v>
      </c>
      <c r="H1560" s="1054">
        <v>2</v>
      </c>
      <c r="I1560" s="1054">
        <v>1</v>
      </c>
      <c r="J1560" s="1054" t="str">
        <f ca="1">+'Tabla IV.2.'!$C$8</f>
        <v>Tabla IV.2.</v>
      </c>
      <c r="K1560" s="1054" t="s">
        <v>2268</v>
      </c>
      <c r="L1560" s="1051">
        <v>8</v>
      </c>
    </row>
    <row r="1561" spans="1:12">
      <c r="A1561" s="1051" t="s">
        <v>2944</v>
      </c>
      <c r="B1561" s="1051" t="str">
        <f t="shared" si="490"/>
        <v>202503</v>
      </c>
      <c r="C1561" s="1051" t="s">
        <v>2945</v>
      </c>
      <c r="D1561" s="1052" t="str">
        <f t="shared" ca="1" si="488"/>
        <v>13.03.01.</v>
      </c>
      <c r="E1561" s="1051">
        <f t="shared" si="483"/>
        <v>0</v>
      </c>
      <c r="F1561" s="1053">
        <f ca="1">OFFSET('Tabla IV.2.'!$H$39,H1561-1,I1561-1)</f>
        <v>0</v>
      </c>
      <c r="G1561" s="1051" t="str">
        <f ca="1">OFFSET('Tabla IV.2.'!$H$1,0,I1561-1)</f>
        <v>02</v>
      </c>
      <c r="H1561" s="1054">
        <f t="shared" si="489"/>
        <v>2</v>
      </c>
      <c r="I1561" s="1054">
        <f>+I1560+1</f>
        <v>2</v>
      </c>
      <c r="J1561" s="1054" t="str">
        <f ca="1">+'Tabla IV.2.'!$C$8</f>
        <v>Tabla IV.2.</v>
      </c>
      <c r="K1561" s="1054" t="str">
        <f t="shared" si="486"/>
        <v>C</v>
      </c>
      <c r="L1561" s="1051"/>
    </row>
    <row r="1562" spans="1:12">
      <c r="A1562" s="1051" t="s">
        <v>2944</v>
      </c>
      <c r="B1562" s="1051" t="str">
        <f t="shared" si="490"/>
        <v>202503</v>
      </c>
      <c r="C1562" s="1051" t="s">
        <v>2945</v>
      </c>
      <c r="D1562" s="1052" t="str">
        <f t="shared" ca="1" si="488"/>
        <v>13.03.01.</v>
      </c>
      <c r="E1562" s="1051">
        <f t="shared" si="483"/>
        <v>0</v>
      </c>
      <c r="F1562" s="1053">
        <f ca="1">OFFSET('Tabla IV.2.'!$H$39,H1562-1,I1562-1)</f>
        <v>0</v>
      </c>
      <c r="G1562" s="1051" t="str">
        <f ca="1">OFFSET('Tabla IV.2.'!$H$1,0,I1562-1)</f>
        <v>03</v>
      </c>
      <c r="H1562" s="1054">
        <f t="shared" si="489"/>
        <v>2</v>
      </c>
      <c r="I1562" s="1054">
        <f>+I1561+1</f>
        <v>3</v>
      </c>
      <c r="J1562" s="1054" t="str">
        <f ca="1">+'Tabla IV.2.'!$C$8</f>
        <v>Tabla IV.2.</v>
      </c>
      <c r="K1562" s="1054" t="str">
        <f t="shared" si="486"/>
        <v>C</v>
      </c>
      <c r="L1562" s="1051"/>
    </row>
    <row r="1563" spans="1:12">
      <c r="A1563" s="1051" t="s">
        <v>2944</v>
      </c>
      <c r="B1563" s="1051" t="str">
        <f t="shared" si="490"/>
        <v>202503</v>
      </c>
      <c r="C1563" s="1051" t="s">
        <v>2945</v>
      </c>
      <c r="D1563" s="1052" t="str">
        <f t="shared" ca="1" si="488"/>
        <v>13.03.01.</v>
      </c>
      <c r="E1563" s="1051">
        <f t="shared" si="483"/>
        <v>0</v>
      </c>
      <c r="F1563" s="1053">
        <f ca="1">OFFSET('Tabla IV.2.'!$H$39,H1563-1,I1563-1)</f>
        <v>0</v>
      </c>
      <c r="G1563" s="1051" t="str">
        <f ca="1">OFFSET('Tabla IV.2.'!$H$1,0,I1563-1)</f>
        <v>04</v>
      </c>
      <c r="H1563" s="1054">
        <f t="shared" si="489"/>
        <v>2</v>
      </c>
      <c r="I1563" s="1054">
        <f>+I1562+1</f>
        <v>4</v>
      </c>
      <c r="J1563" s="1054" t="str">
        <f ca="1">+'Tabla IV.2.'!$C$8</f>
        <v>Tabla IV.2.</v>
      </c>
      <c r="K1563" s="1054" t="str">
        <f t="shared" si="486"/>
        <v>C</v>
      </c>
      <c r="L1563" s="1051"/>
    </row>
    <row r="1564" spans="1:12">
      <c r="A1564" s="1051" t="s">
        <v>2944</v>
      </c>
      <c r="B1564" s="1051" t="str">
        <f t="shared" si="490"/>
        <v>202503</v>
      </c>
      <c r="C1564" s="1051" t="s">
        <v>2945</v>
      </c>
      <c r="D1564" s="1052" t="str">
        <f t="shared" ca="1" si="488"/>
        <v>13.03.01.</v>
      </c>
      <c r="E1564" s="1051">
        <f t="shared" si="483"/>
        <v>0</v>
      </c>
      <c r="F1564" s="1053">
        <f ca="1">OFFSET('Tabla IV.2.'!$H$39,H1564-1,I1564-1)</f>
        <v>0</v>
      </c>
      <c r="G1564" s="1051" t="str">
        <f ca="1">OFFSET('Tabla IV.2.'!$H$1,0,I1564-1)</f>
        <v>05</v>
      </c>
      <c r="H1564" s="1054">
        <f t="shared" si="489"/>
        <v>2</v>
      </c>
      <c r="I1564" s="1054">
        <f>+I1563+1</f>
        <v>5</v>
      </c>
      <c r="J1564" s="1054" t="str">
        <f ca="1">+'Tabla IV.2.'!$C$8</f>
        <v>Tabla IV.2.</v>
      </c>
      <c r="K1564" s="1054" t="str">
        <f t="shared" si="486"/>
        <v>C</v>
      </c>
      <c r="L1564" s="1051"/>
    </row>
    <row r="1565" spans="1:12">
      <c r="A1565" s="1051" t="s">
        <v>2944</v>
      </c>
      <c r="B1565" s="1051" t="str">
        <f t="shared" si="490"/>
        <v>202503</v>
      </c>
      <c r="C1565" s="1051" t="s">
        <v>2945</v>
      </c>
      <c r="D1565" s="1052" t="str">
        <f t="shared" ca="1" si="488"/>
        <v>13.03.01.</v>
      </c>
      <c r="E1565" s="1051">
        <f t="shared" si="483"/>
        <v>0</v>
      </c>
      <c r="F1565" s="1053">
        <f ca="1">OFFSET('Tabla IV.2.'!$H$39,H1565-1,I1565-1)</f>
        <v>0</v>
      </c>
      <c r="G1565" s="1051" t="str">
        <f ca="1">OFFSET('Tabla IV.2.'!$H$1,0,I1565-1)</f>
        <v>06</v>
      </c>
      <c r="H1565" s="1054">
        <f t="shared" si="489"/>
        <v>2</v>
      </c>
      <c r="I1565" s="1054">
        <f>+I1564+1</f>
        <v>6</v>
      </c>
      <c r="J1565" s="1054" t="str">
        <f ca="1">+'Tabla IV.2.'!$C$8</f>
        <v>Tabla IV.2.</v>
      </c>
      <c r="K1565" s="1054" t="str">
        <f t="shared" si="486"/>
        <v>C</v>
      </c>
      <c r="L1565" s="1051"/>
    </row>
    <row r="1566" spans="1:12">
      <c r="A1566" s="1047" t="s">
        <v>2944</v>
      </c>
      <c r="B1566" s="1047" t="str">
        <f t="shared" si="490"/>
        <v>202503</v>
      </c>
      <c r="C1566" s="1047" t="s">
        <v>2945</v>
      </c>
      <c r="D1566" s="1048" t="str">
        <f ca="1">OFFSET('Tabla IV.2.'!$F$39,H1566-1,0)</f>
        <v>13.03.02.</v>
      </c>
      <c r="E1566" s="1047">
        <f t="shared" si="483"/>
        <v>0</v>
      </c>
      <c r="F1566" s="1049">
        <f ca="1">OFFSET('Tabla IV.2.'!$H$39,H1566-1,I1566-1)</f>
        <v>0</v>
      </c>
      <c r="G1566" s="1047" t="str">
        <f ca="1">OFFSET('Tabla IV.2.'!$H$1,0,I1566-1)</f>
        <v>01</v>
      </c>
      <c r="H1566" s="1050">
        <v>3</v>
      </c>
      <c r="I1566" s="1050">
        <v>1</v>
      </c>
      <c r="J1566" s="1050" t="str">
        <f ca="1">+'Tabla IV.2.'!$C$8</f>
        <v>Tabla IV.2.</v>
      </c>
      <c r="K1566" s="1050" t="s">
        <v>2268</v>
      </c>
      <c r="L1566" s="1047">
        <v>9</v>
      </c>
    </row>
    <row r="1567" spans="1:12">
      <c r="A1567" s="1047" t="s">
        <v>2944</v>
      </c>
      <c r="B1567" s="1047" t="str">
        <f t="shared" si="490"/>
        <v>202503</v>
      </c>
      <c r="C1567" s="1047" t="s">
        <v>2945</v>
      </c>
      <c r="D1567" s="1048" t="str">
        <f t="shared" ca="1" si="488"/>
        <v>13.03.02.</v>
      </c>
      <c r="E1567" s="1047">
        <f t="shared" si="483"/>
        <v>0</v>
      </c>
      <c r="F1567" s="1049">
        <f ca="1">OFFSET('Tabla IV.2.'!$H$39,H1567-1,I1567-1)</f>
        <v>0</v>
      </c>
      <c r="G1567" s="1047" t="str">
        <f ca="1">OFFSET('Tabla IV.2.'!$H$1,0,I1567-1)</f>
        <v>02</v>
      </c>
      <c r="H1567" s="1050">
        <f t="shared" si="489"/>
        <v>3</v>
      </c>
      <c r="I1567" s="1050">
        <f>+I1566+1</f>
        <v>2</v>
      </c>
      <c r="J1567" s="1050" t="str">
        <f ca="1">+'Tabla IV.2.'!$C$8</f>
        <v>Tabla IV.2.</v>
      </c>
      <c r="K1567" s="1050" t="str">
        <f t="shared" si="486"/>
        <v>C</v>
      </c>
      <c r="L1567" s="1047"/>
    </row>
    <row r="1568" spans="1:12">
      <c r="A1568" s="1047" t="s">
        <v>2944</v>
      </c>
      <c r="B1568" s="1047" t="str">
        <f t="shared" si="490"/>
        <v>202503</v>
      </c>
      <c r="C1568" s="1047" t="s">
        <v>2945</v>
      </c>
      <c r="D1568" s="1048" t="str">
        <f t="shared" ca="1" si="488"/>
        <v>13.03.02.</v>
      </c>
      <c r="E1568" s="1047">
        <f t="shared" si="483"/>
        <v>0</v>
      </c>
      <c r="F1568" s="1049">
        <f ca="1">OFFSET('Tabla IV.2.'!$H$39,H1568-1,I1568-1)</f>
        <v>0</v>
      </c>
      <c r="G1568" s="1047" t="str">
        <f ca="1">OFFSET('Tabla IV.2.'!$H$1,0,I1568-1)</f>
        <v>03</v>
      </c>
      <c r="H1568" s="1050">
        <f t="shared" si="489"/>
        <v>3</v>
      </c>
      <c r="I1568" s="1050">
        <f>+I1567+1</f>
        <v>3</v>
      </c>
      <c r="J1568" s="1050" t="str">
        <f ca="1">+'Tabla IV.2.'!$C$8</f>
        <v>Tabla IV.2.</v>
      </c>
      <c r="K1568" s="1050" t="str">
        <f t="shared" si="486"/>
        <v>C</v>
      </c>
      <c r="L1568" s="1047"/>
    </row>
    <row r="1569" spans="1:12">
      <c r="A1569" s="1047" t="s">
        <v>2944</v>
      </c>
      <c r="B1569" s="1047" t="str">
        <f t="shared" si="490"/>
        <v>202503</v>
      </c>
      <c r="C1569" s="1047" t="s">
        <v>2945</v>
      </c>
      <c r="D1569" s="1048" t="str">
        <f t="shared" ca="1" si="488"/>
        <v>13.03.02.</v>
      </c>
      <c r="E1569" s="1047">
        <f t="shared" si="483"/>
        <v>0</v>
      </c>
      <c r="F1569" s="1049">
        <f ca="1">OFFSET('Tabla IV.2.'!$H$39,H1569-1,I1569-1)</f>
        <v>0</v>
      </c>
      <c r="G1569" s="1047" t="str">
        <f ca="1">OFFSET('Tabla IV.2.'!$H$1,0,I1569-1)</f>
        <v>04</v>
      </c>
      <c r="H1569" s="1050">
        <f t="shared" si="489"/>
        <v>3</v>
      </c>
      <c r="I1569" s="1050">
        <f>+I1568+1</f>
        <v>4</v>
      </c>
      <c r="J1569" s="1050" t="str">
        <f ca="1">+'Tabla IV.2.'!$C$8</f>
        <v>Tabla IV.2.</v>
      </c>
      <c r="K1569" s="1050" t="str">
        <f t="shared" si="486"/>
        <v>C</v>
      </c>
      <c r="L1569" s="1047"/>
    </row>
    <row r="1570" spans="1:12">
      <c r="A1570" s="1047" t="s">
        <v>2944</v>
      </c>
      <c r="B1570" s="1047" t="str">
        <f t="shared" si="490"/>
        <v>202503</v>
      </c>
      <c r="C1570" s="1047" t="s">
        <v>2945</v>
      </c>
      <c r="D1570" s="1048" t="str">
        <f t="shared" ca="1" si="488"/>
        <v>13.03.02.</v>
      </c>
      <c r="E1570" s="1047">
        <f t="shared" si="483"/>
        <v>0</v>
      </c>
      <c r="F1570" s="1049">
        <f ca="1">OFFSET('Tabla IV.2.'!$H$39,H1570-1,I1570-1)</f>
        <v>0</v>
      </c>
      <c r="G1570" s="1047" t="str">
        <f ca="1">OFFSET('Tabla IV.2.'!$H$1,0,I1570-1)</f>
        <v>05</v>
      </c>
      <c r="H1570" s="1050">
        <f t="shared" si="489"/>
        <v>3</v>
      </c>
      <c r="I1570" s="1050">
        <f>+I1569+1</f>
        <v>5</v>
      </c>
      <c r="J1570" s="1050" t="str">
        <f ca="1">+'Tabla IV.2.'!$C$8</f>
        <v>Tabla IV.2.</v>
      </c>
      <c r="K1570" s="1050" t="str">
        <f t="shared" si="486"/>
        <v>C</v>
      </c>
      <c r="L1570" s="1047"/>
    </row>
    <row r="1571" spans="1:12">
      <c r="A1571" s="1047" t="s">
        <v>2944</v>
      </c>
      <c r="B1571" s="1047" t="str">
        <f t="shared" si="490"/>
        <v>202503</v>
      </c>
      <c r="C1571" s="1047" t="s">
        <v>2945</v>
      </c>
      <c r="D1571" s="1048" t="str">
        <f t="shared" ca="1" si="488"/>
        <v>13.03.02.</v>
      </c>
      <c r="E1571" s="1047">
        <f t="shared" si="483"/>
        <v>0</v>
      </c>
      <c r="F1571" s="1049">
        <f ca="1">OFFSET('Tabla IV.2.'!$H$39,H1571-1,I1571-1)</f>
        <v>0</v>
      </c>
      <c r="G1571" s="1047" t="str">
        <f ca="1">OFFSET('Tabla IV.2.'!$H$1,0,I1571-1)</f>
        <v>06</v>
      </c>
      <c r="H1571" s="1050">
        <f t="shared" si="489"/>
        <v>3</v>
      </c>
      <c r="I1571" s="1050">
        <f>+I1570+1</f>
        <v>6</v>
      </c>
      <c r="J1571" s="1050" t="str">
        <f ca="1">+'Tabla IV.2.'!$C$8</f>
        <v>Tabla IV.2.</v>
      </c>
      <c r="K1571" s="1050" t="str">
        <f t="shared" si="486"/>
        <v>C</v>
      </c>
      <c r="L1571" s="1047"/>
    </row>
    <row r="1572" spans="1:12">
      <c r="A1572" s="1051" t="s">
        <v>2944</v>
      </c>
      <c r="B1572" s="1051" t="str">
        <f t="shared" si="490"/>
        <v>202503</v>
      </c>
      <c r="C1572" s="1051" t="s">
        <v>2945</v>
      </c>
      <c r="D1572" s="1052" t="str">
        <f ca="1">OFFSET('Tabla IV.2.'!$F$39,H1572-1,0)</f>
        <v>13.03.03.</v>
      </c>
      <c r="E1572" s="1051">
        <f t="shared" si="483"/>
        <v>0</v>
      </c>
      <c r="F1572" s="1053">
        <f ca="1">OFFSET('Tabla IV.2.'!$H$39,H1572-1,I1572-1)</f>
        <v>0</v>
      </c>
      <c r="G1572" s="1051" t="str">
        <f ca="1">OFFSET('Tabla IV.2.'!$H$1,0,I1572-1)</f>
        <v>01</v>
      </c>
      <c r="H1572" s="1054">
        <v>4</v>
      </c>
      <c r="I1572" s="1054">
        <v>1</v>
      </c>
      <c r="J1572" s="1054" t="str">
        <f ca="1">+'Tabla IV.2.'!$C$8</f>
        <v>Tabla IV.2.</v>
      </c>
      <c r="K1572" s="1054" t="s">
        <v>2268</v>
      </c>
      <c r="L1572" s="1051">
        <v>10</v>
      </c>
    </row>
    <row r="1573" spans="1:12">
      <c r="A1573" s="1051" t="s">
        <v>2944</v>
      </c>
      <c r="B1573" s="1051" t="str">
        <f t="shared" si="490"/>
        <v>202503</v>
      </c>
      <c r="C1573" s="1051" t="s">
        <v>2945</v>
      </c>
      <c r="D1573" s="1052" t="str">
        <f t="shared" ca="1" si="488"/>
        <v>13.03.03.</v>
      </c>
      <c r="E1573" s="1051">
        <f t="shared" si="483"/>
        <v>0</v>
      </c>
      <c r="F1573" s="1053">
        <f ca="1">OFFSET('Tabla IV.2.'!$H$39,H1573-1,I1573-1)</f>
        <v>0</v>
      </c>
      <c r="G1573" s="1051" t="str">
        <f ca="1">OFFSET('Tabla IV.2.'!$H$1,0,I1573-1)</f>
        <v>02</v>
      </c>
      <c r="H1573" s="1054">
        <f t="shared" si="489"/>
        <v>4</v>
      </c>
      <c r="I1573" s="1054">
        <f>+I1572+1</f>
        <v>2</v>
      </c>
      <c r="J1573" s="1054" t="str">
        <f ca="1">+'Tabla IV.2.'!$C$8</f>
        <v>Tabla IV.2.</v>
      </c>
      <c r="K1573" s="1054" t="str">
        <f t="shared" si="486"/>
        <v>C</v>
      </c>
      <c r="L1573" s="1051"/>
    </row>
    <row r="1574" spans="1:12">
      <c r="A1574" s="1051" t="s">
        <v>2944</v>
      </c>
      <c r="B1574" s="1051" t="str">
        <f t="shared" si="490"/>
        <v>202503</v>
      </c>
      <c r="C1574" s="1051" t="s">
        <v>2945</v>
      </c>
      <c r="D1574" s="1052" t="str">
        <f t="shared" ca="1" si="488"/>
        <v>13.03.03.</v>
      </c>
      <c r="E1574" s="1051">
        <f t="shared" si="483"/>
        <v>0</v>
      </c>
      <c r="F1574" s="1053">
        <f ca="1">OFFSET('Tabla IV.2.'!$H$39,H1574-1,I1574-1)</f>
        <v>0</v>
      </c>
      <c r="G1574" s="1051" t="str">
        <f ca="1">OFFSET('Tabla IV.2.'!$H$1,0,I1574-1)</f>
        <v>03</v>
      </c>
      <c r="H1574" s="1054">
        <f t="shared" si="489"/>
        <v>4</v>
      </c>
      <c r="I1574" s="1054">
        <f>+I1573+1</f>
        <v>3</v>
      </c>
      <c r="J1574" s="1054" t="str">
        <f ca="1">+'Tabla IV.2.'!$C$8</f>
        <v>Tabla IV.2.</v>
      </c>
      <c r="K1574" s="1054" t="str">
        <f t="shared" si="486"/>
        <v>C</v>
      </c>
      <c r="L1574" s="1051"/>
    </row>
    <row r="1575" spans="1:12">
      <c r="A1575" s="1051" t="s">
        <v>2944</v>
      </c>
      <c r="B1575" s="1051" t="str">
        <f t="shared" si="490"/>
        <v>202503</v>
      </c>
      <c r="C1575" s="1051" t="s">
        <v>2945</v>
      </c>
      <c r="D1575" s="1052" t="str">
        <f t="shared" ca="1" si="488"/>
        <v>13.03.03.</v>
      </c>
      <c r="E1575" s="1051">
        <f t="shared" si="483"/>
        <v>0</v>
      </c>
      <c r="F1575" s="1053">
        <f ca="1">OFFSET('Tabla IV.2.'!$H$39,H1575-1,I1575-1)</f>
        <v>0</v>
      </c>
      <c r="G1575" s="1051" t="str">
        <f ca="1">OFFSET('Tabla IV.2.'!$H$1,0,I1575-1)</f>
        <v>04</v>
      </c>
      <c r="H1575" s="1054">
        <f t="shared" si="489"/>
        <v>4</v>
      </c>
      <c r="I1575" s="1054">
        <f>+I1574+1</f>
        <v>4</v>
      </c>
      <c r="J1575" s="1054" t="str">
        <f ca="1">+'Tabla IV.2.'!$C$8</f>
        <v>Tabla IV.2.</v>
      </c>
      <c r="K1575" s="1054" t="str">
        <f t="shared" si="486"/>
        <v>C</v>
      </c>
      <c r="L1575" s="1051"/>
    </row>
    <row r="1576" spans="1:12">
      <c r="A1576" s="1051" t="s">
        <v>2944</v>
      </c>
      <c r="B1576" s="1051" t="str">
        <f t="shared" si="490"/>
        <v>202503</v>
      </c>
      <c r="C1576" s="1051" t="s">
        <v>2945</v>
      </c>
      <c r="D1576" s="1052" t="str">
        <f t="shared" ca="1" si="488"/>
        <v>13.03.03.</v>
      </c>
      <c r="E1576" s="1051">
        <f t="shared" si="483"/>
        <v>0</v>
      </c>
      <c r="F1576" s="1053">
        <f ca="1">OFFSET('Tabla IV.2.'!$H$39,H1576-1,I1576-1)</f>
        <v>0</v>
      </c>
      <c r="G1576" s="1051" t="str">
        <f ca="1">OFFSET('Tabla IV.2.'!$H$1,0,I1576-1)</f>
        <v>05</v>
      </c>
      <c r="H1576" s="1054">
        <f t="shared" si="489"/>
        <v>4</v>
      </c>
      <c r="I1576" s="1054">
        <f>+I1575+1</f>
        <v>5</v>
      </c>
      <c r="J1576" s="1054" t="str">
        <f ca="1">+'Tabla IV.2.'!$C$8</f>
        <v>Tabla IV.2.</v>
      </c>
      <c r="K1576" s="1054" t="str">
        <f t="shared" si="486"/>
        <v>C</v>
      </c>
      <c r="L1576" s="1051"/>
    </row>
    <row r="1577" spans="1:12">
      <c r="A1577" s="1051" t="s">
        <v>2944</v>
      </c>
      <c r="B1577" s="1051" t="str">
        <f t="shared" si="490"/>
        <v>202503</v>
      </c>
      <c r="C1577" s="1051" t="s">
        <v>2945</v>
      </c>
      <c r="D1577" s="1052" t="str">
        <f t="shared" ca="1" si="488"/>
        <v>13.03.03.</v>
      </c>
      <c r="E1577" s="1051">
        <f t="shared" si="483"/>
        <v>0</v>
      </c>
      <c r="F1577" s="1053">
        <f ca="1">OFFSET('Tabla IV.2.'!$H$39,H1577-1,I1577-1)</f>
        <v>0</v>
      </c>
      <c r="G1577" s="1051" t="str">
        <f ca="1">OFFSET('Tabla IV.2.'!$H$1,0,I1577-1)</f>
        <v>06</v>
      </c>
      <c r="H1577" s="1054">
        <f t="shared" si="489"/>
        <v>4</v>
      </c>
      <c r="I1577" s="1054">
        <f>+I1576+1</f>
        <v>6</v>
      </c>
      <c r="J1577" s="1054" t="str">
        <f ca="1">+'Tabla IV.2.'!$C$8</f>
        <v>Tabla IV.2.</v>
      </c>
      <c r="K1577" s="1054" t="str">
        <f t="shared" si="486"/>
        <v>C</v>
      </c>
      <c r="L1577" s="1051"/>
    </row>
    <row r="1578" spans="1:12">
      <c r="A1578" s="1047" t="s">
        <v>2944</v>
      </c>
      <c r="B1578" s="1047" t="str">
        <f t="shared" si="490"/>
        <v>202503</v>
      </c>
      <c r="C1578" s="1047" t="s">
        <v>2945</v>
      </c>
      <c r="D1578" s="1048" t="str">
        <f ca="1">OFFSET('Tabla IV.2.'!$F$39,H1578-1,0)</f>
        <v>13.03.03.01.</v>
      </c>
      <c r="E1578" s="1047">
        <f t="shared" si="483"/>
        <v>0</v>
      </c>
      <c r="F1578" s="1049">
        <f ca="1">OFFSET('Tabla IV.2.'!$H$39,H1578-1,I1578-1)</f>
        <v>0</v>
      </c>
      <c r="G1578" s="1047" t="str">
        <f ca="1">OFFSET('Tabla IV.2.'!$H$1,0,I1578-1)</f>
        <v>01</v>
      </c>
      <c r="H1578" s="1050">
        <v>5</v>
      </c>
      <c r="I1578" s="1050">
        <v>1</v>
      </c>
      <c r="J1578" s="1050" t="str">
        <f ca="1">+'Tabla IV.2.'!$C$8</f>
        <v>Tabla IV.2.</v>
      </c>
      <c r="K1578" s="1050" t="s">
        <v>2268</v>
      </c>
      <c r="L1578" s="1047">
        <v>11</v>
      </c>
    </row>
    <row r="1579" spans="1:12">
      <c r="A1579" s="1047" t="s">
        <v>2944</v>
      </c>
      <c r="B1579" s="1047" t="str">
        <f t="shared" si="490"/>
        <v>202503</v>
      </c>
      <c r="C1579" s="1047" t="s">
        <v>2945</v>
      </c>
      <c r="D1579" s="1048" t="str">
        <f t="shared" ca="1" si="488"/>
        <v>13.03.03.01.</v>
      </c>
      <c r="E1579" s="1047">
        <f t="shared" si="483"/>
        <v>0</v>
      </c>
      <c r="F1579" s="1049">
        <f ca="1">OFFSET('Tabla IV.2.'!$H$39,H1579-1,I1579-1)</f>
        <v>0</v>
      </c>
      <c r="G1579" s="1047" t="str">
        <f ca="1">OFFSET('Tabla IV.2.'!$H$1,0,I1579-1)</f>
        <v>02</v>
      </c>
      <c r="H1579" s="1050">
        <f t="shared" si="489"/>
        <v>5</v>
      </c>
      <c r="I1579" s="1050">
        <f>+I1578+1</f>
        <v>2</v>
      </c>
      <c r="J1579" s="1050" t="str">
        <f ca="1">+'Tabla IV.2.'!$C$8</f>
        <v>Tabla IV.2.</v>
      </c>
      <c r="K1579" s="1050" t="str">
        <f t="shared" si="486"/>
        <v>C</v>
      </c>
      <c r="L1579" s="1047"/>
    </row>
    <row r="1580" spans="1:12">
      <c r="A1580" s="1047" t="s">
        <v>2944</v>
      </c>
      <c r="B1580" s="1047" t="str">
        <f t="shared" si="490"/>
        <v>202503</v>
      </c>
      <c r="C1580" s="1047" t="s">
        <v>2945</v>
      </c>
      <c r="D1580" s="1048" t="str">
        <f t="shared" ca="1" si="488"/>
        <v>13.03.03.01.</v>
      </c>
      <c r="E1580" s="1047">
        <f t="shared" si="483"/>
        <v>0</v>
      </c>
      <c r="F1580" s="1049">
        <f ca="1">OFFSET('Tabla IV.2.'!$H$39,H1580-1,I1580-1)</f>
        <v>0</v>
      </c>
      <c r="G1580" s="1047" t="str">
        <f ca="1">OFFSET('Tabla IV.2.'!$H$1,0,I1580-1)</f>
        <v>03</v>
      </c>
      <c r="H1580" s="1050">
        <f t="shared" si="489"/>
        <v>5</v>
      </c>
      <c r="I1580" s="1050">
        <f>+I1579+1</f>
        <v>3</v>
      </c>
      <c r="J1580" s="1050" t="str">
        <f ca="1">+'Tabla IV.2.'!$C$8</f>
        <v>Tabla IV.2.</v>
      </c>
      <c r="K1580" s="1050" t="str">
        <f t="shared" si="486"/>
        <v>C</v>
      </c>
      <c r="L1580" s="1047"/>
    </row>
    <row r="1581" spans="1:12">
      <c r="A1581" s="1047" t="s">
        <v>2944</v>
      </c>
      <c r="B1581" s="1047" t="str">
        <f t="shared" si="490"/>
        <v>202503</v>
      </c>
      <c r="C1581" s="1047" t="s">
        <v>2945</v>
      </c>
      <c r="D1581" s="1048" t="str">
        <f t="shared" ca="1" si="488"/>
        <v>13.03.03.01.</v>
      </c>
      <c r="E1581" s="1047">
        <f t="shared" si="483"/>
        <v>0</v>
      </c>
      <c r="F1581" s="1049">
        <f ca="1">OFFSET('Tabla IV.2.'!$H$39,H1581-1,I1581-1)</f>
        <v>0</v>
      </c>
      <c r="G1581" s="1047" t="str">
        <f ca="1">OFFSET('Tabla IV.2.'!$H$1,0,I1581-1)</f>
        <v>04</v>
      </c>
      <c r="H1581" s="1050">
        <f t="shared" si="489"/>
        <v>5</v>
      </c>
      <c r="I1581" s="1050">
        <f>+I1580+1</f>
        <v>4</v>
      </c>
      <c r="J1581" s="1050" t="str">
        <f ca="1">+'Tabla IV.2.'!$C$8</f>
        <v>Tabla IV.2.</v>
      </c>
      <c r="K1581" s="1050" t="str">
        <f t="shared" si="486"/>
        <v>C</v>
      </c>
      <c r="L1581" s="1047"/>
    </row>
    <row r="1582" spans="1:12">
      <c r="A1582" s="1047" t="s">
        <v>2944</v>
      </c>
      <c r="B1582" s="1047" t="str">
        <f t="shared" si="490"/>
        <v>202503</v>
      </c>
      <c r="C1582" s="1047" t="s">
        <v>2945</v>
      </c>
      <c r="D1582" s="1048" t="str">
        <f t="shared" ca="1" si="488"/>
        <v>13.03.03.01.</v>
      </c>
      <c r="E1582" s="1047">
        <f t="shared" si="483"/>
        <v>0</v>
      </c>
      <c r="F1582" s="1049">
        <f ca="1">OFFSET('Tabla IV.2.'!$H$39,H1582-1,I1582-1)</f>
        <v>0</v>
      </c>
      <c r="G1582" s="1047" t="str">
        <f ca="1">OFFSET('Tabla IV.2.'!$H$1,0,I1582-1)</f>
        <v>05</v>
      </c>
      <c r="H1582" s="1050">
        <f t="shared" si="489"/>
        <v>5</v>
      </c>
      <c r="I1582" s="1050">
        <f>+I1581+1</f>
        <v>5</v>
      </c>
      <c r="J1582" s="1050" t="str">
        <f ca="1">+'Tabla IV.2.'!$C$8</f>
        <v>Tabla IV.2.</v>
      </c>
      <c r="K1582" s="1050" t="str">
        <f t="shared" si="486"/>
        <v>C</v>
      </c>
      <c r="L1582" s="1047"/>
    </row>
    <row r="1583" spans="1:12">
      <c r="A1583" s="1047" t="s">
        <v>2944</v>
      </c>
      <c r="B1583" s="1047" t="str">
        <f t="shared" si="490"/>
        <v>202503</v>
      </c>
      <c r="C1583" s="1047" t="s">
        <v>2945</v>
      </c>
      <c r="D1583" s="1048" t="str">
        <f t="shared" ca="1" si="488"/>
        <v>13.03.03.01.</v>
      </c>
      <c r="E1583" s="1047">
        <f t="shared" si="483"/>
        <v>0</v>
      </c>
      <c r="F1583" s="1049">
        <f ca="1">OFFSET('Tabla IV.2.'!$H$39,H1583-1,I1583-1)</f>
        <v>0</v>
      </c>
      <c r="G1583" s="1047" t="str">
        <f ca="1">OFFSET('Tabla IV.2.'!$H$1,0,I1583-1)</f>
        <v>06</v>
      </c>
      <c r="H1583" s="1050">
        <f t="shared" si="489"/>
        <v>5</v>
      </c>
      <c r="I1583" s="1050">
        <f>+I1582+1</f>
        <v>6</v>
      </c>
      <c r="J1583" s="1050" t="str">
        <f ca="1">+'Tabla IV.2.'!$C$8</f>
        <v>Tabla IV.2.</v>
      </c>
      <c r="K1583" s="1050" t="str">
        <f t="shared" si="486"/>
        <v>C</v>
      </c>
      <c r="L1583" s="1047"/>
    </row>
    <row r="1584" spans="1:12">
      <c r="A1584" s="1051" t="s">
        <v>2944</v>
      </c>
      <c r="B1584" s="1051" t="str">
        <f t="shared" si="490"/>
        <v>202503</v>
      </c>
      <c r="C1584" s="1051" t="s">
        <v>2945</v>
      </c>
      <c r="D1584" s="1052" t="str">
        <f ca="1">OFFSET('Tabla IV.2.'!$F$39,H1584-1,0)</f>
        <v>13.03.03.02.</v>
      </c>
      <c r="E1584" s="1051">
        <f t="shared" si="483"/>
        <v>0</v>
      </c>
      <c r="F1584" s="1053">
        <f ca="1">OFFSET('Tabla IV.2.'!$H$39,H1584-1,I1584-1)</f>
        <v>0</v>
      </c>
      <c r="G1584" s="1051" t="str">
        <f ca="1">OFFSET('Tabla IV.2.'!$H$1,0,I1584-1)</f>
        <v>01</v>
      </c>
      <c r="H1584" s="1054">
        <v>6</v>
      </c>
      <c r="I1584" s="1054">
        <v>1</v>
      </c>
      <c r="J1584" s="1054" t="str">
        <f ca="1">+'Tabla IV.2.'!$C$8</f>
        <v>Tabla IV.2.</v>
      </c>
      <c r="K1584" s="1054" t="s">
        <v>2268</v>
      </c>
      <c r="L1584" s="1051">
        <v>12</v>
      </c>
    </row>
    <row r="1585" spans="1:12">
      <c r="A1585" s="1051" t="s">
        <v>2944</v>
      </c>
      <c r="B1585" s="1051" t="str">
        <f t="shared" si="490"/>
        <v>202503</v>
      </c>
      <c r="C1585" s="1051" t="s">
        <v>2945</v>
      </c>
      <c r="D1585" s="1052" t="str">
        <f t="shared" ca="1" si="488"/>
        <v>13.03.03.02.</v>
      </c>
      <c r="E1585" s="1051">
        <f t="shared" si="483"/>
        <v>0</v>
      </c>
      <c r="F1585" s="1053">
        <f ca="1">OFFSET('Tabla IV.2.'!$H$39,H1585-1,I1585-1)</f>
        <v>0</v>
      </c>
      <c r="G1585" s="1051" t="str">
        <f ca="1">OFFSET('Tabla IV.2.'!$H$1,0,I1585-1)</f>
        <v>02</v>
      </c>
      <c r="H1585" s="1054">
        <f t="shared" si="489"/>
        <v>6</v>
      </c>
      <c r="I1585" s="1054">
        <f>+I1584+1</f>
        <v>2</v>
      </c>
      <c r="J1585" s="1054" t="str">
        <f ca="1">+'Tabla IV.2.'!$C$8</f>
        <v>Tabla IV.2.</v>
      </c>
      <c r="K1585" s="1054" t="str">
        <f t="shared" si="486"/>
        <v>C</v>
      </c>
      <c r="L1585" s="1051"/>
    </row>
    <row r="1586" spans="1:12">
      <c r="A1586" s="1051" t="s">
        <v>2944</v>
      </c>
      <c r="B1586" s="1051" t="str">
        <f t="shared" si="490"/>
        <v>202503</v>
      </c>
      <c r="C1586" s="1051" t="s">
        <v>2945</v>
      </c>
      <c r="D1586" s="1052" t="str">
        <f t="shared" ca="1" si="488"/>
        <v>13.03.03.02.</v>
      </c>
      <c r="E1586" s="1051">
        <f t="shared" si="483"/>
        <v>0</v>
      </c>
      <c r="F1586" s="1053">
        <f ca="1">OFFSET('Tabla IV.2.'!$H$39,H1586-1,I1586-1)</f>
        <v>0</v>
      </c>
      <c r="G1586" s="1051" t="str">
        <f ca="1">OFFSET('Tabla IV.2.'!$H$1,0,I1586-1)</f>
        <v>03</v>
      </c>
      <c r="H1586" s="1054">
        <f t="shared" si="489"/>
        <v>6</v>
      </c>
      <c r="I1586" s="1054">
        <f>+I1585+1</f>
        <v>3</v>
      </c>
      <c r="J1586" s="1054" t="str">
        <f ca="1">+'Tabla IV.2.'!$C$8</f>
        <v>Tabla IV.2.</v>
      </c>
      <c r="K1586" s="1054" t="str">
        <f t="shared" si="486"/>
        <v>C</v>
      </c>
      <c r="L1586" s="1051"/>
    </row>
    <row r="1587" spans="1:12">
      <c r="A1587" s="1051" t="s">
        <v>2944</v>
      </c>
      <c r="B1587" s="1051" t="str">
        <f t="shared" si="490"/>
        <v>202503</v>
      </c>
      <c r="C1587" s="1051" t="s">
        <v>2945</v>
      </c>
      <c r="D1587" s="1052" t="str">
        <f t="shared" ca="1" si="488"/>
        <v>13.03.03.02.</v>
      </c>
      <c r="E1587" s="1051">
        <f t="shared" si="483"/>
        <v>0</v>
      </c>
      <c r="F1587" s="1053">
        <f ca="1">OFFSET('Tabla IV.2.'!$H$39,H1587-1,I1587-1)</f>
        <v>0</v>
      </c>
      <c r="G1587" s="1051" t="str">
        <f ca="1">OFFSET('Tabla IV.2.'!$H$1,0,I1587-1)</f>
        <v>04</v>
      </c>
      <c r="H1587" s="1054">
        <f t="shared" si="489"/>
        <v>6</v>
      </c>
      <c r="I1587" s="1054">
        <f>+I1586+1</f>
        <v>4</v>
      </c>
      <c r="J1587" s="1054" t="str">
        <f ca="1">+'Tabla IV.2.'!$C$8</f>
        <v>Tabla IV.2.</v>
      </c>
      <c r="K1587" s="1054" t="str">
        <f t="shared" si="486"/>
        <v>C</v>
      </c>
      <c r="L1587" s="1051"/>
    </row>
    <row r="1588" spans="1:12">
      <c r="A1588" s="1051" t="s">
        <v>2944</v>
      </c>
      <c r="B1588" s="1051" t="str">
        <f t="shared" si="490"/>
        <v>202503</v>
      </c>
      <c r="C1588" s="1051" t="s">
        <v>2945</v>
      </c>
      <c r="D1588" s="1052" t="str">
        <f t="shared" ca="1" si="488"/>
        <v>13.03.03.02.</v>
      </c>
      <c r="E1588" s="1051">
        <f t="shared" si="483"/>
        <v>0</v>
      </c>
      <c r="F1588" s="1053">
        <f ca="1">OFFSET('Tabla IV.2.'!$H$39,H1588-1,I1588-1)</f>
        <v>0</v>
      </c>
      <c r="G1588" s="1051" t="str">
        <f ca="1">OFFSET('Tabla IV.2.'!$H$1,0,I1588-1)</f>
        <v>05</v>
      </c>
      <c r="H1588" s="1054">
        <f t="shared" si="489"/>
        <v>6</v>
      </c>
      <c r="I1588" s="1054">
        <f>+I1587+1</f>
        <v>5</v>
      </c>
      <c r="J1588" s="1054" t="str">
        <f ca="1">+'Tabla IV.2.'!$C$8</f>
        <v>Tabla IV.2.</v>
      </c>
      <c r="K1588" s="1054" t="str">
        <f t="shared" si="486"/>
        <v>C</v>
      </c>
      <c r="L1588" s="1051"/>
    </row>
    <row r="1589" spans="1:12">
      <c r="A1589" s="1051" t="s">
        <v>2944</v>
      </c>
      <c r="B1589" s="1051" t="str">
        <f t="shared" si="490"/>
        <v>202503</v>
      </c>
      <c r="C1589" s="1051" t="s">
        <v>2945</v>
      </c>
      <c r="D1589" s="1052" t="str">
        <f ca="1">+D1588</f>
        <v>13.03.03.02.</v>
      </c>
      <c r="E1589" s="1051">
        <f t="shared" si="483"/>
        <v>0</v>
      </c>
      <c r="F1589" s="1053">
        <f ca="1">OFFSET('Tabla IV.2.'!$H$39,H1589-1,I1589-1)</f>
        <v>0</v>
      </c>
      <c r="G1589" s="1051" t="str">
        <f ca="1">OFFSET('Tabla IV.2.'!$H$1,0,I1589-1)</f>
        <v>06</v>
      </c>
      <c r="H1589" s="1054">
        <f>+H1588</f>
        <v>6</v>
      </c>
      <c r="I1589" s="1054">
        <f>+I1588+1</f>
        <v>6</v>
      </c>
      <c r="J1589" s="1054" t="str">
        <f ca="1">+'Tabla IV.2.'!$C$8</f>
        <v>Tabla IV.2.</v>
      </c>
      <c r="K1589" s="1054" t="str">
        <f t="shared" si="486"/>
        <v>C</v>
      </c>
      <c r="L1589" s="1051"/>
    </row>
    <row r="1590" spans="1:12" s="103" customFormat="1">
      <c r="A1590" s="104" t="s">
        <v>2944</v>
      </c>
      <c r="B1590" s="104" t="str">
        <f t="shared" si="490"/>
        <v>202503</v>
      </c>
      <c r="C1590" s="104" t="s">
        <v>2945</v>
      </c>
      <c r="D1590" s="455" t="str">
        <f ca="1">OFFSET('Tabla IV.2.'!$F$53,H1590-1,0)</f>
        <v>14.01.</v>
      </c>
      <c r="E1590" s="104">
        <f t="shared" si="483"/>
        <v>0</v>
      </c>
      <c r="F1590" s="456">
        <f ca="1">OFFSET('Tabla IV.2.'!$K$53,H1590-1,I1590-1)</f>
        <v>0</v>
      </c>
      <c r="G1590" s="1082" t="str">
        <f ca="1">OFFSET('Tabla IV.2.'!$H$1,0,I1590-1)</f>
        <v>01</v>
      </c>
      <c r="H1590" s="457">
        <v>1</v>
      </c>
      <c r="I1590" s="457">
        <v>1</v>
      </c>
      <c r="J1590" s="457" t="str">
        <f ca="1">+'Tabla IV.2.'!$C$8</f>
        <v>Tabla IV.2.</v>
      </c>
      <c r="K1590" s="457" t="s">
        <v>2269</v>
      </c>
      <c r="L1590" s="104">
        <v>14</v>
      </c>
    </row>
    <row r="1591" spans="1:12" s="103" customFormat="1">
      <c r="A1591" s="104" t="s">
        <v>2944</v>
      </c>
      <c r="B1591" s="104" t="str">
        <f t="shared" si="490"/>
        <v>202503</v>
      </c>
      <c r="C1591" s="104" t="s">
        <v>2945</v>
      </c>
      <c r="D1591" s="455" t="str">
        <f ca="1">OFFSET('Tabla IV.2.'!$F$53,H1591-1,0)</f>
        <v>14.01.01.</v>
      </c>
      <c r="E1591" s="104">
        <f t="shared" si="483"/>
        <v>0</v>
      </c>
      <c r="F1591" s="456">
        <f ca="1">OFFSET('Tabla IV.2.'!$K$53,H1591-1,I1591-1)</f>
        <v>0</v>
      </c>
      <c r="G1591" s="1082" t="str">
        <f ca="1">OFFSET('Tabla IV.2.'!$H$1,0,I1591-1)</f>
        <v>01</v>
      </c>
      <c r="H1591" s="457">
        <f t="shared" ref="H1591:H1603" si="491">+H1590+1</f>
        <v>2</v>
      </c>
      <c r="I1591" s="457">
        <v>1</v>
      </c>
      <c r="J1591" s="457" t="str">
        <f ca="1">+'Tabla IV.2.'!$C$8</f>
        <v>Tabla IV.2.</v>
      </c>
      <c r="K1591" s="457" t="str">
        <f t="shared" si="486"/>
        <v>D</v>
      </c>
      <c r="L1591" s="104"/>
    </row>
    <row r="1592" spans="1:12" s="103" customFormat="1">
      <c r="A1592" s="104" t="s">
        <v>2944</v>
      </c>
      <c r="B1592" s="104" t="str">
        <f t="shared" si="490"/>
        <v>202503</v>
      </c>
      <c r="C1592" s="104" t="s">
        <v>2945</v>
      </c>
      <c r="D1592" s="455" t="str">
        <f ca="1">OFFSET('Tabla IV.2.'!$F$53,H1592-1,0)</f>
        <v>14.01.01.01.</v>
      </c>
      <c r="E1592" s="104">
        <f t="shared" si="483"/>
        <v>0</v>
      </c>
      <c r="F1592" s="456">
        <f ca="1">OFFSET('Tabla IV.2.'!$K$53,H1592-1,I1592-1)</f>
        <v>0</v>
      </c>
      <c r="G1592" s="1082" t="str">
        <f ca="1">OFFSET('Tabla IV.2.'!$H$1,0,I1592-1)</f>
        <v>01</v>
      </c>
      <c r="H1592" s="457">
        <f t="shared" si="491"/>
        <v>3</v>
      </c>
      <c r="I1592" s="457">
        <v>1</v>
      </c>
      <c r="J1592" s="457" t="str">
        <f ca="1">+'Tabla IV.2.'!$C$8</f>
        <v>Tabla IV.2.</v>
      </c>
      <c r="K1592" s="457" t="str">
        <f t="shared" si="486"/>
        <v>D</v>
      </c>
      <c r="L1592" s="104"/>
    </row>
    <row r="1593" spans="1:12" s="103" customFormat="1">
      <c r="A1593" s="104" t="s">
        <v>2944</v>
      </c>
      <c r="B1593" s="104" t="str">
        <f t="shared" si="490"/>
        <v>202503</v>
      </c>
      <c r="C1593" s="104" t="s">
        <v>2945</v>
      </c>
      <c r="D1593" s="455" t="str">
        <f ca="1">OFFSET('Tabla IV.2.'!$F$53,H1593-1,0)</f>
        <v>14.01.01.02.</v>
      </c>
      <c r="E1593" s="104">
        <f t="shared" si="483"/>
        <v>0</v>
      </c>
      <c r="F1593" s="456">
        <f ca="1">OFFSET('Tabla IV.2.'!$K$53,H1593-1,I1593-1)</f>
        <v>0</v>
      </c>
      <c r="G1593" s="1082" t="str">
        <f ca="1">OFFSET('Tabla IV.2.'!$H$1,0,I1593-1)</f>
        <v>01</v>
      </c>
      <c r="H1593" s="457">
        <f t="shared" si="491"/>
        <v>4</v>
      </c>
      <c r="I1593" s="457">
        <v>1</v>
      </c>
      <c r="J1593" s="457" t="str">
        <f ca="1">+'Tabla IV.2.'!$C$8</f>
        <v>Tabla IV.2.</v>
      </c>
      <c r="K1593" s="457" t="str">
        <f t="shared" si="486"/>
        <v>D</v>
      </c>
      <c r="L1593" s="104"/>
    </row>
    <row r="1594" spans="1:12" s="103" customFormat="1">
      <c r="A1594" s="104" t="s">
        <v>2944</v>
      </c>
      <c r="B1594" s="104" t="str">
        <f t="shared" si="490"/>
        <v>202503</v>
      </c>
      <c r="C1594" s="104" t="s">
        <v>2945</v>
      </c>
      <c r="D1594" s="455" t="str">
        <f ca="1">OFFSET('Tabla IV.2.'!$F$53,H1594-1,0)</f>
        <v>14.01.02.</v>
      </c>
      <c r="E1594" s="104">
        <f t="shared" si="483"/>
        <v>0</v>
      </c>
      <c r="F1594" s="456">
        <f ca="1">OFFSET('Tabla IV.2.'!$K$53,H1594-1,I1594-1)</f>
        <v>0</v>
      </c>
      <c r="G1594" s="1082" t="str">
        <f ca="1">OFFSET('Tabla IV.2.'!$H$1,0,I1594-1)</f>
        <v>01</v>
      </c>
      <c r="H1594" s="457">
        <f t="shared" si="491"/>
        <v>5</v>
      </c>
      <c r="I1594" s="457">
        <v>1</v>
      </c>
      <c r="J1594" s="457" t="str">
        <f ca="1">+'Tabla IV.2.'!$C$8</f>
        <v>Tabla IV.2.</v>
      </c>
      <c r="K1594" s="457" t="str">
        <f t="shared" si="486"/>
        <v>D</v>
      </c>
      <c r="L1594" s="104"/>
    </row>
    <row r="1595" spans="1:12" s="103" customFormat="1">
      <c r="A1595" s="104" t="s">
        <v>2944</v>
      </c>
      <c r="B1595" s="104" t="str">
        <f t="shared" si="490"/>
        <v>202503</v>
      </c>
      <c r="C1595" s="104" t="s">
        <v>2945</v>
      </c>
      <c r="D1595" s="455" t="str">
        <f ca="1">OFFSET('Tabla IV.2.'!$F$53,H1595-1,0)</f>
        <v>14.01.02.01</v>
      </c>
      <c r="E1595" s="104">
        <f t="shared" si="483"/>
        <v>0</v>
      </c>
      <c r="F1595" s="456">
        <f ca="1">OFFSET('Tabla IV.2.'!$K$53,H1595-1,I1595-1)</f>
        <v>0</v>
      </c>
      <c r="G1595" s="1082" t="str">
        <f ca="1">OFFSET('Tabla IV.2.'!$H$1,0,I1595-1)</f>
        <v>01</v>
      </c>
      <c r="H1595" s="457">
        <f t="shared" si="491"/>
        <v>6</v>
      </c>
      <c r="I1595" s="457">
        <v>1</v>
      </c>
      <c r="J1595" s="457" t="str">
        <f ca="1">+'Tabla IV.2.'!$C$8</f>
        <v>Tabla IV.2.</v>
      </c>
      <c r="K1595" s="457" t="str">
        <f t="shared" si="486"/>
        <v>D</v>
      </c>
      <c r="L1595" s="104"/>
    </row>
    <row r="1596" spans="1:12" s="103" customFormat="1">
      <c r="A1596" s="104" t="s">
        <v>2944</v>
      </c>
      <c r="B1596" s="104" t="str">
        <f t="shared" si="490"/>
        <v>202503</v>
      </c>
      <c r="C1596" s="104" t="s">
        <v>2945</v>
      </c>
      <c r="D1596" s="455" t="str">
        <f ca="1">OFFSET('Tabla IV.2.'!$F$53,H1596-1,0)</f>
        <v>14.01.02.02</v>
      </c>
      <c r="E1596" s="104">
        <f t="shared" si="483"/>
        <v>0</v>
      </c>
      <c r="F1596" s="456">
        <f ca="1">OFFSET('Tabla IV.2.'!$K$53,H1596-1,I1596-1)</f>
        <v>0</v>
      </c>
      <c r="G1596" s="1082" t="str">
        <f ca="1">OFFSET('Tabla IV.2.'!$H$1,0,I1596-1)</f>
        <v>01</v>
      </c>
      <c r="H1596" s="457">
        <f t="shared" si="491"/>
        <v>7</v>
      </c>
      <c r="I1596" s="457">
        <v>1</v>
      </c>
      <c r="J1596" s="457" t="str">
        <f ca="1">+'Tabla IV.2.'!$C$8</f>
        <v>Tabla IV.2.</v>
      </c>
      <c r="K1596" s="457" t="str">
        <f t="shared" si="486"/>
        <v>D</v>
      </c>
      <c r="L1596" s="104"/>
    </row>
    <row r="1597" spans="1:12" s="103" customFormat="1">
      <c r="A1597" s="104" t="s">
        <v>2944</v>
      </c>
      <c r="B1597" s="104" t="str">
        <f t="shared" si="490"/>
        <v>202503</v>
      </c>
      <c r="C1597" s="104" t="s">
        <v>2945</v>
      </c>
      <c r="D1597" s="455" t="str">
        <f ca="1">OFFSET('Tabla IV.2.'!$F$53,H1597-1,0)</f>
        <v>14.02.</v>
      </c>
      <c r="E1597" s="104">
        <f t="shared" si="483"/>
        <v>0</v>
      </c>
      <c r="F1597" s="456">
        <f ca="1">OFFSET('Tabla IV.2.'!$K$53,H1597-1,I1597-1)</f>
        <v>0</v>
      </c>
      <c r="G1597" s="1082" t="str">
        <f ca="1">OFFSET('Tabla IV.2.'!$H$1,0,I1597-1)</f>
        <v>01</v>
      </c>
      <c r="H1597" s="457">
        <f t="shared" si="491"/>
        <v>8</v>
      </c>
      <c r="I1597" s="457">
        <v>1</v>
      </c>
      <c r="J1597" s="457" t="str">
        <f ca="1">+'Tabla IV.2.'!$C$8</f>
        <v>Tabla IV.2.</v>
      </c>
      <c r="K1597" s="457" t="str">
        <f t="shared" si="486"/>
        <v>D</v>
      </c>
      <c r="L1597" s="104"/>
    </row>
    <row r="1598" spans="1:12" s="103" customFormat="1">
      <c r="A1598" s="104" t="s">
        <v>2944</v>
      </c>
      <c r="B1598" s="104" t="str">
        <f t="shared" si="490"/>
        <v>202503</v>
      </c>
      <c r="C1598" s="104" t="s">
        <v>2945</v>
      </c>
      <c r="D1598" s="455" t="str">
        <f ca="1">OFFSET('Tabla IV.2.'!$F$53,H1598-1,0)</f>
        <v>14.02.01.</v>
      </c>
      <c r="E1598" s="104">
        <f t="shared" si="483"/>
        <v>0</v>
      </c>
      <c r="F1598" s="456">
        <f ca="1">OFFSET('Tabla IV.2.'!$K$53,H1598-1,I1598-1)</f>
        <v>0</v>
      </c>
      <c r="G1598" s="1082" t="str">
        <f ca="1">OFFSET('Tabla IV.2.'!$H$1,0,I1598-1)</f>
        <v>01</v>
      </c>
      <c r="H1598" s="457">
        <f t="shared" si="491"/>
        <v>9</v>
      </c>
      <c r="I1598" s="457">
        <v>1</v>
      </c>
      <c r="J1598" s="457" t="str">
        <f ca="1">+'Tabla IV.2.'!$C$8</f>
        <v>Tabla IV.2.</v>
      </c>
      <c r="K1598" s="457" t="str">
        <f t="shared" ref="K1598:K1603" si="492">+K1597</f>
        <v>D</v>
      </c>
      <c r="L1598" s="104"/>
    </row>
    <row r="1599" spans="1:12">
      <c r="A1599" s="104" t="s">
        <v>2944</v>
      </c>
      <c r="B1599" s="104" t="str">
        <f t="shared" si="490"/>
        <v>202503</v>
      </c>
      <c r="C1599" s="104" t="s">
        <v>2945</v>
      </c>
      <c r="D1599" s="455" t="str">
        <f ca="1">OFFSET('Tabla IV.2.'!$F$53,H1599-1,0)</f>
        <v>14.02.01.01.</v>
      </c>
      <c r="E1599" s="104">
        <f t="shared" si="483"/>
        <v>0</v>
      </c>
      <c r="F1599" s="456">
        <f ca="1">OFFSET('Tabla IV.2.'!$K$53,H1599-1,I1599-1)</f>
        <v>0</v>
      </c>
      <c r="G1599" s="1082" t="str">
        <f ca="1">OFFSET('Tabla IV.2.'!$H$1,0,I1599-1)</f>
        <v>01</v>
      </c>
      <c r="H1599" s="457">
        <f t="shared" si="491"/>
        <v>10</v>
      </c>
      <c r="I1599" s="457">
        <v>1</v>
      </c>
      <c r="J1599" s="457" t="str">
        <f ca="1">+'Tabla IV.2.'!$C$8</f>
        <v>Tabla IV.2.</v>
      </c>
      <c r="K1599" s="457" t="str">
        <f t="shared" si="492"/>
        <v>D</v>
      </c>
    </row>
    <row r="1600" spans="1:12">
      <c r="A1600" s="104" t="s">
        <v>2944</v>
      </c>
      <c r="B1600" s="104" t="str">
        <f t="shared" si="490"/>
        <v>202503</v>
      </c>
      <c r="C1600" s="104" t="s">
        <v>2945</v>
      </c>
      <c r="D1600" s="455" t="str">
        <f ca="1">OFFSET('Tabla IV.2.'!$F$53,H1600-1,0)</f>
        <v>14.02.01.02.</v>
      </c>
      <c r="E1600" s="104">
        <f t="shared" si="483"/>
        <v>0</v>
      </c>
      <c r="F1600" s="456">
        <f ca="1">OFFSET('Tabla IV.2.'!$K$53,H1600-1,I1600-1)</f>
        <v>0</v>
      </c>
      <c r="G1600" s="1082" t="str">
        <f ca="1">OFFSET('Tabla IV.2.'!$H$1,0,I1600-1)</f>
        <v>01</v>
      </c>
      <c r="H1600" s="457">
        <f t="shared" si="491"/>
        <v>11</v>
      </c>
      <c r="I1600" s="457">
        <v>1</v>
      </c>
      <c r="J1600" s="457" t="str">
        <f ca="1">+'Tabla IV.2.'!$C$8</f>
        <v>Tabla IV.2.</v>
      </c>
      <c r="K1600" s="457" t="str">
        <f t="shared" si="492"/>
        <v>D</v>
      </c>
    </row>
    <row r="1601" spans="1:12">
      <c r="A1601" s="104" t="s">
        <v>2944</v>
      </c>
      <c r="B1601" s="104" t="str">
        <f t="shared" si="490"/>
        <v>202503</v>
      </c>
      <c r="C1601" s="104" t="s">
        <v>2945</v>
      </c>
      <c r="D1601" s="455" t="str">
        <f ca="1">OFFSET('Tabla IV.2.'!$F$53,H1601-1,0)</f>
        <v>14.02.02.</v>
      </c>
      <c r="E1601" s="104">
        <f t="shared" si="483"/>
        <v>0</v>
      </c>
      <c r="F1601" s="456">
        <f ca="1">OFFSET('Tabla IV.2.'!$K$53,H1601-1,I1601-1)</f>
        <v>0</v>
      </c>
      <c r="G1601" s="1082" t="str">
        <f ca="1">OFFSET('Tabla IV.2.'!$H$1,0,I1601-1)</f>
        <v>01</v>
      </c>
      <c r="H1601" s="457">
        <f t="shared" si="491"/>
        <v>12</v>
      </c>
      <c r="I1601" s="457">
        <v>1</v>
      </c>
      <c r="J1601" s="457" t="str">
        <f ca="1">+'Tabla IV.2.'!$C$8</f>
        <v>Tabla IV.2.</v>
      </c>
      <c r="K1601" s="457" t="str">
        <f t="shared" si="492"/>
        <v>D</v>
      </c>
    </row>
    <row r="1602" spans="1:12">
      <c r="A1602" s="104" t="s">
        <v>2944</v>
      </c>
      <c r="B1602" s="104" t="str">
        <f t="shared" si="490"/>
        <v>202503</v>
      </c>
      <c r="C1602" s="104" t="s">
        <v>2945</v>
      </c>
      <c r="D1602" s="455" t="str">
        <f ca="1">OFFSET('Tabla IV.2.'!$F$53,H1602-1,0)</f>
        <v>14.02.02.01</v>
      </c>
      <c r="E1602" s="104">
        <f t="shared" si="483"/>
        <v>0</v>
      </c>
      <c r="F1602" s="456">
        <f ca="1">OFFSET('Tabla IV.2.'!$K$53,H1602-1,I1602-1)</f>
        <v>0</v>
      </c>
      <c r="G1602" s="1082" t="str">
        <f ca="1">OFFSET('Tabla IV.2.'!$H$1,0,I1602-1)</f>
        <v>01</v>
      </c>
      <c r="H1602" s="457">
        <f t="shared" si="491"/>
        <v>13</v>
      </c>
      <c r="I1602" s="457">
        <v>1</v>
      </c>
      <c r="J1602" s="457" t="str">
        <f ca="1">+'Tabla IV.2.'!$C$8</f>
        <v>Tabla IV.2.</v>
      </c>
      <c r="K1602" s="457" t="str">
        <f t="shared" si="492"/>
        <v>D</v>
      </c>
    </row>
    <row r="1603" spans="1:12">
      <c r="A1603" s="104" t="s">
        <v>2944</v>
      </c>
      <c r="B1603" s="104" t="str">
        <f t="shared" si="490"/>
        <v>202503</v>
      </c>
      <c r="C1603" s="104" t="s">
        <v>2945</v>
      </c>
      <c r="D1603" s="455" t="str">
        <f ca="1">OFFSET('Tabla IV.2.'!$F$53,H1603-1,0)</f>
        <v>14.02.02.02</v>
      </c>
      <c r="E1603" s="104">
        <f t="shared" si="483"/>
        <v>0</v>
      </c>
      <c r="F1603" s="456">
        <f ca="1">OFFSET('Tabla IV.2.'!$K$53,H1603-1,I1603-1)</f>
        <v>0</v>
      </c>
      <c r="G1603" s="1082" t="str">
        <f ca="1">OFFSET('Tabla IV.2.'!$H$1,0,I1603-1)</f>
        <v>01</v>
      </c>
      <c r="H1603" s="457">
        <f t="shared" si="491"/>
        <v>14</v>
      </c>
      <c r="I1603" s="457">
        <v>1</v>
      </c>
      <c r="J1603" s="457" t="str">
        <f ca="1">+'Tabla IV.2.'!$C$8</f>
        <v>Tabla IV.2.</v>
      </c>
      <c r="K1603" s="457" t="str">
        <f t="shared" si="492"/>
        <v>D</v>
      </c>
    </row>
    <row r="1604" spans="1:12" s="1088" customFormat="1">
      <c r="A1604" s="1083" t="s">
        <v>2944</v>
      </c>
      <c r="B1604" s="1083" t="str">
        <f t="shared" si="490"/>
        <v>202503</v>
      </c>
      <c r="C1604" s="1083" t="s">
        <v>2945</v>
      </c>
      <c r="D1604" s="1084" t="str">
        <f ca="1">OFFSET('Tabla IV.2.'!$F$73,H1604-1,0)</f>
        <v>15.01.</v>
      </c>
      <c r="E1604" s="1083">
        <f t="shared" si="483"/>
        <v>0</v>
      </c>
      <c r="F1604" s="1085">
        <f ca="1">OFFSET('Tabla IV.2.'!$K$73,H1604-1,I1604-1)</f>
        <v>0</v>
      </c>
      <c r="G1604" s="1086" t="str">
        <f ca="1">OFFSET('Tabla IV.2.'!$H$1,0,I1604-1)</f>
        <v>01</v>
      </c>
      <c r="H1604" s="1087">
        <v>1</v>
      </c>
      <c r="I1604" s="1087">
        <v>1</v>
      </c>
      <c r="J1604" s="1087" t="str">
        <f ca="1">+'Tabla IV.2.'!$C$8</f>
        <v>Tabla IV.2.</v>
      </c>
      <c r="K1604" s="1087" t="s">
        <v>2269</v>
      </c>
      <c r="L1604" s="1083">
        <v>15</v>
      </c>
    </row>
    <row r="1605" spans="1:12" s="1088" customFormat="1">
      <c r="A1605" s="1083" t="s">
        <v>2944</v>
      </c>
      <c r="B1605" s="1083" t="str">
        <f t="shared" si="490"/>
        <v>202503</v>
      </c>
      <c r="C1605" s="1083" t="s">
        <v>2945</v>
      </c>
      <c r="D1605" s="1084" t="str">
        <f ca="1">OFFSET('Tabla IV.2.'!$F$73,H1605-1,0)</f>
        <v>15.01.01.</v>
      </c>
      <c r="E1605" s="1083">
        <f t="shared" si="483"/>
        <v>0</v>
      </c>
      <c r="F1605" s="1085">
        <f ca="1">OFFSET('Tabla IV.2.'!$K$73,H1605-1,I1605-1)</f>
        <v>0</v>
      </c>
      <c r="G1605" s="1086" t="str">
        <f ca="1">OFFSET('Tabla IV.2.'!$H$1,0,I1605-1)</f>
        <v>01</v>
      </c>
      <c r="H1605" s="1087">
        <f t="shared" ref="H1605:H1617" si="493">+H1604+1</f>
        <v>2</v>
      </c>
      <c r="I1605" s="1087">
        <v>1</v>
      </c>
      <c r="J1605" s="1087" t="str">
        <f ca="1">+'Tabla IV.2.'!$C$8</f>
        <v>Tabla IV.2.</v>
      </c>
      <c r="K1605" s="1087" t="str">
        <f t="shared" ref="K1605:K1617" si="494">+K1604</f>
        <v>D</v>
      </c>
      <c r="L1605" s="1083"/>
    </row>
    <row r="1606" spans="1:12" s="1088" customFormat="1">
      <c r="A1606" s="1083" t="s">
        <v>2944</v>
      </c>
      <c r="B1606" s="1083" t="str">
        <f t="shared" si="490"/>
        <v>202503</v>
      </c>
      <c r="C1606" s="1083" t="s">
        <v>2945</v>
      </c>
      <c r="D1606" s="1084" t="str">
        <f ca="1">OFFSET('Tabla IV.2.'!$F$73,H1606-1,0)</f>
        <v>15.01.01.01.</v>
      </c>
      <c r="E1606" s="1083">
        <f t="shared" si="483"/>
        <v>0</v>
      </c>
      <c r="F1606" s="1085">
        <f ca="1">OFFSET('Tabla IV.2.'!$K$73,H1606-1,I1606-1)</f>
        <v>0</v>
      </c>
      <c r="G1606" s="1086" t="str">
        <f ca="1">OFFSET('Tabla IV.2.'!$H$1,0,I1606-1)</f>
        <v>01</v>
      </c>
      <c r="H1606" s="1087">
        <f t="shared" si="493"/>
        <v>3</v>
      </c>
      <c r="I1606" s="1087">
        <v>1</v>
      </c>
      <c r="J1606" s="1087" t="str">
        <f ca="1">+'Tabla IV.2.'!$C$8</f>
        <v>Tabla IV.2.</v>
      </c>
      <c r="K1606" s="1087" t="str">
        <f t="shared" si="494"/>
        <v>D</v>
      </c>
      <c r="L1606" s="1083"/>
    </row>
    <row r="1607" spans="1:12" s="1088" customFormat="1">
      <c r="A1607" s="1083" t="s">
        <v>2944</v>
      </c>
      <c r="B1607" s="1083" t="str">
        <f t="shared" si="490"/>
        <v>202503</v>
      </c>
      <c r="C1607" s="1083" t="s">
        <v>2945</v>
      </c>
      <c r="D1607" s="1084" t="str">
        <f ca="1">OFFSET('Tabla IV.2.'!$F$73,H1607-1,0)</f>
        <v>15.01.01.02.</v>
      </c>
      <c r="E1607" s="1083">
        <f t="shared" si="483"/>
        <v>0</v>
      </c>
      <c r="F1607" s="1085">
        <f ca="1">OFFSET('Tabla IV.2.'!$K$73,H1607-1,I1607-1)</f>
        <v>0</v>
      </c>
      <c r="G1607" s="1086" t="str">
        <f ca="1">OFFSET('Tabla IV.2.'!$H$1,0,I1607-1)</f>
        <v>01</v>
      </c>
      <c r="H1607" s="1087">
        <f t="shared" si="493"/>
        <v>4</v>
      </c>
      <c r="I1607" s="1087">
        <v>1</v>
      </c>
      <c r="J1607" s="1087" t="str">
        <f ca="1">+'Tabla IV.2.'!$C$8</f>
        <v>Tabla IV.2.</v>
      </c>
      <c r="K1607" s="1087" t="str">
        <f t="shared" si="494"/>
        <v>D</v>
      </c>
      <c r="L1607" s="1083"/>
    </row>
    <row r="1608" spans="1:12" s="1088" customFormat="1">
      <c r="A1608" s="1083" t="s">
        <v>2944</v>
      </c>
      <c r="B1608" s="1083" t="str">
        <f t="shared" si="490"/>
        <v>202503</v>
      </c>
      <c r="C1608" s="1083" t="s">
        <v>2945</v>
      </c>
      <c r="D1608" s="1084" t="str">
        <f ca="1">OFFSET('Tabla IV.2.'!$F$73,H1608-1,0)</f>
        <v>15.01.02.</v>
      </c>
      <c r="E1608" s="1083">
        <f t="shared" si="483"/>
        <v>0</v>
      </c>
      <c r="F1608" s="1085">
        <f ca="1">OFFSET('Tabla IV.2.'!$K$73,H1608-1,I1608-1)</f>
        <v>0</v>
      </c>
      <c r="G1608" s="1086" t="str">
        <f ca="1">OFFSET('Tabla IV.2.'!$H$1,0,I1608-1)</f>
        <v>01</v>
      </c>
      <c r="H1608" s="1087">
        <f t="shared" si="493"/>
        <v>5</v>
      </c>
      <c r="I1608" s="1087">
        <v>1</v>
      </c>
      <c r="J1608" s="1087" t="str">
        <f ca="1">+'Tabla IV.2.'!$C$8</f>
        <v>Tabla IV.2.</v>
      </c>
      <c r="K1608" s="1087" t="str">
        <f t="shared" si="494"/>
        <v>D</v>
      </c>
      <c r="L1608" s="1083"/>
    </row>
    <row r="1609" spans="1:12" s="1088" customFormat="1">
      <c r="A1609" s="1083" t="s">
        <v>2944</v>
      </c>
      <c r="B1609" s="1083" t="str">
        <f t="shared" si="490"/>
        <v>202503</v>
      </c>
      <c r="C1609" s="1083" t="s">
        <v>2945</v>
      </c>
      <c r="D1609" s="1084" t="str">
        <f ca="1">OFFSET('Tabla IV.2.'!$F$73,H1609-1,0)</f>
        <v>15.01.02.01</v>
      </c>
      <c r="E1609" s="1083">
        <f t="shared" si="483"/>
        <v>0</v>
      </c>
      <c r="F1609" s="1085">
        <f ca="1">OFFSET('Tabla IV.2.'!$K$73,H1609-1,I1609-1)</f>
        <v>0</v>
      </c>
      <c r="G1609" s="1086" t="str">
        <f ca="1">OFFSET('Tabla IV.2.'!$H$1,0,I1609-1)</f>
        <v>01</v>
      </c>
      <c r="H1609" s="1087">
        <f t="shared" si="493"/>
        <v>6</v>
      </c>
      <c r="I1609" s="1087">
        <v>1</v>
      </c>
      <c r="J1609" s="1087" t="str">
        <f ca="1">+'Tabla IV.2.'!$C$8</f>
        <v>Tabla IV.2.</v>
      </c>
      <c r="K1609" s="1087" t="str">
        <f t="shared" si="494"/>
        <v>D</v>
      </c>
      <c r="L1609" s="1083"/>
    </row>
    <row r="1610" spans="1:12" s="1088" customFormat="1">
      <c r="A1610" s="1083" t="s">
        <v>2944</v>
      </c>
      <c r="B1610" s="1083" t="str">
        <f t="shared" si="490"/>
        <v>202503</v>
      </c>
      <c r="C1610" s="1083" t="s">
        <v>2945</v>
      </c>
      <c r="D1610" s="1084" t="str">
        <f ca="1">OFFSET('Tabla IV.2.'!$F$73,H1610-1,0)</f>
        <v>15.01.02.02</v>
      </c>
      <c r="E1610" s="1083">
        <f t="shared" si="483"/>
        <v>0</v>
      </c>
      <c r="F1610" s="1085">
        <f ca="1">OFFSET('Tabla IV.2.'!$K$73,H1610-1,I1610-1)</f>
        <v>0</v>
      </c>
      <c r="G1610" s="1086" t="str">
        <f ca="1">OFFSET('Tabla IV.2.'!$H$1,0,I1610-1)</f>
        <v>01</v>
      </c>
      <c r="H1610" s="1087">
        <f t="shared" si="493"/>
        <v>7</v>
      </c>
      <c r="I1610" s="1087">
        <v>1</v>
      </c>
      <c r="J1610" s="1087" t="str">
        <f ca="1">+'Tabla IV.2.'!$C$8</f>
        <v>Tabla IV.2.</v>
      </c>
      <c r="K1610" s="1087" t="str">
        <f t="shared" si="494"/>
        <v>D</v>
      </c>
      <c r="L1610" s="1083"/>
    </row>
    <row r="1611" spans="1:12" s="1088" customFormat="1">
      <c r="A1611" s="1083" t="s">
        <v>2944</v>
      </c>
      <c r="B1611" s="1083" t="str">
        <f t="shared" si="490"/>
        <v>202503</v>
      </c>
      <c r="C1611" s="1083" t="s">
        <v>2945</v>
      </c>
      <c r="D1611" s="1084" t="str">
        <f ca="1">OFFSET('Tabla IV.2.'!$F$73,H1611-1,0)</f>
        <v>15.02.</v>
      </c>
      <c r="E1611" s="1083">
        <f t="shared" si="483"/>
        <v>0</v>
      </c>
      <c r="F1611" s="1085">
        <f ca="1">OFFSET('Tabla IV.2.'!$K$73,H1611-1,I1611-1)</f>
        <v>0</v>
      </c>
      <c r="G1611" s="1086" t="str">
        <f ca="1">OFFSET('Tabla IV.2.'!$H$1,0,I1611-1)</f>
        <v>01</v>
      </c>
      <c r="H1611" s="1087">
        <f t="shared" si="493"/>
        <v>8</v>
      </c>
      <c r="I1611" s="1087">
        <v>1</v>
      </c>
      <c r="J1611" s="1087" t="str">
        <f ca="1">+'Tabla IV.2.'!$C$8</f>
        <v>Tabla IV.2.</v>
      </c>
      <c r="K1611" s="1087" t="str">
        <f t="shared" si="494"/>
        <v>D</v>
      </c>
      <c r="L1611" s="1083"/>
    </row>
    <row r="1612" spans="1:12" s="1088" customFormat="1">
      <c r="A1612" s="1083" t="s">
        <v>2944</v>
      </c>
      <c r="B1612" s="1083" t="str">
        <f t="shared" si="490"/>
        <v>202503</v>
      </c>
      <c r="C1612" s="1083" t="s">
        <v>2945</v>
      </c>
      <c r="D1612" s="1084" t="str">
        <f ca="1">OFFSET('Tabla IV.2.'!$F$73,H1612-1,0)</f>
        <v>15.02.01.</v>
      </c>
      <c r="E1612" s="1083">
        <f t="shared" si="483"/>
        <v>0</v>
      </c>
      <c r="F1612" s="1085">
        <f ca="1">OFFSET('Tabla IV.2.'!$K$73,H1612-1,I1612-1)</f>
        <v>0</v>
      </c>
      <c r="G1612" s="1086" t="str">
        <f ca="1">OFFSET('Tabla IV.2.'!$H$1,0,I1612-1)</f>
        <v>01</v>
      </c>
      <c r="H1612" s="1087">
        <f t="shared" si="493"/>
        <v>9</v>
      </c>
      <c r="I1612" s="1087">
        <v>1</v>
      </c>
      <c r="J1612" s="1087" t="str">
        <f ca="1">+'Tabla IV.2.'!$C$8</f>
        <v>Tabla IV.2.</v>
      </c>
      <c r="K1612" s="1087" t="str">
        <f t="shared" si="494"/>
        <v>D</v>
      </c>
      <c r="L1612" s="1083"/>
    </row>
    <row r="1613" spans="1:12" s="1088" customFormat="1">
      <c r="A1613" s="1083" t="s">
        <v>2944</v>
      </c>
      <c r="B1613" s="1083" t="str">
        <f t="shared" si="490"/>
        <v>202503</v>
      </c>
      <c r="C1613" s="1083" t="s">
        <v>2945</v>
      </c>
      <c r="D1613" s="1084" t="str">
        <f ca="1">OFFSET('Tabla IV.2.'!$F$73,H1613-1,0)</f>
        <v>15.02.01.01.</v>
      </c>
      <c r="E1613" s="1083">
        <f t="shared" si="483"/>
        <v>0</v>
      </c>
      <c r="F1613" s="1085">
        <f ca="1">OFFSET('Tabla IV.2.'!$K$73,H1613-1,I1613-1)</f>
        <v>0</v>
      </c>
      <c r="G1613" s="1086" t="str">
        <f ca="1">OFFSET('Tabla IV.2.'!$H$1,0,I1613-1)</f>
        <v>01</v>
      </c>
      <c r="H1613" s="1087">
        <f t="shared" si="493"/>
        <v>10</v>
      </c>
      <c r="I1613" s="1087">
        <v>1</v>
      </c>
      <c r="J1613" s="1087" t="str">
        <f ca="1">+'Tabla IV.2.'!$C$8</f>
        <v>Tabla IV.2.</v>
      </c>
      <c r="K1613" s="1087" t="str">
        <f t="shared" si="494"/>
        <v>D</v>
      </c>
      <c r="L1613" s="1083"/>
    </row>
    <row r="1614" spans="1:12" s="1088" customFormat="1">
      <c r="A1614" s="1083" t="s">
        <v>2944</v>
      </c>
      <c r="B1614" s="1083" t="str">
        <f t="shared" si="490"/>
        <v>202503</v>
      </c>
      <c r="C1614" s="1083" t="s">
        <v>2945</v>
      </c>
      <c r="D1614" s="1084" t="str">
        <f ca="1">OFFSET('Tabla IV.2.'!$F$73,H1614-1,0)</f>
        <v>15.02.01.02.</v>
      </c>
      <c r="E1614" s="1083">
        <f t="shared" si="483"/>
        <v>0</v>
      </c>
      <c r="F1614" s="1085">
        <f ca="1">OFFSET('Tabla IV.2.'!$K$73,H1614-1,I1614-1)</f>
        <v>0</v>
      </c>
      <c r="G1614" s="1086" t="str">
        <f ca="1">OFFSET('Tabla IV.2.'!$H$1,0,I1614-1)</f>
        <v>01</v>
      </c>
      <c r="H1614" s="1087">
        <f t="shared" si="493"/>
        <v>11</v>
      </c>
      <c r="I1614" s="1087">
        <v>1</v>
      </c>
      <c r="J1614" s="1087" t="str">
        <f ca="1">+'Tabla IV.2.'!$C$8</f>
        <v>Tabla IV.2.</v>
      </c>
      <c r="K1614" s="1087" t="str">
        <f t="shared" si="494"/>
        <v>D</v>
      </c>
      <c r="L1614" s="1083"/>
    </row>
    <row r="1615" spans="1:12" s="1088" customFormat="1">
      <c r="A1615" s="1083" t="s">
        <v>2944</v>
      </c>
      <c r="B1615" s="1083" t="str">
        <f t="shared" si="490"/>
        <v>202503</v>
      </c>
      <c r="C1615" s="1083" t="s">
        <v>2945</v>
      </c>
      <c r="D1615" s="1084" t="str">
        <f ca="1">OFFSET('Tabla IV.2.'!$F$73,H1615-1,0)</f>
        <v>15.02.02.</v>
      </c>
      <c r="E1615" s="1083">
        <f t="shared" si="483"/>
        <v>0</v>
      </c>
      <c r="F1615" s="1085">
        <f ca="1">OFFSET('Tabla IV.2.'!$K$73,H1615-1,I1615-1)</f>
        <v>0</v>
      </c>
      <c r="G1615" s="1086" t="str">
        <f ca="1">OFFSET('Tabla IV.2.'!$H$1,0,I1615-1)</f>
        <v>01</v>
      </c>
      <c r="H1615" s="1087">
        <f t="shared" si="493"/>
        <v>12</v>
      </c>
      <c r="I1615" s="1087">
        <v>1</v>
      </c>
      <c r="J1615" s="1087" t="str">
        <f ca="1">+'Tabla IV.2.'!$C$8</f>
        <v>Tabla IV.2.</v>
      </c>
      <c r="K1615" s="1087" t="str">
        <f t="shared" si="494"/>
        <v>D</v>
      </c>
      <c r="L1615" s="1083"/>
    </row>
    <row r="1616" spans="1:12" s="1088" customFormat="1">
      <c r="A1616" s="1083" t="s">
        <v>2944</v>
      </c>
      <c r="B1616" s="1083" t="str">
        <f t="shared" si="490"/>
        <v>202503</v>
      </c>
      <c r="C1616" s="1083" t="s">
        <v>2945</v>
      </c>
      <c r="D1616" s="1084" t="str">
        <f ca="1">OFFSET('Tabla IV.2.'!$F$73,H1616-1,0)</f>
        <v>15.02.02.01</v>
      </c>
      <c r="E1616" s="1083">
        <f t="shared" si="483"/>
        <v>0</v>
      </c>
      <c r="F1616" s="1085">
        <f ca="1">OFFSET('Tabla IV.2.'!$K$73,H1616-1,I1616-1)</f>
        <v>0</v>
      </c>
      <c r="G1616" s="1086" t="str">
        <f ca="1">OFFSET('Tabla IV.2.'!$H$1,0,I1616-1)</f>
        <v>01</v>
      </c>
      <c r="H1616" s="1087">
        <f t="shared" si="493"/>
        <v>13</v>
      </c>
      <c r="I1616" s="1087">
        <v>1</v>
      </c>
      <c r="J1616" s="1087" t="str">
        <f ca="1">+'Tabla IV.2.'!$C$8</f>
        <v>Tabla IV.2.</v>
      </c>
      <c r="K1616" s="1087" t="str">
        <f t="shared" si="494"/>
        <v>D</v>
      </c>
      <c r="L1616" s="1083"/>
    </row>
    <row r="1617" spans="1:13" s="1088" customFormat="1">
      <c r="A1617" s="1083" t="s">
        <v>2944</v>
      </c>
      <c r="B1617" s="1083" t="str">
        <f t="shared" si="490"/>
        <v>202503</v>
      </c>
      <c r="C1617" s="1083" t="s">
        <v>2945</v>
      </c>
      <c r="D1617" s="1084" t="str">
        <f ca="1">OFFSET('Tabla IV.2.'!$F$73,H1617-1,0)</f>
        <v>15.02.02.02</v>
      </c>
      <c r="E1617" s="1083">
        <f t="shared" si="483"/>
        <v>0</v>
      </c>
      <c r="F1617" s="1085">
        <f ca="1">OFFSET('Tabla IV.2.'!$K$73,H1617-1,I1617-1)</f>
        <v>0</v>
      </c>
      <c r="G1617" s="1086" t="str">
        <f ca="1">OFFSET('Tabla IV.2.'!$H$1,0,I1617-1)</f>
        <v>01</v>
      </c>
      <c r="H1617" s="1087">
        <f t="shared" si="493"/>
        <v>14</v>
      </c>
      <c r="I1617" s="1087">
        <v>1</v>
      </c>
      <c r="J1617" s="1087" t="str">
        <f ca="1">+'Tabla IV.2.'!$C$8</f>
        <v>Tabla IV.2.</v>
      </c>
      <c r="K1617" s="1087" t="str">
        <f t="shared" si="494"/>
        <v>D</v>
      </c>
      <c r="L1617" s="1083"/>
    </row>
    <row r="1618" spans="1:13">
      <c r="A1618" s="107" t="s">
        <v>2944</v>
      </c>
      <c r="B1618" s="107" t="str">
        <f t="shared" si="490"/>
        <v>202503</v>
      </c>
      <c r="C1618" s="107" t="s">
        <v>2945</v>
      </c>
      <c r="D1618" s="399" t="str">
        <f ca="1">OFFSET('Tabla V.'!$F$10,H1618-1,0)</f>
        <v>16.01.</v>
      </c>
      <c r="E1618" s="107">
        <f t="shared" si="483"/>
        <v>0</v>
      </c>
      <c r="F1618" s="108">
        <f ca="1">OFFSET('Tabla V.'!$H$10,H1618-1,I1618-1)</f>
        <v>0</v>
      </c>
      <c r="G1618" s="107" t="str">
        <f ca="1">OFFSET('Tabla V.'!$H$1,0,I1618-1)</f>
        <v>01</v>
      </c>
      <c r="H1618" s="110">
        <v>1</v>
      </c>
      <c r="I1618" s="110">
        <v>1</v>
      </c>
      <c r="J1618" s="110" t="str">
        <f ca="1">+'Tabla V.'!$C$6</f>
        <v>Tabla V.</v>
      </c>
      <c r="K1618" s="110" t="s">
        <v>2266</v>
      </c>
      <c r="L1618" s="107">
        <v>1</v>
      </c>
      <c r="M1618" s="3"/>
    </row>
    <row r="1619" spans="1:13">
      <c r="A1619" s="107" t="s">
        <v>2944</v>
      </c>
      <c r="B1619" s="107" t="str">
        <f t="shared" ref="B1619:B1633" si="495">PERIODO</f>
        <v>202503</v>
      </c>
      <c r="C1619" s="107" t="s">
        <v>2945</v>
      </c>
      <c r="D1619" s="399" t="str">
        <f ca="1">+D1618</f>
        <v>16.01.</v>
      </c>
      <c r="E1619" s="107">
        <f t="shared" si="483"/>
        <v>0</v>
      </c>
      <c r="F1619" s="108">
        <f ca="1">OFFSET('Tabla V.'!$H$10,H1619-1,I1619-1)</f>
        <v>0</v>
      </c>
      <c r="G1619" s="107" t="str">
        <f ca="1">OFFSET('Tabla V.'!$H$1,0,I1619-1)</f>
        <v>02</v>
      </c>
      <c r="H1619" s="110">
        <f>+H1618</f>
        <v>1</v>
      </c>
      <c r="I1619" s="110">
        <f>+I1618+1</f>
        <v>2</v>
      </c>
      <c r="J1619" s="110" t="str">
        <f ca="1">+'Tabla V.'!$C$6</f>
        <v>Tabla V.</v>
      </c>
      <c r="K1619" s="110" t="str">
        <f t="shared" ref="K1619:K1682" si="496">+K1618</f>
        <v>A</v>
      </c>
      <c r="L1619" s="107"/>
      <c r="M1619" s="3"/>
    </row>
    <row r="1620" spans="1:13">
      <c r="A1620" s="107" t="s">
        <v>2944</v>
      </c>
      <c r="B1620" s="107" t="str">
        <f t="shared" si="495"/>
        <v>202503</v>
      </c>
      <c r="C1620" s="107" t="s">
        <v>2945</v>
      </c>
      <c r="D1620" s="399" t="str">
        <f t="shared" ref="D1620:D1683" ca="1" si="497">+D1619</f>
        <v>16.01.</v>
      </c>
      <c r="E1620" s="107">
        <f t="shared" si="483"/>
        <v>0</v>
      </c>
      <c r="F1620" s="108">
        <f ca="1">OFFSET('Tabla V.'!$H$10,H1620-1,I1620-1)</f>
        <v>0</v>
      </c>
      <c r="G1620" s="107" t="str">
        <f ca="1">OFFSET('Tabla V.'!$H$1,0,I1620-1)</f>
        <v>03</v>
      </c>
      <c r="H1620" s="110">
        <f t="shared" ref="H1620:H1683" si="498">+H1619</f>
        <v>1</v>
      </c>
      <c r="I1620" s="110">
        <f t="shared" ref="I1620:I1683" si="499">+I1619+1</f>
        <v>3</v>
      </c>
      <c r="J1620" s="110" t="str">
        <f ca="1">+'Tabla V.'!$C$6</f>
        <v>Tabla V.</v>
      </c>
      <c r="K1620" s="110" t="str">
        <f t="shared" si="496"/>
        <v>A</v>
      </c>
      <c r="L1620" s="107"/>
      <c r="M1620" s="3"/>
    </row>
    <row r="1621" spans="1:13">
      <c r="A1621" s="107" t="s">
        <v>2944</v>
      </c>
      <c r="B1621" s="107" t="str">
        <f t="shared" si="495"/>
        <v>202503</v>
      </c>
      <c r="C1621" s="107" t="s">
        <v>2945</v>
      </c>
      <c r="D1621" s="399" t="str">
        <f t="shared" ca="1" si="497"/>
        <v>16.01.</v>
      </c>
      <c r="E1621" s="107">
        <f t="shared" si="483"/>
        <v>0</v>
      </c>
      <c r="F1621" s="108">
        <f ca="1">OFFSET('Tabla V.'!$H$10,H1621-1,I1621-1)</f>
        <v>0</v>
      </c>
      <c r="G1621" s="107" t="str">
        <f ca="1">OFFSET('Tabla V.'!$H$1,0,I1621-1)</f>
        <v>04</v>
      </c>
      <c r="H1621" s="110">
        <f t="shared" si="498"/>
        <v>1</v>
      </c>
      <c r="I1621" s="110">
        <f t="shared" si="499"/>
        <v>4</v>
      </c>
      <c r="J1621" s="110" t="str">
        <f ca="1">+'Tabla V.'!$C$6</f>
        <v>Tabla V.</v>
      </c>
      <c r="K1621" s="110" t="str">
        <f t="shared" si="496"/>
        <v>A</v>
      </c>
      <c r="L1621" s="107"/>
      <c r="M1621" s="3"/>
    </row>
    <row r="1622" spans="1:13">
      <c r="A1622" s="412" t="s">
        <v>2944</v>
      </c>
      <c r="B1622" s="412" t="str">
        <f t="shared" si="495"/>
        <v>202503</v>
      </c>
      <c r="C1622" s="412" t="s">
        <v>2945</v>
      </c>
      <c r="D1622" s="413" t="str">
        <f ca="1">OFFSET('Tabla V.'!$F$10,H1622-1,0)</f>
        <v>16.02.</v>
      </c>
      <c r="E1622" s="412">
        <f t="shared" si="483"/>
        <v>0</v>
      </c>
      <c r="F1622" s="414">
        <f ca="1">OFFSET('Tabla V.'!$H$10,H1622-1,I1622-1)</f>
        <v>0</v>
      </c>
      <c r="G1622" s="412" t="str">
        <f ca="1">OFFSET('Tabla V.'!$H$1,0,I1622-1)</f>
        <v>01</v>
      </c>
      <c r="H1622" s="111">
        <f>+H1618+1</f>
        <v>2</v>
      </c>
      <c r="I1622" s="111">
        <v>1</v>
      </c>
      <c r="J1622" s="111" t="str">
        <f ca="1">+'Tabla V.'!$C$6</f>
        <v>Tabla V.</v>
      </c>
      <c r="K1622" s="111" t="str">
        <f t="shared" si="496"/>
        <v>A</v>
      </c>
      <c r="L1622" s="412">
        <f>+L1618+1</f>
        <v>2</v>
      </c>
      <c r="M1622" s="3"/>
    </row>
    <row r="1623" spans="1:13">
      <c r="A1623" s="412" t="s">
        <v>2944</v>
      </c>
      <c r="B1623" s="412" t="str">
        <f t="shared" si="495"/>
        <v>202503</v>
      </c>
      <c r="C1623" s="412" t="s">
        <v>2945</v>
      </c>
      <c r="D1623" s="413" t="str">
        <f t="shared" ca="1" si="497"/>
        <v>16.02.</v>
      </c>
      <c r="E1623" s="412">
        <f t="shared" si="483"/>
        <v>0</v>
      </c>
      <c r="F1623" s="414">
        <f ca="1">OFFSET('Tabla V.'!$H$10,H1623-1,I1623-1)</f>
        <v>0</v>
      </c>
      <c r="G1623" s="412" t="str">
        <f ca="1">OFFSET('Tabla V.'!$H$1,0,I1623-1)</f>
        <v>02</v>
      </c>
      <c r="H1623" s="111">
        <f t="shared" si="498"/>
        <v>2</v>
      </c>
      <c r="I1623" s="111">
        <f t="shared" si="499"/>
        <v>2</v>
      </c>
      <c r="J1623" s="111" t="str">
        <f ca="1">+'Tabla V.'!$C$6</f>
        <v>Tabla V.</v>
      </c>
      <c r="K1623" s="111" t="str">
        <f t="shared" si="496"/>
        <v>A</v>
      </c>
      <c r="L1623" s="412"/>
      <c r="M1623" s="3"/>
    </row>
    <row r="1624" spans="1:13">
      <c r="A1624" s="412" t="s">
        <v>2944</v>
      </c>
      <c r="B1624" s="412" t="str">
        <f t="shared" si="495"/>
        <v>202503</v>
      </c>
      <c r="C1624" s="412" t="s">
        <v>2945</v>
      </c>
      <c r="D1624" s="413" t="str">
        <f t="shared" ca="1" si="497"/>
        <v>16.02.</v>
      </c>
      <c r="E1624" s="412">
        <f t="shared" si="483"/>
        <v>0</v>
      </c>
      <c r="F1624" s="414">
        <f ca="1">OFFSET('Tabla V.'!$H$10,H1624-1,I1624-1)</f>
        <v>0</v>
      </c>
      <c r="G1624" s="412" t="str">
        <f ca="1">OFFSET('Tabla V.'!$H$1,0,I1624-1)</f>
        <v>03</v>
      </c>
      <c r="H1624" s="111">
        <f t="shared" si="498"/>
        <v>2</v>
      </c>
      <c r="I1624" s="111">
        <f t="shared" si="499"/>
        <v>3</v>
      </c>
      <c r="J1624" s="111" t="str">
        <f ca="1">+'Tabla V.'!$C$6</f>
        <v>Tabla V.</v>
      </c>
      <c r="K1624" s="111" t="str">
        <f t="shared" si="496"/>
        <v>A</v>
      </c>
      <c r="L1624" s="412"/>
      <c r="M1624" s="3"/>
    </row>
    <row r="1625" spans="1:13">
      <c r="A1625" s="412" t="s">
        <v>2944</v>
      </c>
      <c r="B1625" s="412" t="str">
        <f t="shared" si="495"/>
        <v>202503</v>
      </c>
      <c r="C1625" s="412" t="s">
        <v>2945</v>
      </c>
      <c r="D1625" s="413" t="str">
        <f t="shared" ca="1" si="497"/>
        <v>16.02.</v>
      </c>
      <c r="E1625" s="412">
        <f t="shared" si="483"/>
        <v>0</v>
      </c>
      <c r="F1625" s="414">
        <f ca="1">OFFSET('Tabla V.'!$H$10,H1625-1,I1625-1)</f>
        <v>0</v>
      </c>
      <c r="G1625" s="412" t="str">
        <f ca="1">OFFSET('Tabla V.'!$H$1,0,I1625-1)</f>
        <v>04</v>
      </c>
      <c r="H1625" s="111">
        <f t="shared" si="498"/>
        <v>2</v>
      </c>
      <c r="I1625" s="111">
        <f t="shared" si="499"/>
        <v>4</v>
      </c>
      <c r="J1625" s="111" t="str">
        <f ca="1">+'Tabla V.'!$C$6</f>
        <v>Tabla V.</v>
      </c>
      <c r="K1625" s="111" t="str">
        <f t="shared" si="496"/>
        <v>A</v>
      </c>
      <c r="L1625" s="412"/>
      <c r="M1625" s="3"/>
    </row>
    <row r="1626" spans="1:13">
      <c r="A1626" s="107" t="s">
        <v>2944</v>
      </c>
      <c r="B1626" s="107" t="str">
        <f t="shared" si="495"/>
        <v>202503</v>
      </c>
      <c r="C1626" s="107" t="s">
        <v>2945</v>
      </c>
      <c r="D1626" s="399" t="str">
        <f ca="1">OFFSET('Tabla V.'!$F$10,H1626-1,0)</f>
        <v>16.02.01</v>
      </c>
      <c r="E1626" s="107">
        <f t="shared" si="483"/>
        <v>0</v>
      </c>
      <c r="F1626" s="108">
        <f ca="1">OFFSET('Tabla V.'!$H$10,H1626-1,I1626-1)</f>
        <v>0</v>
      </c>
      <c r="G1626" s="107" t="str">
        <f ca="1">OFFSET('Tabla V.'!$H$1,0,I1626-1)</f>
        <v>01</v>
      </c>
      <c r="H1626" s="110">
        <f>+H1622+1</f>
        <v>3</v>
      </c>
      <c r="I1626" s="110">
        <v>1</v>
      </c>
      <c r="J1626" s="110" t="str">
        <f ca="1">+'Tabla V.'!$C$6</f>
        <v>Tabla V.</v>
      </c>
      <c r="K1626" s="110" t="str">
        <f t="shared" si="496"/>
        <v>A</v>
      </c>
      <c r="L1626" s="107">
        <f>+L1622+1</f>
        <v>3</v>
      </c>
      <c r="M1626" s="3"/>
    </row>
    <row r="1627" spans="1:13">
      <c r="A1627" s="107" t="s">
        <v>2944</v>
      </c>
      <c r="B1627" s="107" t="str">
        <f t="shared" si="495"/>
        <v>202503</v>
      </c>
      <c r="C1627" s="107" t="s">
        <v>2945</v>
      </c>
      <c r="D1627" s="399" t="str">
        <f t="shared" ca="1" si="497"/>
        <v>16.02.01</v>
      </c>
      <c r="E1627" s="107">
        <f t="shared" si="483"/>
        <v>0</v>
      </c>
      <c r="F1627" s="108">
        <f ca="1">OFFSET('Tabla V.'!$H$10,H1627-1,I1627-1)</f>
        <v>0</v>
      </c>
      <c r="G1627" s="107" t="str">
        <f ca="1">OFFSET('Tabla V.'!$H$1,0,I1627-1)</f>
        <v>02</v>
      </c>
      <c r="H1627" s="110">
        <f t="shared" si="498"/>
        <v>3</v>
      </c>
      <c r="I1627" s="110">
        <f t="shared" si="499"/>
        <v>2</v>
      </c>
      <c r="J1627" s="110" t="str">
        <f ca="1">+'Tabla V.'!$C$6</f>
        <v>Tabla V.</v>
      </c>
      <c r="K1627" s="110" t="str">
        <f t="shared" si="496"/>
        <v>A</v>
      </c>
      <c r="L1627" s="107"/>
      <c r="M1627" s="3"/>
    </row>
    <row r="1628" spans="1:13">
      <c r="A1628" s="107" t="s">
        <v>2944</v>
      </c>
      <c r="B1628" s="107" t="str">
        <f t="shared" si="495"/>
        <v>202503</v>
      </c>
      <c r="C1628" s="107" t="s">
        <v>2945</v>
      </c>
      <c r="D1628" s="399" t="str">
        <f t="shared" ca="1" si="497"/>
        <v>16.02.01</v>
      </c>
      <c r="E1628" s="107">
        <f t="shared" si="483"/>
        <v>0</v>
      </c>
      <c r="F1628" s="108">
        <f ca="1">OFFSET('Tabla V.'!$H$10,H1628-1,I1628-1)</f>
        <v>0</v>
      </c>
      <c r="G1628" s="107" t="str">
        <f ca="1">OFFSET('Tabla V.'!$H$1,0,I1628-1)</f>
        <v>03</v>
      </c>
      <c r="H1628" s="110">
        <f t="shared" si="498"/>
        <v>3</v>
      </c>
      <c r="I1628" s="110">
        <f t="shared" si="499"/>
        <v>3</v>
      </c>
      <c r="J1628" s="110" t="str">
        <f ca="1">+'Tabla V.'!$C$6</f>
        <v>Tabla V.</v>
      </c>
      <c r="K1628" s="110" t="str">
        <f t="shared" si="496"/>
        <v>A</v>
      </c>
      <c r="L1628" s="107"/>
      <c r="M1628" s="3"/>
    </row>
    <row r="1629" spans="1:13">
      <c r="A1629" s="107" t="s">
        <v>2944</v>
      </c>
      <c r="B1629" s="107" t="str">
        <f t="shared" si="495"/>
        <v>202503</v>
      </c>
      <c r="C1629" s="107" t="s">
        <v>2945</v>
      </c>
      <c r="D1629" s="399" t="str">
        <f t="shared" ca="1" si="497"/>
        <v>16.02.01</v>
      </c>
      <c r="E1629" s="107">
        <f t="shared" si="483"/>
        <v>0</v>
      </c>
      <c r="F1629" s="108">
        <f ca="1">OFFSET('Tabla V.'!$H$10,H1629-1,I1629-1)</f>
        <v>0</v>
      </c>
      <c r="G1629" s="107" t="str">
        <f ca="1">OFFSET('Tabla V.'!$H$1,0,I1629-1)</f>
        <v>04</v>
      </c>
      <c r="H1629" s="110">
        <f t="shared" si="498"/>
        <v>3</v>
      </c>
      <c r="I1629" s="110">
        <f t="shared" si="499"/>
        <v>4</v>
      </c>
      <c r="J1629" s="110" t="str">
        <f ca="1">+'Tabla V.'!$C$6</f>
        <v>Tabla V.</v>
      </c>
      <c r="K1629" s="110" t="str">
        <f t="shared" si="496"/>
        <v>A</v>
      </c>
      <c r="L1629" s="107"/>
      <c r="M1629" s="3"/>
    </row>
    <row r="1630" spans="1:13">
      <c r="A1630" s="412" t="s">
        <v>2944</v>
      </c>
      <c r="B1630" s="412" t="str">
        <f t="shared" si="495"/>
        <v>202503</v>
      </c>
      <c r="C1630" s="412" t="s">
        <v>2945</v>
      </c>
      <c r="D1630" s="413" t="str">
        <f ca="1">OFFSET('Tabla V.'!$F$10,H1630-1,0)</f>
        <v>16.02.02</v>
      </c>
      <c r="E1630" s="412">
        <f t="shared" si="483"/>
        <v>0</v>
      </c>
      <c r="F1630" s="414">
        <f ca="1">OFFSET('Tabla V.'!$H$10,H1630-1,I1630-1)</f>
        <v>0</v>
      </c>
      <c r="G1630" s="412" t="str">
        <f ca="1">OFFSET('Tabla V.'!$H$1,0,I1630-1)</f>
        <v>01</v>
      </c>
      <c r="H1630" s="111">
        <f>+H1626+1</f>
        <v>4</v>
      </c>
      <c r="I1630" s="111">
        <v>1</v>
      </c>
      <c r="J1630" s="111" t="str">
        <f ca="1">+'Tabla V.'!$C$6</f>
        <v>Tabla V.</v>
      </c>
      <c r="K1630" s="111" t="str">
        <f t="shared" si="496"/>
        <v>A</v>
      </c>
      <c r="L1630" s="412">
        <f>+L1626+1</f>
        <v>4</v>
      </c>
      <c r="M1630" s="3"/>
    </row>
    <row r="1631" spans="1:13">
      <c r="A1631" s="412" t="s">
        <v>2944</v>
      </c>
      <c r="B1631" s="412" t="str">
        <f t="shared" si="495"/>
        <v>202503</v>
      </c>
      <c r="C1631" s="412" t="s">
        <v>2945</v>
      </c>
      <c r="D1631" s="413" t="str">
        <f t="shared" ca="1" si="497"/>
        <v>16.02.02</v>
      </c>
      <c r="E1631" s="412">
        <f t="shared" si="483"/>
        <v>0</v>
      </c>
      <c r="F1631" s="414">
        <f ca="1">OFFSET('Tabla V.'!$H$10,H1631-1,I1631-1)</f>
        <v>0</v>
      </c>
      <c r="G1631" s="412" t="str">
        <f ca="1">OFFSET('Tabla V.'!$H$1,0,I1631-1)</f>
        <v>02</v>
      </c>
      <c r="H1631" s="111">
        <f t="shared" si="498"/>
        <v>4</v>
      </c>
      <c r="I1631" s="111">
        <f t="shared" si="499"/>
        <v>2</v>
      </c>
      <c r="J1631" s="111" t="str">
        <f ca="1">+'Tabla V.'!$C$6</f>
        <v>Tabla V.</v>
      </c>
      <c r="K1631" s="111" t="str">
        <f t="shared" si="496"/>
        <v>A</v>
      </c>
      <c r="L1631" s="412"/>
      <c r="M1631" s="3"/>
    </row>
    <row r="1632" spans="1:13">
      <c r="A1632" s="412" t="s">
        <v>2944</v>
      </c>
      <c r="B1632" s="412" t="str">
        <f t="shared" si="495"/>
        <v>202503</v>
      </c>
      <c r="C1632" s="412" t="s">
        <v>2945</v>
      </c>
      <c r="D1632" s="413" t="str">
        <f t="shared" ca="1" si="497"/>
        <v>16.02.02</v>
      </c>
      <c r="E1632" s="412">
        <f t="shared" si="483"/>
        <v>0</v>
      </c>
      <c r="F1632" s="414">
        <f ca="1">OFFSET('Tabla V.'!$H$10,H1632-1,I1632-1)</f>
        <v>0</v>
      </c>
      <c r="G1632" s="412" t="str">
        <f ca="1">OFFSET('Tabla V.'!$H$1,0,I1632-1)</f>
        <v>03</v>
      </c>
      <c r="H1632" s="111">
        <f t="shared" si="498"/>
        <v>4</v>
      </c>
      <c r="I1632" s="111">
        <f t="shared" si="499"/>
        <v>3</v>
      </c>
      <c r="J1632" s="111" t="str">
        <f ca="1">+'Tabla V.'!$C$6</f>
        <v>Tabla V.</v>
      </c>
      <c r="K1632" s="111" t="str">
        <f t="shared" si="496"/>
        <v>A</v>
      </c>
      <c r="L1632" s="412"/>
      <c r="M1632" s="3"/>
    </row>
    <row r="1633" spans="1:13">
      <c r="A1633" s="412" t="s">
        <v>2944</v>
      </c>
      <c r="B1633" s="412" t="str">
        <f t="shared" si="495"/>
        <v>202503</v>
      </c>
      <c r="C1633" s="412" t="s">
        <v>2945</v>
      </c>
      <c r="D1633" s="413" t="str">
        <f t="shared" ca="1" si="497"/>
        <v>16.02.02</v>
      </c>
      <c r="E1633" s="412">
        <f t="shared" si="483"/>
        <v>0</v>
      </c>
      <c r="F1633" s="414">
        <f ca="1">OFFSET('Tabla V.'!$H$10,H1633-1,I1633-1)</f>
        <v>0</v>
      </c>
      <c r="G1633" s="412" t="str">
        <f ca="1">OFFSET('Tabla V.'!$H$1,0,I1633-1)</f>
        <v>04</v>
      </c>
      <c r="H1633" s="111">
        <f t="shared" si="498"/>
        <v>4</v>
      </c>
      <c r="I1633" s="111">
        <f t="shared" si="499"/>
        <v>4</v>
      </c>
      <c r="J1633" s="111" t="str">
        <f ca="1">+'Tabla V.'!$C$6</f>
        <v>Tabla V.</v>
      </c>
      <c r="K1633" s="111" t="str">
        <f t="shared" si="496"/>
        <v>A</v>
      </c>
      <c r="L1633" s="412"/>
      <c r="M1633" s="3"/>
    </row>
    <row r="1634" spans="1:13">
      <c r="A1634" s="107" t="s">
        <v>2944</v>
      </c>
      <c r="B1634" s="107" t="str">
        <f t="shared" ref="B1634:B1665" ca="1" si="500">IF(G1634="01",(IF(TRIM&gt;1,CONCATENATE(ANUAL,"0",TRIM-1),CONCATENATE(ANUAL-1,"04"))),PERIODO)</f>
        <v>202502</v>
      </c>
      <c r="C1634" s="107" t="str">
        <f ca="1">IF(G1634="01","v2","v1")</f>
        <v>v2</v>
      </c>
      <c r="D1634" s="399" t="str">
        <f ca="1">OFFSET('Tabla VI.'!$F$15,H1634-1,0)</f>
        <v>17.01.</v>
      </c>
      <c r="E1634" s="107">
        <f t="shared" si="483"/>
        <v>0</v>
      </c>
      <c r="F1634" s="108">
        <f ca="1">OFFSET('Tabla VI.'!$H$15,H1634-1,I1634-1)</f>
        <v>0</v>
      </c>
      <c r="G1634" s="107" t="str">
        <f ca="1">OFFSET('Tabla VI.'!$H$1,0,I1634-1)</f>
        <v>01</v>
      </c>
      <c r="H1634" s="110">
        <v>1</v>
      </c>
      <c r="I1634" s="110">
        <v>1</v>
      </c>
      <c r="J1634" s="110" t="str">
        <f ca="1">+'Tabla VI.'!$C$10</f>
        <v>Tabla VI.</v>
      </c>
      <c r="K1634" s="110" t="str">
        <f t="shared" si="496"/>
        <v>A</v>
      </c>
      <c r="L1634" s="107">
        <v>1</v>
      </c>
      <c r="M1634" s="3"/>
    </row>
    <row r="1635" spans="1:13">
      <c r="A1635" s="107" t="s">
        <v>2944</v>
      </c>
      <c r="B1635" s="107" t="str">
        <f t="shared" ca="1" si="500"/>
        <v>202503</v>
      </c>
      <c r="C1635" s="107" t="str">
        <f ca="1">IF(G1635="01","v2","v1")</f>
        <v>v1</v>
      </c>
      <c r="D1635" s="399" t="str">
        <f t="shared" ca="1" si="497"/>
        <v>17.01.</v>
      </c>
      <c r="E1635" s="107">
        <f t="shared" si="483"/>
        <v>0</v>
      </c>
      <c r="F1635" s="108">
        <f ca="1">OFFSET('Tabla VI.'!$H$15,H1635-1,I1635-1)</f>
        <v>0</v>
      </c>
      <c r="G1635" s="107" t="str">
        <f ca="1">OFFSET('Tabla VI.'!$H$1,0,I1635-1)</f>
        <v>02</v>
      </c>
      <c r="H1635" s="110">
        <f t="shared" si="498"/>
        <v>1</v>
      </c>
      <c r="I1635" s="110">
        <f t="shared" si="499"/>
        <v>2</v>
      </c>
      <c r="J1635" s="110" t="str">
        <f ca="1">+'Tabla VI.'!$C$10</f>
        <v>Tabla VI.</v>
      </c>
      <c r="K1635" s="110" t="str">
        <f t="shared" si="496"/>
        <v>A</v>
      </c>
      <c r="L1635" s="107"/>
      <c r="M1635" s="3"/>
    </row>
    <row r="1636" spans="1:13">
      <c r="A1636" s="107" t="s">
        <v>2944</v>
      </c>
      <c r="B1636" s="107" t="str">
        <f t="shared" ca="1" si="500"/>
        <v>202503</v>
      </c>
      <c r="C1636" s="107" t="str">
        <f ca="1">IF(G1636="01","v2","v1")</f>
        <v>v1</v>
      </c>
      <c r="D1636" s="399" t="str">
        <f t="shared" ca="1" si="497"/>
        <v>17.01.</v>
      </c>
      <c r="E1636" s="107">
        <f t="shared" si="483"/>
        <v>0</v>
      </c>
      <c r="F1636" s="108">
        <f ca="1">OFFSET('Tabla VI.'!$H$15,H1636-1,I1636-1)</f>
        <v>0</v>
      </c>
      <c r="G1636" s="107" t="str">
        <f ca="1">OFFSET('Tabla VI.'!$H$1,0,I1636-1)</f>
        <v>03</v>
      </c>
      <c r="H1636" s="110">
        <f t="shared" si="498"/>
        <v>1</v>
      </c>
      <c r="I1636" s="110">
        <f t="shared" si="499"/>
        <v>3</v>
      </c>
      <c r="J1636" s="110" t="str">
        <f ca="1">+'Tabla VI.'!$C$10</f>
        <v>Tabla VI.</v>
      </c>
      <c r="K1636" s="110" t="str">
        <f t="shared" si="496"/>
        <v>A</v>
      </c>
      <c r="L1636" s="107"/>
      <c r="M1636" s="3"/>
    </row>
    <row r="1637" spans="1:13">
      <c r="A1637" s="107" t="s">
        <v>2944</v>
      </c>
      <c r="B1637" s="107" t="str">
        <f t="shared" ca="1" si="500"/>
        <v>202503</v>
      </c>
      <c r="C1637" s="107" t="str">
        <f ca="1">IF(G1637="01","v2","v1")</f>
        <v>v1</v>
      </c>
      <c r="D1637" s="399" t="str">
        <f t="shared" ca="1" si="497"/>
        <v>17.01.</v>
      </c>
      <c r="E1637" s="107">
        <f t="shared" si="483"/>
        <v>0</v>
      </c>
      <c r="F1637" s="108">
        <f ca="1">OFFSET('Tabla VI.'!$H$15,H1637-1,I1637-1)</f>
        <v>0</v>
      </c>
      <c r="G1637" s="107" t="str">
        <f ca="1">OFFSET('Tabla VI.'!$H$1,0,I1637-1)</f>
        <v>04</v>
      </c>
      <c r="H1637" s="110">
        <f t="shared" si="498"/>
        <v>1</v>
      </c>
      <c r="I1637" s="110">
        <f t="shared" si="499"/>
        <v>4</v>
      </c>
      <c r="J1637" s="110" t="str">
        <f ca="1">+'Tabla VI.'!$C$10</f>
        <v>Tabla VI.</v>
      </c>
      <c r="K1637" s="110" t="str">
        <f t="shared" si="496"/>
        <v>A</v>
      </c>
      <c r="L1637" s="107"/>
      <c r="M1637" s="3"/>
    </row>
    <row r="1638" spans="1:13">
      <c r="A1638" s="107" t="s">
        <v>2944</v>
      </c>
      <c r="B1638" s="107" t="str">
        <f t="shared" ca="1" si="500"/>
        <v>202503</v>
      </c>
      <c r="C1638" s="107" t="str">
        <f t="shared" ref="C1638:C1645" ca="1" si="501">IF(G1638="01","v2","v1")</f>
        <v>v1</v>
      </c>
      <c r="D1638" s="399" t="str">
        <f t="shared" ca="1" si="497"/>
        <v>17.01.</v>
      </c>
      <c r="E1638" s="107">
        <f t="shared" si="483"/>
        <v>0</v>
      </c>
      <c r="F1638" s="108">
        <f ca="1">OFFSET('Tabla VI.'!$H$15,H1638-1,I1638-1)</f>
        <v>0</v>
      </c>
      <c r="G1638" s="107" t="str">
        <f ca="1">OFFSET('Tabla VI.'!$H$1,0,I1638-1)</f>
        <v>05</v>
      </c>
      <c r="H1638" s="110">
        <f t="shared" si="498"/>
        <v>1</v>
      </c>
      <c r="I1638" s="110">
        <f t="shared" si="499"/>
        <v>5</v>
      </c>
      <c r="J1638" s="110" t="str">
        <f ca="1">+'Tabla VI.'!$C$10</f>
        <v>Tabla VI.</v>
      </c>
      <c r="K1638" s="110" t="str">
        <f t="shared" si="496"/>
        <v>A</v>
      </c>
    </row>
    <row r="1639" spans="1:13">
      <c r="A1639" s="107" t="s">
        <v>2944</v>
      </c>
      <c r="B1639" s="107" t="str">
        <f t="shared" ca="1" si="500"/>
        <v>202503</v>
      </c>
      <c r="C1639" s="107" t="str">
        <f t="shared" ca="1" si="501"/>
        <v>v1</v>
      </c>
      <c r="D1639" s="399" t="str">
        <f t="shared" ca="1" si="497"/>
        <v>17.01.</v>
      </c>
      <c r="E1639" s="107">
        <f t="shared" si="483"/>
        <v>0</v>
      </c>
      <c r="F1639" s="108">
        <f ca="1">OFFSET('Tabla VI.'!$H$15,H1639-1,I1639-1)</f>
        <v>0</v>
      </c>
      <c r="G1639" s="107" t="str">
        <f ca="1">OFFSET('Tabla VI.'!$H$1,0,I1639-1)</f>
        <v>06</v>
      </c>
      <c r="H1639" s="110">
        <f t="shared" si="498"/>
        <v>1</v>
      </c>
      <c r="I1639" s="110">
        <f t="shared" si="499"/>
        <v>6</v>
      </c>
      <c r="J1639" s="110" t="str">
        <f ca="1">+'Tabla VI.'!$C$10</f>
        <v>Tabla VI.</v>
      </c>
      <c r="K1639" s="110" t="str">
        <f t="shared" si="496"/>
        <v>A</v>
      </c>
    </row>
    <row r="1640" spans="1:13">
      <c r="A1640" s="107" t="s">
        <v>2944</v>
      </c>
      <c r="B1640" s="107" t="str">
        <f t="shared" ca="1" si="500"/>
        <v>202503</v>
      </c>
      <c r="C1640" s="107" t="str">
        <f t="shared" ca="1" si="501"/>
        <v>v1</v>
      </c>
      <c r="D1640" s="399" t="str">
        <f t="shared" ca="1" si="497"/>
        <v>17.01.</v>
      </c>
      <c r="E1640" s="107">
        <f t="shared" si="483"/>
        <v>0</v>
      </c>
      <c r="F1640" s="108">
        <f ca="1">OFFSET('Tabla VI.'!$H$15,H1640-1,I1640-1)</f>
        <v>0</v>
      </c>
      <c r="G1640" s="107" t="str">
        <f ca="1">OFFSET('Tabla VI.'!$H$1,0,I1640-1)</f>
        <v>07</v>
      </c>
      <c r="H1640" s="110">
        <f t="shared" si="498"/>
        <v>1</v>
      </c>
      <c r="I1640" s="110">
        <f t="shared" si="499"/>
        <v>7</v>
      </c>
      <c r="J1640" s="110" t="str">
        <f ca="1">+'Tabla VI.'!$C$10</f>
        <v>Tabla VI.</v>
      </c>
      <c r="K1640" s="110" t="str">
        <f t="shared" si="496"/>
        <v>A</v>
      </c>
    </row>
    <row r="1641" spans="1:13">
      <c r="A1641" s="107" t="s">
        <v>2944</v>
      </c>
      <c r="B1641" s="107" t="str">
        <f t="shared" ca="1" si="500"/>
        <v>202503</v>
      </c>
      <c r="C1641" s="107" t="str">
        <f t="shared" ca="1" si="501"/>
        <v>v1</v>
      </c>
      <c r="D1641" s="399" t="str">
        <f t="shared" ca="1" si="497"/>
        <v>17.01.</v>
      </c>
      <c r="E1641" s="107">
        <f t="shared" si="483"/>
        <v>0</v>
      </c>
      <c r="F1641" s="108">
        <f ca="1">OFFSET('Tabla VI.'!$H$15,H1641-1,I1641-1)</f>
        <v>0</v>
      </c>
      <c r="G1641" s="107" t="str">
        <f ca="1">OFFSET('Tabla VI.'!$H$1,0,I1641-1)</f>
        <v>08</v>
      </c>
      <c r="H1641" s="110">
        <f t="shared" si="498"/>
        <v>1</v>
      </c>
      <c r="I1641" s="110">
        <f t="shared" si="499"/>
        <v>8</v>
      </c>
      <c r="J1641" s="110" t="str">
        <f ca="1">+'Tabla VI.'!$C$10</f>
        <v>Tabla VI.</v>
      </c>
      <c r="K1641" s="110" t="str">
        <f t="shared" si="496"/>
        <v>A</v>
      </c>
    </row>
    <row r="1642" spans="1:13" s="415" customFormat="1">
      <c r="A1642" s="412" t="s">
        <v>2944</v>
      </c>
      <c r="B1642" s="412" t="str">
        <f t="shared" ca="1" si="500"/>
        <v>202502</v>
      </c>
      <c r="C1642" s="412" t="str">
        <f t="shared" ca="1" si="501"/>
        <v>v2</v>
      </c>
      <c r="D1642" s="413" t="str">
        <f ca="1">OFFSET('Tabla VI.'!$F$15,H1642-1,0)</f>
        <v>17.01.01.</v>
      </c>
      <c r="E1642" s="412">
        <f t="shared" si="483"/>
        <v>0</v>
      </c>
      <c r="F1642" s="414">
        <f ca="1">OFFSET('Tabla VI.'!$H$15,H1642-1,I1642-1)</f>
        <v>0</v>
      </c>
      <c r="G1642" s="412" t="str">
        <f ca="1">OFFSET('Tabla VI.'!$H$1,0,I1642-1)</f>
        <v>01</v>
      </c>
      <c r="H1642" s="111">
        <f>+H1634+1</f>
        <v>2</v>
      </c>
      <c r="I1642" s="111">
        <v>1</v>
      </c>
      <c r="J1642" s="111" t="str">
        <f ca="1">+'Tabla VI.'!$C$10</f>
        <v>Tabla VI.</v>
      </c>
      <c r="K1642" s="111" t="str">
        <f t="shared" si="496"/>
        <v>A</v>
      </c>
      <c r="L1642" s="412">
        <f>+L1634+1</f>
        <v>2</v>
      </c>
      <c r="M1642" s="450"/>
    </row>
    <row r="1643" spans="1:13" s="415" customFormat="1">
      <c r="A1643" s="412" t="s">
        <v>2944</v>
      </c>
      <c r="B1643" s="412" t="str">
        <f t="shared" ca="1" si="500"/>
        <v>202503</v>
      </c>
      <c r="C1643" s="412" t="str">
        <f t="shared" ca="1" si="501"/>
        <v>v1</v>
      </c>
      <c r="D1643" s="413" t="str">
        <f t="shared" ca="1" si="497"/>
        <v>17.01.01.</v>
      </c>
      <c r="E1643" s="412">
        <f t="shared" si="483"/>
        <v>0</v>
      </c>
      <c r="F1643" s="414">
        <f ca="1">OFFSET('Tabla VI.'!$H$15,H1643-1,I1643-1)</f>
        <v>0</v>
      </c>
      <c r="G1643" s="412" t="str">
        <f ca="1">OFFSET('Tabla VI.'!$H$1,0,I1643-1)</f>
        <v>02</v>
      </c>
      <c r="H1643" s="111">
        <f t="shared" si="498"/>
        <v>2</v>
      </c>
      <c r="I1643" s="111">
        <f t="shared" si="499"/>
        <v>2</v>
      </c>
      <c r="J1643" s="111" t="str">
        <f ca="1">+'Tabla VI.'!$C$10</f>
        <v>Tabla VI.</v>
      </c>
      <c r="K1643" s="111" t="str">
        <f t="shared" si="496"/>
        <v>A</v>
      </c>
      <c r="L1643" s="412"/>
      <c r="M1643" s="450"/>
    </row>
    <row r="1644" spans="1:13" s="415" customFormat="1">
      <c r="A1644" s="412" t="s">
        <v>2944</v>
      </c>
      <c r="B1644" s="412" t="str">
        <f t="shared" ca="1" si="500"/>
        <v>202503</v>
      </c>
      <c r="C1644" s="412" t="str">
        <f t="shared" ca="1" si="501"/>
        <v>v1</v>
      </c>
      <c r="D1644" s="413" t="str">
        <f t="shared" ca="1" si="497"/>
        <v>17.01.01.</v>
      </c>
      <c r="E1644" s="412">
        <f t="shared" si="483"/>
        <v>0</v>
      </c>
      <c r="F1644" s="414">
        <f ca="1">OFFSET('Tabla VI.'!$H$15,H1644-1,I1644-1)</f>
        <v>0</v>
      </c>
      <c r="G1644" s="412" t="str">
        <f ca="1">OFFSET('Tabla VI.'!$H$1,0,I1644-1)</f>
        <v>03</v>
      </c>
      <c r="H1644" s="111">
        <f t="shared" si="498"/>
        <v>2</v>
      </c>
      <c r="I1644" s="111">
        <f t="shared" si="499"/>
        <v>3</v>
      </c>
      <c r="J1644" s="111" t="str">
        <f ca="1">+'Tabla VI.'!$C$10</f>
        <v>Tabla VI.</v>
      </c>
      <c r="K1644" s="111" t="str">
        <f t="shared" si="496"/>
        <v>A</v>
      </c>
      <c r="L1644" s="412"/>
      <c r="M1644" s="450"/>
    </row>
    <row r="1645" spans="1:13" s="415" customFormat="1">
      <c r="A1645" s="412" t="s">
        <v>2944</v>
      </c>
      <c r="B1645" s="412" t="str">
        <f t="shared" ca="1" si="500"/>
        <v>202503</v>
      </c>
      <c r="C1645" s="412" t="str">
        <f t="shared" ca="1" si="501"/>
        <v>v1</v>
      </c>
      <c r="D1645" s="413" t="str">
        <f t="shared" ca="1" si="497"/>
        <v>17.01.01.</v>
      </c>
      <c r="E1645" s="412">
        <f t="shared" si="483"/>
        <v>0</v>
      </c>
      <c r="F1645" s="414">
        <f ca="1">OFFSET('Tabla VI.'!$H$15,H1645-1,I1645-1)</f>
        <v>0</v>
      </c>
      <c r="G1645" s="412" t="str">
        <f ca="1">OFFSET('Tabla VI.'!$H$1,0,I1645-1)</f>
        <v>04</v>
      </c>
      <c r="H1645" s="111">
        <f t="shared" si="498"/>
        <v>2</v>
      </c>
      <c r="I1645" s="111">
        <f t="shared" si="499"/>
        <v>4</v>
      </c>
      <c r="J1645" s="111" t="str">
        <f ca="1">+'Tabla VI.'!$C$10</f>
        <v>Tabla VI.</v>
      </c>
      <c r="K1645" s="111" t="str">
        <f t="shared" si="496"/>
        <v>A</v>
      </c>
      <c r="L1645" s="412"/>
      <c r="M1645" s="450"/>
    </row>
    <row r="1646" spans="1:13" s="415" customFormat="1">
      <c r="A1646" s="412" t="s">
        <v>2944</v>
      </c>
      <c r="B1646" s="412" t="str">
        <f t="shared" ca="1" si="500"/>
        <v>202503</v>
      </c>
      <c r="C1646" s="412" t="str">
        <f t="shared" ref="C1646:C1653" ca="1" si="502">IF(G1646="01","v2","v1")</f>
        <v>v1</v>
      </c>
      <c r="D1646" s="413" t="str">
        <f t="shared" ca="1" si="497"/>
        <v>17.01.01.</v>
      </c>
      <c r="E1646" s="412">
        <f t="shared" si="483"/>
        <v>0</v>
      </c>
      <c r="F1646" s="414">
        <f ca="1">OFFSET('Tabla VI.'!$H$15,H1646-1,I1646-1)</f>
        <v>0</v>
      </c>
      <c r="G1646" s="412" t="str">
        <f ca="1">OFFSET('Tabla VI.'!$H$1,0,I1646-1)</f>
        <v>05</v>
      </c>
      <c r="H1646" s="111">
        <f t="shared" si="498"/>
        <v>2</v>
      </c>
      <c r="I1646" s="111">
        <f t="shared" si="499"/>
        <v>5</v>
      </c>
      <c r="J1646" s="111" t="str">
        <f ca="1">+'Tabla VI.'!$C$10</f>
        <v>Tabla VI.</v>
      </c>
      <c r="K1646" s="111" t="str">
        <f t="shared" si="496"/>
        <v>A</v>
      </c>
      <c r="L1646" s="412"/>
    </row>
    <row r="1647" spans="1:13" s="415" customFormat="1">
      <c r="A1647" s="412" t="s">
        <v>2944</v>
      </c>
      <c r="B1647" s="412" t="str">
        <f t="shared" ca="1" si="500"/>
        <v>202503</v>
      </c>
      <c r="C1647" s="412" t="str">
        <f t="shared" ca="1" si="502"/>
        <v>v1</v>
      </c>
      <c r="D1647" s="413" t="str">
        <f t="shared" ca="1" si="497"/>
        <v>17.01.01.</v>
      </c>
      <c r="E1647" s="412">
        <f t="shared" si="483"/>
        <v>0</v>
      </c>
      <c r="F1647" s="414">
        <f ca="1">OFFSET('Tabla VI.'!$H$15,H1647-1,I1647-1)</f>
        <v>0</v>
      </c>
      <c r="G1647" s="412" t="str">
        <f ca="1">OFFSET('Tabla VI.'!$H$1,0,I1647-1)</f>
        <v>06</v>
      </c>
      <c r="H1647" s="111">
        <f t="shared" si="498"/>
        <v>2</v>
      </c>
      <c r="I1647" s="111">
        <f t="shared" si="499"/>
        <v>6</v>
      </c>
      <c r="J1647" s="111" t="str">
        <f ca="1">+'Tabla VI.'!$C$10</f>
        <v>Tabla VI.</v>
      </c>
      <c r="K1647" s="111" t="str">
        <f t="shared" si="496"/>
        <v>A</v>
      </c>
      <c r="L1647" s="412"/>
    </row>
    <row r="1648" spans="1:13" s="415" customFormat="1">
      <c r="A1648" s="412" t="s">
        <v>2944</v>
      </c>
      <c r="B1648" s="412" t="str">
        <f t="shared" ca="1" si="500"/>
        <v>202503</v>
      </c>
      <c r="C1648" s="412" t="str">
        <f t="shared" ca="1" si="502"/>
        <v>v1</v>
      </c>
      <c r="D1648" s="413" t="str">
        <f t="shared" ca="1" si="497"/>
        <v>17.01.01.</v>
      </c>
      <c r="E1648" s="412">
        <f t="shared" si="483"/>
        <v>0</v>
      </c>
      <c r="F1648" s="414">
        <f ca="1">OFFSET('Tabla VI.'!$H$15,H1648-1,I1648-1)</f>
        <v>0</v>
      </c>
      <c r="G1648" s="412" t="str">
        <f ca="1">OFFSET('Tabla VI.'!$H$1,0,I1648-1)</f>
        <v>07</v>
      </c>
      <c r="H1648" s="111">
        <f t="shared" si="498"/>
        <v>2</v>
      </c>
      <c r="I1648" s="111">
        <f t="shared" si="499"/>
        <v>7</v>
      </c>
      <c r="J1648" s="111" t="str">
        <f ca="1">+'Tabla VI.'!$C$10</f>
        <v>Tabla VI.</v>
      </c>
      <c r="K1648" s="111" t="str">
        <f t="shared" si="496"/>
        <v>A</v>
      </c>
      <c r="L1648" s="412"/>
    </row>
    <row r="1649" spans="1:13" s="415" customFormat="1">
      <c r="A1649" s="412" t="s">
        <v>2944</v>
      </c>
      <c r="B1649" s="412" t="str">
        <f t="shared" ca="1" si="500"/>
        <v>202503</v>
      </c>
      <c r="C1649" s="412" t="str">
        <f t="shared" ca="1" si="502"/>
        <v>v1</v>
      </c>
      <c r="D1649" s="413" t="str">
        <f t="shared" ca="1" si="497"/>
        <v>17.01.01.</v>
      </c>
      <c r="E1649" s="412">
        <f t="shared" si="483"/>
        <v>0</v>
      </c>
      <c r="F1649" s="414">
        <f ca="1">OFFSET('Tabla VI.'!$H$15,H1649-1,I1649-1)</f>
        <v>0</v>
      </c>
      <c r="G1649" s="412" t="str">
        <f ca="1">OFFSET('Tabla VI.'!$H$1,0,I1649-1)</f>
        <v>08</v>
      </c>
      <c r="H1649" s="111">
        <f t="shared" si="498"/>
        <v>2</v>
      </c>
      <c r="I1649" s="111">
        <f t="shared" si="499"/>
        <v>8</v>
      </c>
      <c r="J1649" s="111" t="str">
        <f ca="1">+'Tabla VI.'!$C$10</f>
        <v>Tabla VI.</v>
      </c>
      <c r="K1649" s="111" t="str">
        <f t="shared" si="496"/>
        <v>A</v>
      </c>
      <c r="L1649" s="412"/>
    </row>
    <row r="1650" spans="1:13">
      <c r="A1650" s="107" t="s">
        <v>2944</v>
      </c>
      <c r="B1650" s="107" t="str">
        <f t="shared" ca="1" si="500"/>
        <v>202502</v>
      </c>
      <c r="C1650" s="107" t="str">
        <f t="shared" ca="1" si="502"/>
        <v>v2</v>
      </c>
      <c r="D1650" s="399" t="str">
        <f ca="1">OFFSET('Tabla VI.'!$F$15,H1650-1,0)</f>
        <v>17.01.01.01</v>
      </c>
      <c r="E1650" s="107">
        <f t="shared" si="483"/>
        <v>0</v>
      </c>
      <c r="F1650" s="108">
        <f ca="1">OFFSET('Tabla VI.'!$H$15,H1650-1,I1650-1)</f>
        <v>0</v>
      </c>
      <c r="G1650" s="107" t="str">
        <f ca="1">OFFSET('Tabla VI.'!$H$1,0,I1650-1)</f>
        <v>01</v>
      </c>
      <c r="H1650" s="110">
        <f>+H1642+1</f>
        <v>3</v>
      </c>
      <c r="I1650" s="110">
        <v>1</v>
      </c>
      <c r="J1650" s="110" t="str">
        <f ca="1">+'Tabla VI.'!$C$10</f>
        <v>Tabla VI.</v>
      </c>
      <c r="K1650" s="110" t="str">
        <f t="shared" si="496"/>
        <v>A</v>
      </c>
      <c r="L1650" s="412">
        <f>+L1642+1</f>
        <v>3</v>
      </c>
      <c r="M1650" s="3"/>
    </row>
    <row r="1651" spans="1:13">
      <c r="A1651" s="107" t="s">
        <v>2944</v>
      </c>
      <c r="B1651" s="107" t="str">
        <f t="shared" ca="1" si="500"/>
        <v>202503</v>
      </c>
      <c r="C1651" s="107" t="str">
        <f t="shared" ca="1" si="502"/>
        <v>v1</v>
      </c>
      <c r="D1651" s="399" t="str">
        <f t="shared" ca="1" si="497"/>
        <v>17.01.01.01</v>
      </c>
      <c r="E1651" s="107">
        <f t="shared" ref="E1651:E1708" si="503">RUC</f>
        <v>0</v>
      </c>
      <c r="F1651" s="108">
        <f ca="1">OFFSET('Tabla VI.'!$H$15,H1651-1,I1651-1)</f>
        <v>0</v>
      </c>
      <c r="G1651" s="107" t="str">
        <f ca="1">OFFSET('Tabla VI.'!$H$1,0,I1651-1)</f>
        <v>02</v>
      </c>
      <c r="H1651" s="110">
        <f t="shared" si="498"/>
        <v>3</v>
      </c>
      <c r="I1651" s="110">
        <f t="shared" si="499"/>
        <v>2</v>
      </c>
      <c r="J1651" s="110" t="str">
        <f ca="1">+'Tabla VI.'!$C$10</f>
        <v>Tabla VI.</v>
      </c>
      <c r="K1651" s="110" t="str">
        <f t="shared" si="496"/>
        <v>A</v>
      </c>
      <c r="L1651" s="107"/>
      <c r="M1651" s="3"/>
    </row>
    <row r="1652" spans="1:13">
      <c r="A1652" s="107" t="s">
        <v>2944</v>
      </c>
      <c r="B1652" s="107" t="str">
        <f t="shared" ca="1" si="500"/>
        <v>202503</v>
      </c>
      <c r="C1652" s="107" t="str">
        <f t="shared" ca="1" si="502"/>
        <v>v1</v>
      </c>
      <c r="D1652" s="399" t="str">
        <f t="shared" ca="1" si="497"/>
        <v>17.01.01.01</v>
      </c>
      <c r="E1652" s="107">
        <f t="shared" si="503"/>
        <v>0</v>
      </c>
      <c r="F1652" s="108">
        <f ca="1">OFFSET('Tabla VI.'!$H$15,H1652-1,I1652-1)</f>
        <v>0</v>
      </c>
      <c r="G1652" s="107" t="str">
        <f ca="1">OFFSET('Tabla VI.'!$H$1,0,I1652-1)</f>
        <v>03</v>
      </c>
      <c r="H1652" s="110">
        <f t="shared" si="498"/>
        <v>3</v>
      </c>
      <c r="I1652" s="110">
        <f t="shared" si="499"/>
        <v>3</v>
      </c>
      <c r="J1652" s="110" t="str">
        <f ca="1">+'Tabla VI.'!$C$10</f>
        <v>Tabla VI.</v>
      </c>
      <c r="K1652" s="110" t="str">
        <f t="shared" si="496"/>
        <v>A</v>
      </c>
      <c r="L1652" s="107"/>
      <c r="M1652" s="3"/>
    </row>
    <row r="1653" spans="1:13">
      <c r="A1653" s="107" t="s">
        <v>2944</v>
      </c>
      <c r="B1653" s="107" t="str">
        <f t="shared" ca="1" si="500"/>
        <v>202503</v>
      </c>
      <c r="C1653" s="107" t="str">
        <f t="shared" ca="1" si="502"/>
        <v>v1</v>
      </c>
      <c r="D1653" s="399" t="str">
        <f t="shared" ca="1" si="497"/>
        <v>17.01.01.01</v>
      </c>
      <c r="E1653" s="107">
        <f t="shared" si="503"/>
        <v>0</v>
      </c>
      <c r="F1653" s="108">
        <f ca="1">OFFSET('Tabla VI.'!$H$15,H1653-1,I1653-1)</f>
        <v>0</v>
      </c>
      <c r="G1653" s="107" t="str">
        <f ca="1">OFFSET('Tabla VI.'!$H$1,0,I1653-1)</f>
        <v>04</v>
      </c>
      <c r="H1653" s="110">
        <f t="shared" si="498"/>
        <v>3</v>
      </c>
      <c r="I1653" s="110">
        <f t="shared" si="499"/>
        <v>4</v>
      </c>
      <c r="J1653" s="110" t="str">
        <f ca="1">+'Tabla VI.'!$C$10</f>
        <v>Tabla VI.</v>
      </c>
      <c r="K1653" s="110" t="str">
        <f t="shared" si="496"/>
        <v>A</v>
      </c>
      <c r="L1653" s="107"/>
      <c r="M1653" s="3"/>
    </row>
    <row r="1654" spans="1:13">
      <c r="A1654" s="107" t="s">
        <v>2944</v>
      </c>
      <c r="B1654" s="107" t="str">
        <f t="shared" ca="1" si="500"/>
        <v>202503</v>
      </c>
      <c r="C1654" s="107" t="str">
        <f t="shared" ref="C1654:C1669" ca="1" si="504">IF(G1654="01","v2","v1")</f>
        <v>v1</v>
      </c>
      <c r="D1654" s="399" t="str">
        <f t="shared" ca="1" si="497"/>
        <v>17.01.01.01</v>
      </c>
      <c r="E1654" s="107">
        <f t="shared" si="503"/>
        <v>0</v>
      </c>
      <c r="F1654" s="108">
        <f ca="1">OFFSET('Tabla VI.'!$H$15,H1654-1,I1654-1)</f>
        <v>0</v>
      </c>
      <c r="G1654" s="107" t="str">
        <f ca="1">OFFSET('Tabla VI.'!$H$1,0,I1654-1)</f>
        <v>05</v>
      </c>
      <c r="H1654" s="110">
        <f t="shared" si="498"/>
        <v>3</v>
      </c>
      <c r="I1654" s="110">
        <f t="shared" si="499"/>
        <v>5</v>
      </c>
      <c r="J1654" s="110" t="str">
        <f ca="1">+'Tabla VI.'!$C$10</f>
        <v>Tabla VI.</v>
      </c>
      <c r="K1654" s="110" t="str">
        <f t="shared" si="496"/>
        <v>A</v>
      </c>
    </row>
    <row r="1655" spans="1:13">
      <c r="A1655" s="107" t="s">
        <v>2944</v>
      </c>
      <c r="B1655" s="107" t="str">
        <f t="shared" ca="1" si="500"/>
        <v>202503</v>
      </c>
      <c r="C1655" s="107" t="str">
        <f t="shared" ca="1" si="504"/>
        <v>v1</v>
      </c>
      <c r="D1655" s="399" t="str">
        <f t="shared" ca="1" si="497"/>
        <v>17.01.01.01</v>
      </c>
      <c r="E1655" s="107">
        <f t="shared" si="503"/>
        <v>0</v>
      </c>
      <c r="F1655" s="108">
        <f ca="1">OFFSET('Tabla VI.'!$H$15,H1655-1,I1655-1)</f>
        <v>0</v>
      </c>
      <c r="G1655" s="107" t="str">
        <f ca="1">OFFSET('Tabla VI.'!$H$1,0,I1655-1)</f>
        <v>06</v>
      </c>
      <c r="H1655" s="110">
        <f t="shared" si="498"/>
        <v>3</v>
      </c>
      <c r="I1655" s="110">
        <f t="shared" si="499"/>
        <v>6</v>
      </c>
      <c r="J1655" s="110" t="str">
        <f ca="1">+'Tabla VI.'!$C$10</f>
        <v>Tabla VI.</v>
      </c>
      <c r="K1655" s="110" t="str">
        <f t="shared" si="496"/>
        <v>A</v>
      </c>
    </row>
    <row r="1656" spans="1:13">
      <c r="A1656" s="107" t="s">
        <v>2944</v>
      </c>
      <c r="B1656" s="107" t="str">
        <f t="shared" ca="1" si="500"/>
        <v>202503</v>
      </c>
      <c r="C1656" s="107" t="str">
        <f t="shared" ca="1" si="504"/>
        <v>v1</v>
      </c>
      <c r="D1656" s="399" t="str">
        <f t="shared" ca="1" si="497"/>
        <v>17.01.01.01</v>
      </c>
      <c r="E1656" s="107">
        <f t="shared" si="503"/>
        <v>0</v>
      </c>
      <c r="F1656" s="108">
        <f ca="1">OFFSET('Tabla VI.'!$H$15,H1656-1,I1656-1)</f>
        <v>0</v>
      </c>
      <c r="G1656" s="107" t="str">
        <f ca="1">OFFSET('Tabla VI.'!$H$1,0,I1656-1)</f>
        <v>07</v>
      </c>
      <c r="H1656" s="110">
        <f t="shared" si="498"/>
        <v>3</v>
      </c>
      <c r="I1656" s="110">
        <f t="shared" si="499"/>
        <v>7</v>
      </c>
      <c r="J1656" s="110" t="str">
        <f ca="1">+'Tabla VI.'!$C$10</f>
        <v>Tabla VI.</v>
      </c>
      <c r="K1656" s="110" t="str">
        <f t="shared" si="496"/>
        <v>A</v>
      </c>
    </row>
    <row r="1657" spans="1:13">
      <c r="A1657" s="107" t="s">
        <v>2944</v>
      </c>
      <c r="B1657" s="107" t="str">
        <f t="shared" ca="1" si="500"/>
        <v>202503</v>
      </c>
      <c r="C1657" s="107" t="str">
        <f t="shared" ca="1" si="504"/>
        <v>v1</v>
      </c>
      <c r="D1657" s="399" t="str">
        <f t="shared" ca="1" si="497"/>
        <v>17.01.01.01</v>
      </c>
      <c r="E1657" s="107">
        <f t="shared" si="503"/>
        <v>0</v>
      </c>
      <c r="F1657" s="108">
        <f ca="1">OFFSET('Tabla VI.'!$H$15,H1657-1,I1657-1)</f>
        <v>0</v>
      </c>
      <c r="G1657" s="107" t="str">
        <f ca="1">OFFSET('Tabla VI.'!$H$1,0,I1657-1)</f>
        <v>08</v>
      </c>
      <c r="H1657" s="110">
        <f t="shared" si="498"/>
        <v>3</v>
      </c>
      <c r="I1657" s="110">
        <f t="shared" si="499"/>
        <v>8</v>
      </c>
      <c r="J1657" s="110" t="str">
        <f ca="1">+'Tabla VI.'!$C$10</f>
        <v>Tabla VI.</v>
      </c>
      <c r="K1657" s="110" t="str">
        <f t="shared" si="496"/>
        <v>A</v>
      </c>
    </row>
    <row r="1658" spans="1:13">
      <c r="A1658" s="412" t="s">
        <v>2944</v>
      </c>
      <c r="B1658" s="412" t="str">
        <f t="shared" ca="1" si="500"/>
        <v>202502</v>
      </c>
      <c r="C1658" s="412" t="str">
        <f t="shared" ca="1" si="504"/>
        <v>v2</v>
      </c>
      <c r="D1658" s="413" t="str">
        <f ca="1">OFFSET('Tabla VI.'!$F$15,H1658-1,0)</f>
        <v>17.01.01.02</v>
      </c>
      <c r="E1658" s="412">
        <f t="shared" si="503"/>
        <v>0</v>
      </c>
      <c r="F1658" s="414">
        <f ca="1">OFFSET('Tabla VI.'!$H$15,H1658-1,I1658-1)</f>
        <v>0</v>
      </c>
      <c r="G1658" s="412" t="str">
        <f ca="1">OFFSET('Tabla VI.'!$H$1,0,I1658-1)</f>
        <v>01</v>
      </c>
      <c r="H1658" s="111">
        <f>+H1650+1</f>
        <v>4</v>
      </c>
      <c r="I1658" s="111">
        <v>1</v>
      </c>
      <c r="J1658" s="111" t="str">
        <f ca="1">+'Tabla VI.'!$C$10</f>
        <v>Tabla VI.</v>
      </c>
      <c r="K1658" s="111" t="str">
        <f t="shared" si="496"/>
        <v>A</v>
      </c>
      <c r="L1658" s="412">
        <f>+L1650+1</f>
        <v>4</v>
      </c>
    </row>
    <row r="1659" spans="1:13">
      <c r="A1659" s="412" t="s">
        <v>2944</v>
      </c>
      <c r="B1659" s="412" t="str">
        <f t="shared" ca="1" si="500"/>
        <v>202503</v>
      </c>
      <c r="C1659" s="412" t="str">
        <f t="shared" ca="1" si="504"/>
        <v>v1</v>
      </c>
      <c r="D1659" s="413" t="str">
        <f t="shared" ca="1" si="497"/>
        <v>17.01.01.02</v>
      </c>
      <c r="E1659" s="412">
        <f t="shared" si="503"/>
        <v>0</v>
      </c>
      <c r="F1659" s="414">
        <f ca="1">OFFSET('Tabla VI.'!$H$15,H1659-1,I1659-1)</f>
        <v>0</v>
      </c>
      <c r="G1659" s="412" t="str">
        <f ca="1">OFFSET('Tabla VI.'!$H$1,0,I1659-1)</f>
        <v>02</v>
      </c>
      <c r="H1659" s="111">
        <f t="shared" si="498"/>
        <v>4</v>
      </c>
      <c r="I1659" s="111">
        <f t="shared" si="499"/>
        <v>2</v>
      </c>
      <c r="J1659" s="111" t="str">
        <f ca="1">+'Tabla VI.'!$C$10</f>
        <v>Tabla VI.</v>
      </c>
      <c r="K1659" s="111" t="str">
        <f t="shared" si="496"/>
        <v>A</v>
      </c>
      <c r="L1659" s="412"/>
    </row>
    <row r="1660" spans="1:13">
      <c r="A1660" s="412" t="s">
        <v>2944</v>
      </c>
      <c r="B1660" s="412" t="str">
        <f t="shared" ca="1" si="500"/>
        <v>202503</v>
      </c>
      <c r="C1660" s="412" t="str">
        <f t="shared" ca="1" si="504"/>
        <v>v1</v>
      </c>
      <c r="D1660" s="413" t="str">
        <f t="shared" ca="1" si="497"/>
        <v>17.01.01.02</v>
      </c>
      <c r="E1660" s="412">
        <f t="shared" si="503"/>
        <v>0</v>
      </c>
      <c r="F1660" s="414">
        <f ca="1">OFFSET('Tabla VI.'!$H$15,H1660-1,I1660-1)</f>
        <v>0</v>
      </c>
      <c r="G1660" s="412" t="str">
        <f ca="1">OFFSET('Tabla VI.'!$H$1,0,I1660-1)</f>
        <v>03</v>
      </c>
      <c r="H1660" s="111">
        <f t="shared" si="498"/>
        <v>4</v>
      </c>
      <c r="I1660" s="111">
        <f t="shared" si="499"/>
        <v>3</v>
      </c>
      <c r="J1660" s="111" t="str">
        <f ca="1">+'Tabla VI.'!$C$10</f>
        <v>Tabla VI.</v>
      </c>
      <c r="K1660" s="111" t="str">
        <f t="shared" si="496"/>
        <v>A</v>
      </c>
      <c r="L1660" s="412"/>
    </row>
    <row r="1661" spans="1:13">
      <c r="A1661" s="412" t="s">
        <v>2944</v>
      </c>
      <c r="B1661" s="412" t="str">
        <f t="shared" ca="1" si="500"/>
        <v>202503</v>
      </c>
      <c r="C1661" s="412" t="str">
        <f t="shared" ca="1" si="504"/>
        <v>v1</v>
      </c>
      <c r="D1661" s="413" t="str">
        <f t="shared" ca="1" si="497"/>
        <v>17.01.01.02</v>
      </c>
      <c r="E1661" s="412">
        <f t="shared" si="503"/>
        <v>0</v>
      </c>
      <c r="F1661" s="414">
        <f ca="1">OFFSET('Tabla VI.'!$H$15,H1661-1,I1661-1)</f>
        <v>0</v>
      </c>
      <c r="G1661" s="412" t="str">
        <f ca="1">OFFSET('Tabla VI.'!$H$1,0,I1661-1)</f>
        <v>04</v>
      </c>
      <c r="H1661" s="111">
        <f t="shared" si="498"/>
        <v>4</v>
      </c>
      <c r="I1661" s="111">
        <f t="shared" si="499"/>
        <v>4</v>
      </c>
      <c r="J1661" s="111" t="str">
        <f ca="1">+'Tabla VI.'!$C$10</f>
        <v>Tabla VI.</v>
      </c>
      <c r="K1661" s="111" t="str">
        <f t="shared" si="496"/>
        <v>A</v>
      </c>
      <c r="L1661" s="412"/>
    </row>
    <row r="1662" spans="1:13">
      <c r="A1662" s="412" t="s">
        <v>2944</v>
      </c>
      <c r="B1662" s="412" t="str">
        <f t="shared" ca="1" si="500"/>
        <v>202503</v>
      </c>
      <c r="C1662" s="412" t="str">
        <f t="shared" ca="1" si="504"/>
        <v>v1</v>
      </c>
      <c r="D1662" s="413" t="str">
        <f t="shared" ca="1" si="497"/>
        <v>17.01.01.02</v>
      </c>
      <c r="E1662" s="412">
        <f t="shared" si="503"/>
        <v>0</v>
      </c>
      <c r="F1662" s="414">
        <f ca="1">OFFSET('Tabla VI.'!$H$15,H1662-1,I1662-1)</f>
        <v>0</v>
      </c>
      <c r="G1662" s="412" t="str">
        <f ca="1">OFFSET('Tabla VI.'!$H$1,0,I1662-1)</f>
        <v>05</v>
      </c>
      <c r="H1662" s="111">
        <f t="shared" si="498"/>
        <v>4</v>
      </c>
      <c r="I1662" s="111">
        <f t="shared" si="499"/>
        <v>5</v>
      </c>
      <c r="J1662" s="111" t="str">
        <f ca="1">+'Tabla VI.'!$C$10</f>
        <v>Tabla VI.</v>
      </c>
      <c r="K1662" s="111" t="str">
        <f t="shared" si="496"/>
        <v>A</v>
      </c>
      <c r="L1662" s="412"/>
    </row>
    <row r="1663" spans="1:13">
      <c r="A1663" s="412" t="s">
        <v>2944</v>
      </c>
      <c r="B1663" s="412" t="str">
        <f t="shared" ca="1" si="500"/>
        <v>202503</v>
      </c>
      <c r="C1663" s="412" t="str">
        <f t="shared" ca="1" si="504"/>
        <v>v1</v>
      </c>
      <c r="D1663" s="413" t="str">
        <f t="shared" ca="1" si="497"/>
        <v>17.01.01.02</v>
      </c>
      <c r="E1663" s="412">
        <f t="shared" si="503"/>
        <v>0</v>
      </c>
      <c r="F1663" s="414">
        <f ca="1">OFFSET('Tabla VI.'!$H$15,H1663-1,I1663-1)</f>
        <v>0</v>
      </c>
      <c r="G1663" s="412" t="str">
        <f ca="1">OFFSET('Tabla VI.'!$H$1,0,I1663-1)</f>
        <v>06</v>
      </c>
      <c r="H1663" s="111">
        <f t="shared" si="498"/>
        <v>4</v>
      </c>
      <c r="I1663" s="111">
        <f t="shared" si="499"/>
        <v>6</v>
      </c>
      <c r="J1663" s="111" t="str">
        <f ca="1">+'Tabla VI.'!$C$10</f>
        <v>Tabla VI.</v>
      </c>
      <c r="K1663" s="111" t="str">
        <f t="shared" si="496"/>
        <v>A</v>
      </c>
      <c r="L1663" s="412"/>
    </row>
    <row r="1664" spans="1:13">
      <c r="A1664" s="412" t="s">
        <v>2944</v>
      </c>
      <c r="B1664" s="412" t="str">
        <f t="shared" ca="1" si="500"/>
        <v>202503</v>
      </c>
      <c r="C1664" s="412" t="str">
        <f t="shared" ca="1" si="504"/>
        <v>v1</v>
      </c>
      <c r="D1664" s="413" t="str">
        <f t="shared" ca="1" si="497"/>
        <v>17.01.01.02</v>
      </c>
      <c r="E1664" s="412">
        <f t="shared" si="503"/>
        <v>0</v>
      </c>
      <c r="F1664" s="414">
        <f ca="1">OFFSET('Tabla VI.'!$H$15,H1664-1,I1664-1)</f>
        <v>0</v>
      </c>
      <c r="G1664" s="412" t="str">
        <f ca="1">OFFSET('Tabla VI.'!$H$1,0,I1664-1)</f>
        <v>07</v>
      </c>
      <c r="H1664" s="111">
        <f t="shared" si="498"/>
        <v>4</v>
      </c>
      <c r="I1664" s="111">
        <f t="shared" si="499"/>
        <v>7</v>
      </c>
      <c r="J1664" s="111" t="str">
        <f ca="1">+'Tabla VI.'!$C$10</f>
        <v>Tabla VI.</v>
      </c>
      <c r="K1664" s="111" t="str">
        <f t="shared" si="496"/>
        <v>A</v>
      </c>
      <c r="L1664" s="412"/>
    </row>
    <row r="1665" spans="1:12">
      <c r="A1665" s="412" t="s">
        <v>2944</v>
      </c>
      <c r="B1665" s="412" t="str">
        <f t="shared" ca="1" si="500"/>
        <v>202503</v>
      </c>
      <c r="C1665" s="412" t="str">
        <f t="shared" ca="1" si="504"/>
        <v>v1</v>
      </c>
      <c r="D1665" s="413" t="str">
        <f t="shared" ca="1" si="497"/>
        <v>17.01.01.02</v>
      </c>
      <c r="E1665" s="412">
        <f t="shared" si="503"/>
        <v>0</v>
      </c>
      <c r="F1665" s="414">
        <f ca="1">OFFSET('Tabla VI.'!$H$15,H1665-1,I1665-1)</f>
        <v>0</v>
      </c>
      <c r="G1665" s="412" t="str">
        <f ca="1">OFFSET('Tabla VI.'!$H$1,0,I1665-1)</f>
        <v>08</v>
      </c>
      <c r="H1665" s="111">
        <f t="shared" si="498"/>
        <v>4</v>
      </c>
      <c r="I1665" s="111">
        <f t="shared" si="499"/>
        <v>8</v>
      </c>
      <c r="J1665" s="111" t="str">
        <f ca="1">+'Tabla VI.'!$C$10</f>
        <v>Tabla VI.</v>
      </c>
      <c r="K1665" s="111" t="str">
        <f t="shared" si="496"/>
        <v>A</v>
      </c>
      <c r="L1665" s="412"/>
    </row>
    <row r="1666" spans="1:12">
      <c r="A1666" s="107" t="s">
        <v>2944</v>
      </c>
      <c r="B1666" s="107" t="str">
        <f t="shared" ref="B1666:B1689" ca="1" si="505">IF(G1666="01",(IF(TRIM&gt;1,CONCATENATE(ANUAL,"0",TRIM-1),CONCATENATE(ANUAL-1,"04"))),PERIODO)</f>
        <v>202502</v>
      </c>
      <c r="C1666" s="107" t="str">
        <f t="shared" ca="1" si="504"/>
        <v>v2</v>
      </c>
      <c r="D1666" s="399" t="str">
        <f ca="1">OFFSET('Tabla VI.'!$F$15,H1666-1,0)</f>
        <v>17.01.01.03</v>
      </c>
      <c r="E1666" s="107">
        <f t="shared" si="503"/>
        <v>0</v>
      </c>
      <c r="F1666" s="108">
        <f ca="1">OFFSET('Tabla VI.'!$H$15,H1666-1,I1666-1)</f>
        <v>0</v>
      </c>
      <c r="G1666" s="107" t="str">
        <f ca="1">OFFSET('Tabla VI.'!$H$1,0,I1666-1)</f>
        <v>01</v>
      </c>
      <c r="H1666" s="110">
        <f>+H1658+1</f>
        <v>5</v>
      </c>
      <c r="I1666" s="110">
        <v>1</v>
      </c>
      <c r="J1666" s="110" t="str">
        <f ca="1">+'Tabla VI.'!$C$10</f>
        <v>Tabla VI.</v>
      </c>
      <c r="K1666" s="110" t="str">
        <f t="shared" si="496"/>
        <v>A</v>
      </c>
      <c r="L1666" s="412">
        <f>+L1658+1</f>
        <v>5</v>
      </c>
    </row>
    <row r="1667" spans="1:12">
      <c r="A1667" s="107" t="s">
        <v>2944</v>
      </c>
      <c r="B1667" s="107" t="str">
        <f t="shared" ca="1" si="505"/>
        <v>202503</v>
      </c>
      <c r="C1667" s="107" t="str">
        <f t="shared" ca="1" si="504"/>
        <v>v1</v>
      </c>
      <c r="D1667" s="399" t="str">
        <f t="shared" ca="1" si="497"/>
        <v>17.01.01.03</v>
      </c>
      <c r="E1667" s="107">
        <f t="shared" si="503"/>
        <v>0</v>
      </c>
      <c r="F1667" s="108">
        <f ca="1">OFFSET('Tabla VI.'!$H$15,H1667-1,I1667-1)</f>
        <v>0</v>
      </c>
      <c r="G1667" s="107" t="str">
        <f ca="1">OFFSET('Tabla VI.'!$H$1,0,I1667-1)</f>
        <v>02</v>
      </c>
      <c r="H1667" s="110">
        <f t="shared" si="498"/>
        <v>5</v>
      </c>
      <c r="I1667" s="110">
        <f t="shared" si="499"/>
        <v>2</v>
      </c>
      <c r="J1667" s="110" t="str">
        <f ca="1">+'Tabla VI.'!$C$10</f>
        <v>Tabla VI.</v>
      </c>
      <c r="K1667" s="110" t="str">
        <f t="shared" si="496"/>
        <v>A</v>
      </c>
      <c r="L1667" s="107"/>
    </row>
    <row r="1668" spans="1:12">
      <c r="A1668" s="107" t="s">
        <v>2944</v>
      </c>
      <c r="B1668" s="107" t="str">
        <f t="shared" ca="1" si="505"/>
        <v>202503</v>
      </c>
      <c r="C1668" s="107" t="str">
        <f t="shared" ca="1" si="504"/>
        <v>v1</v>
      </c>
      <c r="D1668" s="399" t="str">
        <f t="shared" ca="1" si="497"/>
        <v>17.01.01.03</v>
      </c>
      <c r="E1668" s="107">
        <f t="shared" si="503"/>
        <v>0</v>
      </c>
      <c r="F1668" s="108">
        <f ca="1">OFFSET('Tabla VI.'!$H$15,H1668-1,I1668-1)</f>
        <v>0</v>
      </c>
      <c r="G1668" s="107" t="str">
        <f ca="1">OFFSET('Tabla VI.'!$H$1,0,I1668-1)</f>
        <v>03</v>
      </c>
      <c r="H1668" s="110">
        <f t="shared" si="498"/>
        <v>5</v>
      </c>
      <c r="I1668" s="110">
        <f t="shared" si="499"/>
        <v>3</v>
      </c>
      <c r="J1668" s="110" t="str">
        <f ca="1">+'Tabla VI.'!$C$10</f>
        <v>Tabla VI.</v>
      </c>
      <c r="K1668" s="110" t="str">
        <f t="shared" si="496"/>
        <v>A</v>
      </c>
      <c r="L1668" s="107"/>
    </row>
    <row r="1669" spans="1:12">
      <c r="A1669" s="107" t="s">
        <v>2944</v>
      </c>
      <c r="B1669" s="107" t="str">
        <f t="shared" ca="1" si="505"/>
        <v>202503</v>
      </c>
      <c r="C1669" s="107" t="str">
        <f t="shared" ca="1" si="504"/>
        <v>v1</v>
      </c>
      <c r="D1669" s="399" t="str">
        <f t="shared" ca="1" si="497"/>
        <v>17.01.01.03</v>
      </c>
      <c r="E1669" s="107">
        <f t="shared" si="503"/>
        <v>0</v>
      </c>
      <c r="F1669" s="108">
        <f ca="1">OFFSET('Tabla VI.'!$H$15,H1669-1,I1669-1)</f>
        <v>0</v>
      </c>
      <c r="G1669" s="107" t="str">
        <f ca="1">OFFSET('Tabla VI.'!$H$1,0,I1669-1)</f>
        <v>04</v>
      </c>
      <c r="H1669" s="110">
        <f t="shared" si="498"/>
        <v>5</v>
      </c>
      <c r="I1669" s="110">
        <f t="shared" si="499"/>
        <v>4</v>
      </c>
      <c r="J1669" s="110" t="str">
        <f ca="1">+'Tabla VI.'!$C$10</f>
        <v>Tabla VI.</v>
      </c>
      <c r="K1669" s="110" t="str">
        <f t="shared" si="496"/>
        <v>A</v>
      </c>
      <c r="L1669" s="107"/>
    </row>
    <row r="1670" spans="1:12">
      <c r="A1670" s="107" t="s">
        <v>2944</v>
      </c>
      <c r="B1670" s="107" t="str">
        <f t="shared" ca="1" si="505"/>
        <v>202503</v>
      </c>
      <c r="C1670" s="107" t="str">
        <f t="shared" ref="C1670:C1685" ca="1" si="506">IF(G1670="01","v2","v1")</f>
        <v>v1</v>
      </c>
      <c r="D1670" s="399" t="str">
        <f t="shared" ca="1" si="497"/>
        <v>17.01.01.03</v>
      </c>
      <c r="E1670" s="107">
        <f t="shared" si="503"/>
        <v>0</v>
      </c>
      <c r="F1670" s="108">
        <f ca="1">OFFSET('Tabla VI.'!$H$15,H1670-1,I1670-1)</f>
        <v>0</v>
      </c>
      <c r="G1670" s="107" t="str">
        <f ca="1">OFFSET('Tabla VI.'!$H$1,0,I1670-1)</f>
        <v>05</v>
      </c>
      <c r="H1670" s="110">
        <f t="shared" si="498"/>
        <v>5</v>
      </c>
      <c r="I1670" s="110">
        <f t="shared" si="499"/>
        <v>5</v>
      </c>
      <c r="J1670" s="110" t="str">
        <f ca="1">+'Tabla VI.'!$C$10</f>
        <v>Tabla VI.</v>
      </c>
      <c r="K1670" s="110" t="str">
        <f t="shared" si="496"/>
        <v>A</v>
      </c>
    </row>
    <row r="1671" spans="1:12">
      <c r="A1671" s="107" t="s">
        <v>2944</v>
      </c>
      <c r="B1671" s="107" t="str">
        <f t="shared" ca="1" si="505"/>
        <v>202503</v>
      </c>
      <c r="C1671" s="107" t="str">
        <f t="shared" ca="1" si="506"/>
        <v>v1</v>
      </c>
      <c r="D1671" s="399" t="str">
        <f t="shared" ca="1" si="497"/>
        <v>17.01.01.03</v>
      </c>
      <c r="E1671" s="107">
        <f t="shared" si="503"/>
        <v>0</v>
      </c>
      <c r="F1671" s="108">
        <f ca="1">OFFSET('Tabla VI.'!$H$15,H1671-1,I1671-1)</f>
        <v>0</v>
      </c>
      <c r="G1671" s="107" t="str">
        <f ca="1">OFFSET('Tabla VI.'!$H$1,0,I1671-1)</f>
        <v>06</v>
      </c>
      <c r="H1671" s="110">
        <f t="shared" si="498"/>
        <v>5</v>
      </c>
      <c r="I1671" s="110">
        <f t="shared" si="499"/>
        <v>6</v>
      </c>
      <c r="J1671" s="110" t="str">
        <f ca="1">+'Tabla VI.'!$C$10</f>
        <v>Tabla VI.</v>
      </c>
      <c r="K1671" s="110" t="str">
        <f t="shared" si="496"/>
        <v>A</v>
      </c>
    </row>
    <row r="1672" spans="1:12">
      <c r="A1672" s="107" t="s">
        <v>2944</v>
      </c>
      <c r="B1672" s="107" t="str">
        <f t="shared" ca="1" si="505"/>
        <v>202503</v>
      </c>
      <c r="C1672" s="107" t="str">
        <f t="shared" ca="1" si="506"/>
        <v>v1</v>
      </c>
      <c r="D1672" s="399" t="str">
        <f t="shared" ca="1" si="497"/>
        <v>17.01.01.03</v>
      </c>
      <c r="E1672" s="107">
        <f t="shared" si="503"/>
        <v>0</v>
      </c>
      <c r="F1672" s="108">
        <f ca="1">OFFSET('Tabla VI.'!$H$15,H1672-1,I1672-1)</f>
        <v>0</v>
      </c>
      <c r="G1672" s="107" t="str">
        <f ca="1">OFFSET('Tabla VI.'!$H$1,0,I1672-1)</f>
        <v>07</v>
      </c>
      <c r="H1672" s="110">
        <f t="shared" si="498"/>
        <v>5</v>
      </c>
      <c r="I1672" s="110">
        <f t="shared" si="499"/>
        <v>7</v>
      </c>
      <c r="J1672" s="110" t="str">
        <f ca="1">+'Tabla VI.'!$C$10</f>
        <v>Tabla VI.</v>
      </c>
      <c r="K1672" s="110" t="str">
        <f t="shared" si="496"/>
        <v>A</v>
      </c>
    </row>
    <row r="1673" spans="1:12">
      <c r="A1673" s="107" t="s">
        <v>2944</v>
      </c>
      <c r="B1673" s="107" t="str">
        <f t="shared" ca="1" si="505"/>
        <v>202503</v>
      </c>
      <c r="C1673" s="107" t="str">
        <f t="shared" ca="1" si="506"/>
        <v>v1</v>
      </c>
      <c r="D1673" s="399" t="str">
        <f t="shared" ca="1" si="497"/>
        <v>17.01.01.03</v>
      </c>
      <c r="E1673" s="107">
        <f t="shared" si="503"/>
        <v>0</v>
      </c>
      <c r="F1673" s="108">
        <f ca="1">OFFSET('Tabla VI.'!$H$15,H1673-1,I1673-1)</f>
        <v>0</v>
      </c>
      <c r="G1673" s="107" t="str">
        <f ca="1">OFFSET('Tabla VI.'!$H$1,0,I1673-1)</f>
        <v>08</v>
      </c>
      <c r="H1673" s="110">
        <f t="shared" si="498"/>
        <v>5</v>
      </c>
      <c r="I1673" s="110">
        <f t="shared" si="499"/>
        <v>8</v>
      </c>
      <c r="J1673" s="110" t="str">
        <f ca="1">+'Tabla VI.'!$C$10</f>
        <v>Tabla VI.</v>
      </c>
      <c r="K1673" s="110" t="str">
        <f t="shared" si="496"/>
        <v>A</v>
      </c>
    </row>
    <row r="1674" spans="1:12">
      <c r="A1674" s="412" t="s">
        <v>2944</v>
      </c>
      <c r="B1674" s="412" t="str">
        <f t="shared" ca="1" si="505"/>
        <v>202502</v>
      </c>
      <c r="C1674" s="412" t="str">
        <f t="shared" ca="1" si="506"/>
        <v>v2</v>
      </c>
      <c r="D1674" s="413" t="str">
        <f ca="1">OFFSET('Tabla VI.'!$F$15,H1674-1,0)</f>
        <v>17.01.01.04</v>
      </c>
      <c r="E1674" s="412">
        <f t="shared" si="503"/>
        <v>0</v>
      </c>
      <c r="F1674" s="414">
        <f ca="1">OFFSET('Tabla VI.'!$H$15,H1674-1,I1674-1)</f>
        <v>0</v>
      </c>
      <c r="G1674" s="412" t="str">
        <f ca="1">OFFSET('Tabla VI.'!$H$1,0,I1674-1)</f>
        <v>01</v>
      </c>
      <c r="H1674" s="111">
        <f>+H1666+1</f>
        <v>6</v>
      </c>
      <c r="I1674" s="111">
        <v>1</v>
      </c>
      <c r="J1674" s="111" t="str">
        <f ca="1">+'Tabla VI.'!$C$10</f>
        <v>Tabla VI.</v>
      </c>
      <c r="K1674" s="111" t="str">
        <f t="shared" si="496"/>
        <v>A</v>
      </c>
      <c r="L1674" s="412">
        <f>+L1666+1</f>
        <v>6</v>
      </c>
    </row>
    <row r="1675" spans="1:12">
      <c r="A1675" s="412" t="s">
        <v>2944</v>
      </c>
      <c r="B1675" s="412" t="str">
        <f t="shared" ca="1" si="505"/>
        <v>202503</v>
      </c>
      <c r="C1675" s="412" t="str">
        <f t="shared" ca="1" si="506"/>
        <v>v1</v>
      </c>
      <c r="D1675" s="413" t="str">
        <f t="shared" ca="1" si="497"/>
        <v>17.01.01.04</v>
      </c>
      <c r="E1675" s="412">
        <f t="shared" si="503"/>
        <v>0</v>
      </c>
      <c r="F1675" s="414">
        <f ca="1">OFFSET('Tabla VI.'!$H$15,H1675-1,I1675-1)</f>
        <v>0</v>
      </c>
      <c r="G1675" s="412" t="str">
        <f ca="1">OFFSET('Tabla VI.'!$H$1,0,I1675-1)</f>
        <v>02</v>
      </c>
      <c r="H1675" s="111">
        <f t="shared" si="498"/>
        <v>6</v>
      </c>
      <c r="I1675" s="111">
        <f t="shared" si="499"/>
        <v>2</v>
      </c>
      <c r="J1675" s="111" t="str">
        <f ca="1">+'Tabla VI.'!$C$10</f>
        <v>Tabla VI.</v>
      </c>
      <c r="K1675" s="111" t="str">
        <f t="shared" si="496"/>
        <v>A</v>
      </c>
      <c r="L1675" s="412"/>
    </row>
    <row r="1676" spans="1:12">
      <c r="A1676" s="412" t="s">
        <v>2944</v>
      </c>
      <c r="B1676" s="412" t="str">
        <f t="shared" ca="1" si="505"/>
        <v>202503</v>
      </c>
      <c r="C1676" s="412" t="str">
        <f t="shared" ca="1" si="506"/>
        <v>v1</v>
      </c>
      <c r="D1676" s="413" t="str">
        <f t="shared" ca="1" si="497"/>
        <v>17.01.01.04</v>
      </c>
      <c r="E1676" s="412">
        <f t="shared" si="503"/>
        <v>0</v>
      </c>
      <c r="F1676" s="414">
        <f ca="1">OFFSET('Tabla VI.'!$H$15,H1676-1,I1676-1)</f>
        <v>0</v>
      </c>
      <c r="G1676" s="412" t="str">
        <f ca="1">OFFSET('Tabla VI.'!$H$1,0,I1676-1)</f>
        <v>03</v>
      </c>
      <c r="H1676" s="111">
        <f t="shared" si="498"/>
        <v>6</v>
      </c>
      <c r="I1676" s="111">
        <f t="shared" si="499"/>
        <v>3</v>
      </c>
      <c r="J1676" s="111" t="str">
        <f ca="1">+'Tabla VI.'!$C$10</f>
        <v>Tabla VI.</v>
      </c>
      <c r="K1676" s="111" t="str">
        <f t="shared" si="496"/>
        <v>A</v>
      </c>
      <c r="L1676" s="412"/>
    </row>
    <row r="1677" spans="1:12">
      <c r="A1677" s="412" t="s">
        <v>2944</v>
      </c>
      <c r="B1677" s="412" t="str">
        <f t="shared" ca="1" si="505"/>
        <v>202503</v>
      </c>
      <c r="C1677" s="412" t="str">
        <f t="shared" ca="1" si="506"/>
        <v>v1</v>
      </c>
      <c r="D1677" s="413" t="str">
        <f t="shared" ca="1" si="497"/>
        <v>17.01.01.04</v>
      </c>
      <c r="E1677" s="412">
        <f t="shared" si="503"/>
        <v>0</v>
      </c>
      <c r="F1677" s="414">
        <f ca="1">OFFSET('Tabla VI.'!$H$15,H1677-1,I1677-1)</f>
        <v>0</v>
      </c>
      <c r="G1677" s="412" t="str">
        <f ca="1">OFFSET('Tabla VI.'!$H$1,0,I1677-1)</f>
        <v>04</v>
      </c>
      <c r="H1677" s="111">
        <f t="shared" si="498"/>
        <v>6</v>
      </c>
      <c r="I1677" s="111">
        <f t="shared" si="499"/>
        <v>4</v>
      </c>
      <c r="J1677" s="111" t="str">
        <f ca="1">+'Tabla VI.'!$C$10</f>
        <v>Tabla VI.</v>
      </c>
      <c r="K1677" s="111" t="str">
        <f t="shared" si="496"/>
        <v>A</v>
      </c>
      <c r="L1677" s="412"/>
    </row>
    <row r="1678" spans="1:12">
      <c r="A1678" s="412" t="s">
        <v>2944</v>
      </c>
      <c r="B1678" s="412" t="str">
        <f t="shared" ca="1" si="505"/>
        <v>202503</v>
      </c>
      <c r="C1678" s="412" t="str">
        <f t="shared" ca="1" si="506"/>
        <v>v1</v>
      </c>
      <c r="D1678" s="413" t="str">
        <f t="shared" ca="1" si="497"/>
        <v>17.01.01.04</v>
      </c>
      <c r="E1678" s="412">
        <f t="shared" si="503"/>
        <v>0</v>
      </c>
      <c r="F1678" s="414">
        <f ca="1">OFFSET('Tabla VI.'!$H$15,H1678-1,I1678-1)</f>
        <v>0</v>
      </c>
      <c r="G1678" s="412" t="str">
        <f ca="1">OFFSET('Tabla VI.'!$H$1,0,I1678-1)</f>
        <v>05</v>
      </c>
      <c r="H1678" s="111">
        <f t="shared" si="498"/>
        <v>6</v>
      </c>
      <c r="I1678" s="111">
        <f t="shared" si="499"/>
        <v>5</v>
      </c>
      <c r="J1678" s="111" t="str">
        <f ca="1">+'Tabla VI.'!$C$10</f>
        <v>Tabla VI.</v>
      </c>
      <c r="K1678" s="111" t="str">
        <f t="shared" si="496"/>
        <v>A</v>
      </c>
      <c r="L1678" s="412"/>
    </row>
    <row r="1679" spans="1:12">
      <c r="A1679" s="412" t="s">
        <v>2944</v>
      </c>
      <c r="B1679" s="412" t="str">
        <f t="shared" ca="1" si="505"/>
        <v>202503</v>
      </c>
      <c r="C1679" s="412" t="str">
        <f t="shared" ca="1" si="506"/>
        <v>v1</v>
      </c>
      <c r="D1679" s="413" t="str">
        <f t="shared" ca="1" si="497"/>
        <v>17.01.01.04</v>
      </c>
      <c r="E1679" s="412">
        <f t="shared" si="503"/>
        <v>0</v>
      </c>
      <c r="F1679" s="414">
        <f ca="1">OFFSET('Tabla VI.'!$H$15,H1679-1,I1679-1)</f>
        <v>0</v>
      </c>
      <c r="G1679" s="412" t="str">
        <f ca="1">OFFSET('Tabla VI.'!$H$1,0,I1679-1)</f>
        <v>06</v>
      </c>
      <c r="H1679" s="111">
        <f t="shared" si="498"/>
        <v>6</v>
      </c>
      <c r="I1679" s="111">
        <f t="shared" si="499"/>
        <v>6</v>
      </c>
      <c r="J1679" s="111" t="str">
        <f ca="1">+'Tabla VI.'!$C$10</f>
        <v>Tabla VI.</v>
      </c>
      <c r="K1679" s="111" t="str">
        <f t="shared" si="496"/>
        <v>A</v>
      </c>
      <c r="L1679" s="412"/>
    </row>
    <row r="1680" spans="1:12">
      <c r="A1680" s="412" t="s">
        <v>2944</v>
      </c>
      <c r="B1680" s="412" t="str">
        <f t="shared" ca="1" si="505"/>
        <v>202503</v>
      </c>
      <c r="C1680" s="412" t="str">
        <f t="shared" ca="1" si="506"/>
        <v>v1</v>
      </c>
      <c r="D1680" s="413" t="str">
        <f t="shared" ca="1" si="497"/>
        <v>17.01.01.04</v>
      </c>
      <c r="E1680" s="412">
        <f t="shared" si="503"/>
        <v>0</v>
      </c>
      <c r="F1680" s="414">
        <f ca="1">OFFSET('Tabla VI.'!$H$15,H1680-1,I1680-1)</f>
        <v>0</v>
      </c>
      <c r="G1680" s="412" t="str">
        <f ca="1">OFFSET('Tabla VI.'!$H$1,0,I1680-1)</f>
        <v>07</v>
      </c>
      <c r="H1680" s="111">
        <f t="shared" si="498"/>
        <v>6</v>
      </c>
      <c r="I1680" s="111">
        <f t="shared" si="499"/>
        <v>7</v>
      </c>
      <c r="J1680" s="111" t="str">
        <f ca="1">+'Tabla VI.'!$C$10</f>
        <v>Tabla VI.</v>
      </c>
      <c r="K1680" s="111" t="str">
        <f t="shared" si="496"/>
        <v>A</v>
      </c>
      <c r="L1680" s="412"/>
    </row>
    <row r="1681" spans="1:12">
      <c r="A1681" s="412" t="s">
        <v>2944</v>
      </c>
      <c r="B1681" s="412" t="str">
        <f t="shared" ca="1" si="505"/>
        <v>202503</v>
      </c>
      <c r="C1681" s="412" t="str">
        <f t="shared" ca="1" si="506"/>
        <v>v1</v>
      </c>
      <c r="D1681" s="413" t="str">
        <f t="shared" ca="1" si="497"/>
        <v>17.01.01.04</v>
      </c>
      <c r="E1681" s="412">
        <f t="shared" si="503"/>
        <v>0</v>
      </c>
      <c r="F1681" s="414">
        <f ca="1">OFFSET('Tabla VI.'!$H$15,H1681-1,I1681-1)</f>
        <v>0</v>
      </c>
      <c r="G1681" s="412" t="str">
        <f ca="1">OFFSET('Tabla VI.'!$H$1,0,I1681-1)</f>
        <v>08</v>
      </c>
      <c r="H1681" s="111">
        <f t="shared" si="498"/>
        <v>6</v>
      </c>
      <c r="I1681" s="111">
        <f t="shared" si="499"/>
        <v>8</v>
      </c>
      <c r="J1681" s="111" t="str">
        <f ca="1">+'Tabla VI.'!$C$10</f>
        <v>Tabla VI.</v>
      </c>
      <c r="K1681" s="111" t="str">
        <f t="shared" si="496"/>
        <v>A</v>
      </c>
      <c r="L1681" s="412"/>
    </row>
    <row r="1682" spans="1:12">
      <c r="A1682" s="107" t="s">
        <v>2944</v>
      </c>
      <c r="B1682" s="107" t="str">
        <f t="shared" ca="1" si="505"/>
        <v>202502</v>
      </c>
      <c r="C1682" s="107" t="str">
        <f t="shared" ca="1" si="506"/>
        <v>v2</v>
      </c>
      <c r="D1682" s="399" t="str">
        <f ca="1">OFFSET('Tabla VI.'!$F$15,H1682-1,0)</f>
        <v>17.01.02.</v>
      </c>
      <c r="E1682" s="107">
        <f t="shared" si="503"/>
        <v>0</v>
      </c>
      <c r="F1682" s="108">
        <f ca="1">OFFSET('Tabla VI.'!$H$15,H1682-1,I1682-1)</f>
        <v>0</v>
      </c>
      <c r="G1682" s="107" t="str">
        <f ca="1">OFFSET('Tabla VI.'!$H$1,0,I1682-1)</f>
        <v>01</v>
      </c>
      <c r="H1682" s="110">
        <f>+H1674+1</f>
        <v>7</v>
      </c>
      <c r="I1682" s="110">
        <v>1</v>
      </c>
      <c r="J1682" s="110" t="str">
        <f ca="1">+'Tabla VI.'!$C$10</f>
        <v>Tabla VI.</v>
      </c>
      <c r="K1682" s="110" t="str">
        <f t="shared" si="496"/>
        <v>A</v>
      </c>
      <c r="L1682" s="412">
        <f>+L1674+1</f>
        <v>7</v>
      </c>
    </row>
    <row r="1683" spans="1:12">
      <c r="A1683" s="107" t="s">
        <v>2944</v>
      </c>
      <c r="B1683" s="107" t="str">
        <f t="shared" ca="1" si="505"/>
        <v>202503</v>
      </c>
      <c r="C1683" s="107" t="str">
        <f t="shared" ca="1" si="506"/>
        <v>v1</v>
      </c>
      <c r="D1683" s="399" t="str">
        <f t="shared" ca="1" si="497"/>
        <v>17.01.02.</v>
      </c>
      <c r="E1683" s="107">
        <f t="shared" si="503"/>
        <v>0</v>
      </c>
      <c r="F1683" s="108">
        <f ca="1">OFFSET('Tabla VI.'!$H$15,H1683-1,I1683-1)</f>
        <v>0</v>
      </c>
      <c r="G1683" s="107" t="str">
        <f ca="1">OFFSET('Tabla VI.'!$H$1,0,I1683-1)</f>
        <v>02</v>
      </c>
      <c r="H1683" s="110">
        <f t="shared" si="498"/>
        <v>7</v>
      </c>
      <c r="I1683" s="110">
        <f t="shared" si="499"/>
        <v>2</v>
      </c>
      <c r="J1683" s="110" t="str">
        <f ca="1">+'Tabla VI.'!$C$10</f>
        <v>Tabla VI.</v>
      </c>
      <c r="K1683" s="110" t="str">
        <f t="shared" ref="K1683:K1699" si="507">+K1682</f>
        <v>A</v>
      </c>
      <c r="L1683" s="107"/>
    </row>
    <row r="1684" spans="1:12">
      <c r="A1684" s="107" t="s">
        <v>2944</v>
      </c>
      <c r="B1684" s="107" t="str">
        <f t="shared" ca="1" si="505"/>
        <v>202503</v>
      </c>
      <c r="C1684" s="107" t="str">
        <f t="shared" ca="1" si="506"/>
        <v>v1</v>
      </c>
      <c r="D1684" s="399" t="str">
        <f t="shared" ref="D1684:D1689" ca="1" si="508">+D1683</f>
        <v>17.01.02.</v>
      </c>
      <c r="E1684" s="107">
        <f t="shared" si="503"/>
        <v>0</v>
      </c>
      <c r="F1684" s="108">
        <f ca="1">OFFSET('Tabla VI.'!$H$15,H1684-1,I1684-1)</f>
        <v>0</v>
      </c>
      <c r="G1684" s="107" t="str">
        <f ca="1">OFFSET('Tabla VI.'!$H$1,0,I1684-1)</f>
        <v>03</v>
      </c>
      <c r="H1684" s="110">
        <f t="shared" ref="H1684:H1689" si="509">+H1683</f>
        <v>7</v>
      </c>
      <c r="I1684" s="110">
        <f t="shared" ref="I1684:I1689" si="510">+I1683+1</f>
        <v>3</v>
      </c>
      <c r="J1684" s="110" t="str">
        <f ca="1">+'Tabla VI.'!$C$10</f>
        <v>Tabla VI.</v>
      </c>
      <c r="K1684" s="110" t="str">
        <f t="shared" si="507"/>
        <v>A</v>
      </c>
      <c r="L1684" s="107"/>
    </row>
    <row r="1685" spans="1:12">
      <c r="A1685" s="107" t="s">
        <v>2944</v>
      </c>
      <c r="B1685" s="107" t="str">
        <f t="shared" ca="1" si="505"/>
        <v>202503</v>
      </c>
      <c r="C1685" s="107" t="str">
        <f t="shared" ca="1" si="506"/>
        <v>v1</v>
      </c>
      <c r="D1685" s="399" t="str">
        <f t="shared" ca="1" si="508"/>
        <v>17.01.02.</v>
      </c>
      <c r="E1685" s="107">
        <f t="shared" si="503"/>
        <v>0</v>
      </c>
      <c r="F1685" s="108">
        <f ca="1">OFFSET('Tabla VI.'!$H$15,H1685-1,I1685-1)</f>
        <v>0</v>
      </c>
      <c r="G1685" s="107" t="str">
        <f ca="1">OFFSET('Tabla VI.'!$H$1,0,I1685-1)</f>
        <v>04</v>
      </c>
      <c r="H1685" s="110">
        <f t="shared" si="509"/>
        <v>7</v>
      </c>
      <c r="I1685" s="110">
        <f t="shared" si="510"/>
        <v>4</v>
      </c>
      <c r="J1685" s="110" t="str">
        <f ca="1">+'Tabla VI.'!$C$10</f>
        <v>Tabla VI.</v>
      </c>
      <c r="K1685" s="110" t="str">
        <f t="shared" si="507"/>
        <v>A</v>
      </c>
      <c r="L1685" s="107"/>
    </row>
    <row r="1686" spans="1:12">
      <c r="A1686" s="107" t="s">
        <v>2944</v>
      </c>
      <c r="B1686" s="107" t="str">
        <f t="shared" ca="1" si="505"/>
        <v>202503</v>
      </c>
      <c r="C1686" s="107" t="str">
        <f ca="1">IF(G1686="01","v2","v1")</f>
        <v>v1</v>
      </c>
      <c r="D1686" s="399" t="str">
        <f t="shared" ca="1" si="508"/>
        <v>17.01.02.</v>
      </c>
      <c r="E1686" s="107">
        <f t="shared" si="503"/>
        <v>0</v>
      </c>
      <c r="F1686" s="108">
        <f ca="1">OFFSET('Tabla VI.'!$H$15,H1686-1,I1686-1)</f>
        <v>0</v>
      </c>
      <c r="G1686" s="107" t="str">
        <f ca="1">OFFSET('Tabla VI.'!$H$1,0,I1686-1)</f>
        <v>05</v>
      </c>
      <c r="H1686" s="110">
        <f t="shared" si="509"/>
        <v>7</v>
      </c>
      <c r="I1686" s="110">
        <f t="shared" si="510"/>
        <v>5</v>
      </c>
      <c r="J1686" s="110" t="str">
        <f ca="1">+'Tabla VI.'!$C$10</f>
        <v>Tabla VI.</v>
      </c>
      <c r="K1686" s="110" t="str">
        <f t="shared" si="507"/>
        <v>A</v>
      </c>
    </row>
    <row r="1687" spans="1:12">
      <c r="A1687" s="107" t="s">
        <v>2944</v>
      </c>
      <c r="B1687" s="107" t="str">
        <f t="shared" ca="1" si="505"/>
        <v>202503</v>
      </c>
      <c r="C1687" s="107" t="str">
        <f ca="1">IF(G1687="01","v2","v1")</f>
        <v>v1</v>
      </c>
      <c r="D1687" s="399" t="str">
        <f t="shared" ca="1" si="508"/>
        <v>17.01.02.</v>
      </c>
      <c r="E1687" s="107">
        <f t="shared" si="503"/>
        <v>0</v>
      </c>
      <c r="F1687" s="108">
        <f ca="1">OFFSET('Tabla VI.'!$H$15,H1687-1,I1687-1)</f>
        <v>0</v>
      </c>
      <c r="G1687" s="107" t="str">
        <f ca="1">OFFSET('Tabla VI.'!$H$1,0,I1687-1)</f>
        <v>06</v>
      </c>
      <c r="H1687" s="110">
        <f t="shared" si="509"/>
        <v>7</v>
      </c>
      <c r="I1687" s="110">
        <f t="shared" si="510"/>
        <v>6</v>
      </c>
      <c r="J1687" s="110" t="str">
        <f ca="1">+'Tabla VI.'!$C$10</f>
        <v>Tabla VI.</v>
      </c>
      <c r="K1687" s="110" t="str">
        <f t="shared" si="507"/>
        <v>A</v>
      </c>
    </row>
    <row r="1688" spans="1:12">
      <c r="A1688" s="107" t="s">
        <v>2944</v>
      </c>
      <c r="B1688" s="107" t="str">
        <f t="shared" ca="1" si="505"/>
        <v>202503</v>
      </c>
      <c r="C1688" s="107" t="str">
        <f ca="1">IF(G1688="01","v2","v1")</f>
        <v>v1</v>
      </c>
      <c r="D1688" s="399" t="str">
        <f t="shared" ca="1" si="508"/>
        <v>17.01.02.</v>
      </c>
      <c r="E1688" s="107">
        <f t="shared" si="503"/>
        <v>0</v>
      </c>
      <c r="F1688" s="108">
        <f ca="1">OFFSET('Tabla VI.'!$H$15,H1688-1,I1688-1)</f>
        <v>0</v>
      </c>
      <c r="G1688" s="107" t="str">
        <f ca="1">OFFSET('Tabla VI.'!$H$1,0,I1688-1)</f>
        <v>07</v>
      </c>
      <c r="H1688" s="110">
        <f t="shared" si="509"/>
        <v>7</v>
      </c>
      <c r="I1688" s="110">
        <f t="shared" si="510"/>
        <v>7</v>
      </c>
      <c r="J1688" s="110" t="str">
        <f ca="1">+'Tabla VI.'!$C$10</f>
        <v>Tabla VI.</v>
      </c>
      <c r="K1688" s="110" t="str">
        <f t="shared" si="507"/>
        <v>A</v>
      </c>
    </row>
    <row r="1689" spans="1:12">
      <c r="A1689" s="107" t="s">
        <v>2944</v>
      </c>
      <c r="B1689" s="107" t="str">
        <f t="shared" ca="1" si="505"/>
        <v>202503</v>
      </c>
      <c r="C1689" s="107" t="str">
        <f ca="1">IF(G1689="01","v2","v1")</f>
        <v>v1</v>
      </c>
      <c r="D1689" s="399" t="str">
        <f t="shared" ca="1" si="508"/>
        <v>17.01.02.</v>
      </c>
      <c r="E1689" s="107">
        <f t="shared" si="503"/>
        <v>0</v>
      </c>
      <c r="F1689" s="108">
        <f ca="1">OFFSET('Tabla VI.'!$H$15,H1689-1,I1689-1)</f>
        <v>0</v>
      </c>
      <c r="G1689" s="107" t="str">
        <f ca="1">OFFSET('Tabla VI.'!$H$1,0,I1689-1)</f>
        <v>08</v>
      </c>
      <c r="H1689" s="110">
        <f t="shared" si="509"/>
        <v>7</v>
      </c>
      <c r="I1689" s="110">
        <f t="shared" si="510"/>
        <v>8</v>
      </c>
      <c r="J1689" s="110" t="str">
        <f ca="1">+'Tabla VI.'!$C$10</f>
        <v>Tabla VI.</v>
      </c>
      <c r="K1689" s="110" t="str">
        <f t="shared" si="507"/>
        <v>A</v>
      </c>
    </row>
    <row r="1690" spans="1:12">
      <c r="A1690" s="412" t="s">
        <v>2944</v>
      </c>
      <c r="B1690" s="412" t="str">
        <f t="shared" ref="B1690:B1734" ca="1" si="511">IF(OR(G1690="01",G1690="02"),(IF(TRIM&gt;1,CONCATENATE(ANUAL,"0",TRIM-1),CONCATENATE(ANUAL-1,"04"))),PERIODO)</f>
        <v>202502</v>
      </c>
      <c r="C1690" s="412" t="str">
        <f ca="1">IF(OR(G1690="01",G1690="02"),"v2","v1")</f>
        <v>v2</v>
      </c>
      <c r="D1690" s="413" t="str">
        <f ca="1">OFFSET('Tabla VI.'!$F$48,H1690-1,0)</f>
        <v>18.01.</v>
      </c>
      <c r="E1690" s="412">
        <f t="shared" si="503"/>
        <v>0</v>
      </c>
      <c r="F1690" s="414">
        <f ca="1">OFFSET('Tabla VI.'!$H$48,H1690-1,I1690-1)</f>
        <v>0</v>
      </c>
      <c r="G1690" s="412" t="str">
        <f ca="1">OFFSET('Tabla VI.'!$H$1,0,I1690-1)</f>
        <v>01</v>
      </c>
      <c r="H1690" s="111">
        <v>1</v>
      </c>
      <c r="I1690" s="111">
        <v>1</v>
      </c>
      <c r="J1690" s="111" t="str">
        <f ca="1">+'Tabla VI.'!$C$10</f>
        <v>Tabla VI.</v>
      </c>
      <c r="K1690" s="111" t="s">
        <v>2267</v>
      </c>
      <c r="L1690" s="412">
        <v>1</v>
      </c>
    </row>
    <row r="1691" spans="1:12">
      <c r="A1691" s="412" t="s">
        <v>2944</v>
      </c>
      <c r="B1691" s="412" t="str">
        <f t="shared" ca="1" si="511"/>
        <v>202502</v>
      </c>
      <c r="C1691" s="412" t="str">
        <f ca="1">IF(OR(G1691="01",G1691="02"),"v2","v1")</f>
        <v>v2</v>
      </c>
      <c r="D1691" s="413" t="str">
        <f t="shared" ref="D1691:D1699" ca="1" si="512">+D1690</f>
        <v>18.01.</v>
      </c>
      <c r="E1691" s="412">
        <f t="shared" si="503"/>
        <v>0</v>
      </c>
      <c r="F1691" s="414">
        <f ca="1">OFFSET('Tabla VI.'!$H$48,H1691-1,I1691-1)</f>
        <v>0</v>
      </c>
      <c r="G1691" s="412" t="str">
        <f ca="1">OFFSET('Tabla VI.'!$H$1,0,I1691-1)</f>
        <v>02</v>
      </c>
      <c r="H1691" s="111">
        <f t="shared" ref="H1691:H1699" si="513">+H1690</f>
        <v>1</v>
      </c>
      <c r="I1691" s="111">
        <f t="shared" ref="I1691:I1699" si="514">+I1690+1</f>
        <v>2</v>
      </c>
      <c r="J1691" s="111" t="str">
        <f ca="1">+'Tabla VI.'!$C$10</f>
        <v>Tabla VI.</v>
      </c>
      <c r="K1691" s="111" t="str">
        <f t="shared" si="507"/>
        <v>B</v>
      </c>
      <c r="L1691" s="412"/>
    </row>
    <row r="1692" spans="1:12">
      <c r="A1692" s="412" t="s">
        <v>2944</v>
      </c>
      <c r="B1692" s="412" t="str">
        <f t="shared" ca="1" si="511"/>
        <v>202503</v>
      </c>
      <c r="C1692" s="412" t="str">
        <f t="shared" ref="C1692:C1734" ca="1" si="515">IF(OR(G1692="01",G1692="02"),"v2","v1")</f>
        <v>v1</v>
      </c>
      <c r="D1692" s="413" t="str">
        <f t="shared" ca="1" si="512"/>
        <v>18.01.</v>
      </c>
      <c r="E1692" s="412">
        <f t="shared" si="503"/>
        <v>0</v>
      </c>
      <c r="F1692" s="414">
        <f ca="1">OFFSET('Tabla VI.'!$H$48,H1692-1,I1692-1)</f>
        <v>0</v>
      </c>
      <c r="G1692" s="412" t="str">
        <f ca="1">OFFSET('Tabla VI.'!$H$1,0,I1692-1)</f>
        <v>03</v>
      </c>
      <c r="H1692" s="111">
        <f t="shared" si="513"/>
        <v>1</v>
      </c>
      <c r="I1692" s="111">
        <f t="shared" si="514"/>
        <v>3</v>
      </c>
      <c r="J1692" s="111" t="str">
        <f ca="1">+'Tabla VI.'!$C$10</f>
        <v>Tabla VI.</v>
      </c>
      <c r="K1692" s="111" t="str">
        <f t="shared" si="507"/>
        <v>B</v>
      </c>
      <c r="L1692" s="412"/>
    </row>
    <row r="1693" spans="1:12">
      <c r="A1693" s="412" t="s">
        <v>2944</v>
      </c>
      <c r="B1693" s="412" t="str">
        <f t="shared" ca="1" si="511"/>
        <v>202503</v>
      </c>
      <c r="C1693" s="412" t="str">
        <f t="shared" ca="1" si="515"/>
        <v>v1</v>
      </c>
      <c r="D1693" s="413" t="str">
        <f t="shared" ca="1" si="512"/>
        <v>18.01.</v>
      </c>
      <c r="E1693" s="412">
        <f t="shared" si="503"/>
        <v>0</v>
      </c>
      <c r="F1693" s="414">
        <f ca="1">OFFSET('Tabla VI.'!$H$48,H1693-1,I1693-1)</f>
        <v>0</v>
      </c>
      <c r="G1693" s="412" t="str">
        <f ca="1">OFFSET('Tabla VI.'!$H$1,0,I1693-1)</f>
        <v>04</v>
      </c>
      <c r="H1693" s="111">
        <f t="shared" si="513"/>
        <v>1</v>
      </c>
      <c r="I1693" s="111">
        <f t="shared" si="514"/>
        <v>4</v>
      </c>
      <c r="J1693" s="111" t="str">
        <f ca="1">+'Tabla VI.'!$C$10</f>
        <v>Tabla VI.</v>
      </c>
      <c r="K1693" s="111" t="str">
        <f t="shared" si="507"/>
        <v>B</v>
      </c>
      <c r="L1693" s="412"/>
    </row>
    <row r="1694" spans="1:12">
      <c r="A1694" s="412" t="s">
        <v>2944</v>
      </c>
      <c r="B1694" s="412" t="str">
        <f t="shared" ca="1" si="511"/>
        <v>202503</v>
      </c>
      <c r="C1694" s="412" t="str">
        <f t="shared" ca="1" si="515"/>
        <v>v1</v>
      </c>
      <c r="D1694" s="413" t="str">
        <f t="shared" ca="1" si="512"/>
        <v>18.01.</v>
      </c>
      <c r="E1694" s="412">
        <f t="shared" si="503"/>
        <v>0</v>
      </c>
      <c r="F1694" s="414">
        <f ca="1">OFFSET('Tabla VI.'!$H$48,H1694-1,I1694-1)</f>
        <v>0</v>
      </c>
      <c r="G1694" s="412" t="str">
        <f ca="1">OFFSET('Tabla VI.'!$H$1,0,I1694-1)</f>
        <v>05</v>
      </c>
      <c r="H1694" s="111">
        <f t="shared" si="513"/>
        <v>1</v>
      </c>
      <c r="I1694" s="111">
        <f t="shared" si="514"/>
        <v>5</v>
      </c>
      <c r="J1694" s="111" t="str">
        <f ca="1">+'Tabla VI.'!$C$10</f>
        <v>Tabla VI.</v>
      </c>
      <c r="K1694" s="111" t="str">
        <f t="shared" si="507"/>
        <v>B</v>
      </c>
      <c r="L1694" s="412"/>
    </row>
    <row r="1695" spans="1:12">
      <c r="A1695" s="412" t="s">
        <v>2944</v>
      </c>
      <c r="B1695" s="412" t="str">
        <f t="shared" ca="1" si="511"/>
        <v>202503</v>
      </c>
      <c r="C1695" s="412" t="str">
        <f t="shared" ca="1" si="515"/>
        <v>v1</v>
      </c>
      <c r="D1695" s="413" t="str">
        <f t="shared" ca="1" si="512"/>
        <v>18.01.</v>
      </c>
      <c r="E1695" s="412">
        <f t="shared" si="503"/>
        <v>0</v>
      </c>
      <c r="F1695" s="414">
        <f ca="1">OFFSET('Tabla VI.'!$H$48,H1695-1,I1695-1)</f>
        <v>0</v>
      </c>
      <c r="G1695" s="412" t="str">
        <f ca="1">OFFSET('Tabla VI.'!$H$1,0,I1695-1)</f>
        <v>06</v>
      </c>
      <c r="H1695" s="111">
        <f t="shared" si="513"/>
        <v>1</v>
      </c>
      <c r="I1695" s="111">
        <f t="shared" si="514"/>
        <v>6</v>
      </c>
      <c r="J1695" s="111" t="str">
        <f ca="1">+'Tabla VI.'!$C$10</f>
        <v>Tabla VI.</v>
      </c>
      <c r="K1695" s="111" t="str">
        <f t="shared" si="507"/>
        <v>B</v>
      </c>
      <c r="L1695" s="412"/>
    </row>
    <row r="1696" spans="1:12">
      <c r="A1696" s="412" t="s">
        <v>2944</v>
      </c>
      <c r="B1696" s="412" t="str">
        <f t="shared" ca="1" si="511"/>
        <v>202503</v>
      </c>
      <c r="C1696" s="412" t="str">
        <f t="shared" ca="1" si="515"/>
        <v>v1</v>
      </c>
      <c r="D1696" s="413" t="str">
        <f t="shared" ca="1" si="512"/>
        <v>18.01.</v>
      </c>
      <c r="E1696" s="412">
        <f t="shared" si="503"/>
        <v>0</v>
      </c>
      <c r="F1696" s="414">
        <f ca="1">OFFSET('Tabla VI.'!$H$48,H1696-1,I1696-1)</f>
        <v>0</v>
      </c>
      <c r="G1696" s="412" t="str">
        <f ca="1">OFFSET('Tabla VI.'!$H$1,0,I1696-1)</f>
        <v>07</v>
      </c>
      <c r="H1696" s="111">
        <f t="shared" si="513"/>
        <v>1</v>
      </c>
      <c r="I1696" s="111">
        <f t="shared" si="514"/>
        <v>7</v>
      </c>
      <c r="J1696" s="111" t="str">
        <f ca="1">+'Tabla VI.'!$C$10</f>
        <v>Tabla VI.</v>
      </c>
      <c r="K1696" s="111" t="str">
        <f t="shared" si="507"/>
        <v>B</v>
      </c>
      <c r="L1696" s="412"/>
    </row>
    <row r="1697" spans="1:14">
      <c r="A1697" s="412" t="s">
        <v>2944</v>
      </c>
      <c r="B1697" s="412" t="str">
        <f t="shared" ca="1" si="511"/>
        <v>202503</v>
      </c>
      <c r="C1697" s="412" t="str">
        <f t="shared" ca="1" si="515"/>
        <v>v1</v>
      </c>
      <c r="D1697" s="413" t="str">
        <f t="shared" ca="1" si="512"/>
        <v>18.01.</v>
      </c>
      <c r="E1697" s="412">
        <f t="shared" si="503"/>
        <v>0</v>
      </c>
      <c r="F1697" s="414">
        <f ca="1">OFFSET('Tabla VI.'!$H$48,H1697-1,I1697-1)</f>
        <v>0</v>
      </c>
      <c r="G1697" s="412" t="str">
        <f ca="1">OFFSET('Tabla VI.'!$H$1,0,I1697-1)</f>
        <v>08</v>
      </c>
      <c r="H1697" s="111">
        <f t="shared" si="513"/>
        <v>1</v>
      </c>
      <c r="I1697" s="111">
        <f t="shared" si="514"/>
        <v>8</v>
      </c>
      <c r="J1697" s="111" t="str">
        <f ca="1">+'Tabla VI.'!$C$10</f>
        <v>Tabla VI.</v>
      </c>
      <c r="K1697" s="111" t="str">
        <f t="shared" si="507"/>
        <v>B</v>
      </c>
      <c r="L1697" s="412"/>
    </row>
    <row r="1698" spans="1:14">
      <c r="A1698" s="412" t="s">
        <v>2944</v>
      </c>
      <c r="B1698" s="412" t="str">
        <f t="shared" ca="1" si="511"/>
        <v>202503</v>
      </c>
      <c r="C1698" s="412" t="str">
        <f t="shared" ca="1" si="515"/>
        <v>v1</v>
      </c>
      <c r="D1698" s="413" t="str">
        <f t="shared" ca="1" si="512"/>
        <v>18.01.</v>
      </c>
      <c r="E1698" s="412">
        <f t="shared" si="503"/>
        <v>0</v>
      </c>
      <c r="F1698" s="414">
        <f ca="1">OFFSET('Tabla VI.'!$H$48,H1698-1,I1698-1)</f>
        <v>0</v>
      </c>
      <c r="G1698" s="412" t="str">
        <f ca="1">OFFSET('Tabla VI.'!$H$1,0,I1698-1)</f>
        <v>09</v>
      </c>
      <c r="H1698" s="111">
        <f t="shared" si="513"/>
        <v>1</v>
      </c>
      <c r="I1698" s="111">
        <f t="shared" si="514"/>
        <v>9</v>
      </c>
      <c r="J1698" s="111" t="str">
        <f ca="1">+'Tabla VI.'!$C$10</f>
        <v>Tabla VI.</v>
      </c>
      <c r="K1698" s="111" t="str">
        <f t="shared" si="507"/>
        <v>B</v>
      </c>
    </row>
    <row r="1699" spans="1:14">
      <c r="A1699" s="412" t="s">
        <v>2944</v>
      </c>
      <c r="B1699" s="412" t="str">
        <f t="shared" ca="1" si="511"/>
        <v>202503</v>
      </c>
      <c r="C1699" s="412" t="str">
        <f t="shared" ca="1" si="515"/>
        <v>v1</v>
      </c>
      <c r="D1699" s="413" t="str">
        <f t="shared" ca="1" si="512"/>
        <v>18.01.</v>
      </c>
      <c r="E1699" s="412">
        <f t="shared" si="503"/>
        <v>0</v>
      </c>
      <c r="F1699" s="414">
        <f ca="1">OFFSET('Tabla VI.'!$H$48,H1699-1,I1699-1)</f>
        <v>0</v>
      </c>
      <c r="G1699" s="412" t="str">
        <f ca="1">OFFSET('Tabla VI.'!$H$1,0,I1699-1)</f>
        <v>10</v>
      </c>
      <c r="H1699" s="111">
        <f t="shared" si="513"/>
        <v>1</v>
      </c>
      <c r="I1699" s="111">
        <f t="shared" si="514"/>
        <v>10</v>
      </c>
      <c r="J1699" s="111" t="str">
        <f ca="1">+'Tabla VI.'!$C$10</f>
        <v>Tabla VI.</v>
      </c>
      <c r="K1699" s="111" t="str">
        <f t="shared" si="507"/>
        <v>B</v>
      </c>
    </row>
    <row r="1700" spans="1:14">
      <c r="A1700" s="451" t="s">
        <v>2944</v>
      </c>
      <c r="B1700" s="451" t="str">
        <f t="shared" ca="1" si="511"/>
        <v>202502</v>
      </c>
      <c r="C1700" s="451" t="str">
        <f t="shared" ca="1" si="515"/>
        <v>v2</v>
      </c>
      <c r="D1700" s="452" t="str">
        <f ca="1">OFFSET('Tabla VI.'!$F$48,H1700-1,0)</f>
        <v>18.01.01.</v>
      </c>
      <c r="E1700" s="451">
        <f t="shared" si="503"/>
        <v>0</v>
      </c>
      <c r="F1700" s="453">
        <f ca="1">OFFSET('Tabla VI.'!$H$48,H1700-1,I1700-1)</f>
        <v>0</v>
      </c>
      <c r="G1700" s="451" t="str">
        <f ca="1">OFFSET('Tabla VI.'!$H$1,0,I1700-1)</f>
        <v>01</v>
      </c>
      <c r="H1700" s="454">
        <v>2</v>
      </c>
      <c r="I1700" s="454">
        <v>1</v>
      </c>
      <c r="J1700" s="454" t="str">
        <f ca="1">+'Tabla VI.'!$C$10</f>
        <v>Tabla VI.</v>
      </c>
      <c r="K1700" s="454" t="str">
        <f>+K1699</f>
        <v>B</v>
      </c>
      <c r="L1700" s="451">
        <f>+L1690+1</f>
        <v>2</v>
      </c>
      <c r="N1700" s="514"/>
    </row>
    <row r="1701" spans="1:14">
      <c r="A1701" s="451" t="s">
        <v>2944</v>
      </c>
      <c r="B1701" s="451" t="str">
        <f t="shared" ca="1" si="511"/>
        <v>202502</v>
      </c>
      <c r="C1701" s="451" t="str">
        <f t="shared" ca="1" si="515"/>
        <v>v2</v>
      </c>
      <c r="D1701" s="452" t="str">
        <f ca="1">+D1700</f>
        <v>18.01.01.</v>
      </c>
      <c r="E1701" s="451">
        <f t="shared" si="503"/>
        <v>0</v>
      </c>
      <c r="F1701" s="453">
        <f ca="1">OFFSET('Tabla VI.'!$H$48,H1701-1,I1701-1)</f>
        <v>0</v>
      </c>
      <c r="G1701" s="451" t="str">
        <f ca="1">OFFSET('Tabla VI.'!$H$1,0,I1701-1)</f>
        <v>02</v>
      </c>
      <c r="H1701" s="454">
        <v>2</v>
      </c>
      <c r="I1701" s="454">
        <v>2</v>
      </c>
      <c r="J1701" s="454" t="str">
        <f ca="1">+'Tabla VI.'!$C$10</f>
        <v>Tabla VI.</v>
      </c>
      <c r="K1701" s="454" t="str">
        <f>+K1699</f>
        <v>B</v>
      </c>
      <c r="L1701" s="451"/>
      <c r="N1701" s="514"/>
    </row>
    <row r="1702" spans="1:14">
      <c r="A1702" s="451" t="s">
        <v>2944</v>
      </c>
      <c r="B1702" s="451" t="str">
        <f t="shared" ca="1" si="511"/>
        <v>202503</v>
      </c>
      <c r="C1702" s="451" t="str">
        <f t="shared" ca="1" si="515"/>
        <v>v1</v>
      </c>
      <c r="D1702" s="452" t="str">
        <f ca="1">+D1701</f>
        <v>18.01.01.</v>
      </c>
      <c r="E1702" s="451">
        <f t="shared" si="503"/>
        <v>0</v>
      </c>
      <c r="F1702" s="453">
        <f ca="1">OFFSET('Tabla VI.'!$H$48,H1702-1,I1702-1)</f>
        <v>0</v>
      </c>
      <c r="G1702" s="451" t="str">
        <f ca="1">OFFSET('Tabla VI.'!$H$1,0,I1702-1)</f>
        <v>03</v>
      </c>
      <c r="H1702" s="454">
        <v>2</v>
      </c>
      <c r="I1702" s="454">
        <v>3</v>
      </c>
      <c r="J1702" s="454" t="str">
        <f ca="1">+'Tabla VI.'!$C$10</f>
        <v>Tabla VI.</v>
      </c>
      <c r="K1702" s="454" t="str">
        <f>+K1700</f>
        <v>B</v>
      </c>
      <c r="L1702" s="451"/>
      <c r="N1702" s="514"/>
    </row>
    <row r="1703" spans="1:14">
      <c r="A1703" s="451" t="s">
        <v>2944</v>
      </c>
      <c r="B1703" s="451" t="str">
        <f t="shared" ca="1" si="511"/>
        <v>202503</v>
      </c>
      <c r="C1703" s="451" t="str">
        <f t="shared" ca="1" si="515"/>
        <v>v1</v>
      </c>
      <c r="D1703" s="452" t="str">
        <f ca="1">+D1702</f>
        <v>18.01.01.</v>
      </c>
      <c r="E1703" s="451">
        <f t="shared" si="503"/>
        <v>0</v>
      </c>
      <c r="F1703" s="453">
        <f ca="1">OFFSET('Tabla VI.'!$H$48,H1703-1,I1703-1)</f>
        <v>0</v>
      </c>
      <c r="G1703" s="451" t="str">
        <f ca="1">OFFSET('Tabla VI.'!$H$1,0,I1703-1)</f>
        <v>09</v>
      </c>
      <c r="H1703" s="454">
        <v>2</v>
      </c>
      <c r="I1703" s="454">
        <v>9</v>
      </c>
      <c r="J1703" s="454" t="str">
        <f ca="1">+'Tabla VI.'!$C$10</f>
        <v>Tabla VI.</v>
      </c>
      <c r="K1703" s="454" t="str">
        <f>+K1701</f>
        <v>B</v>
      </c>
      <c r="L1703" s="451"/>
      <c r="N1703" s="514"/>
    </row>
    <row r="1704" spans="1:14">
      <c r="A1704" s="451" t="s">
        <v>2944</v>
      </c>
      <c r="B1704" s="451" t="str">
        <f t="shared" ca="1" si="511"/>
        <v>202503</v>
      </c>
      <c r="C1704" s="451" t="str">
        <f t="shared" ca="1" si="515"/>
        <v>v1</v>
      </c>
      <c r="D1704" s="452" t="str">
        <f ca="1">+D1703</f>
        <v>18.01.01.</v>
      </c>
      <c r="E1704" s="451">
        <f t="shared" si="503"/>
        <v>0</v>
      </c>
      <c r="F1704" s="453">
        <f ca="1">OFFSET('Tabla VI.'!$H$48,H1704-1,I1704-1)</f>
        <v>0</v>
      </c>
      <c r="G1704" s="451" t="str">
        <f ca="1">OFFSET('Tabla VI.'!$H$1,0,I1704-1)</f>
        <v>10</v>
      </c>
      <c r="H1704" s="454">
        <v>2</v>
      </c>
      <c r="I1704" s="454">
        <v>10</v>
      </c>
      <c r="J1704" s="454" t="str">
        <f ca="1">+'Tabla VI.'!$C$10</f>
        <v>Tabla VI.</v>
      </c>
      <c r="K1704" s="454" t="str">
        <f>+K1700</f>
        <v>B</v>
      </c>
      <c r="L1704" s="451"/>
    </row>
    <row r="1705" spans="1:14" s="103" customFormat="1">
      <c r="A1705" s="104" t="s">
        <v>2944</v>
      </c>
      <c r="B1705" s="104" t="str">
        <f t="shared" ca="1" si="511"/>
        <v>202502</v>
      </c>
      <c r="C1705" s="104" t="str">
        <f t="shared" ca="1" si="515"/>
        <v>v2</v>
      </c>
      <c r="D1705" s="455" t="str">
        <f ca="1">OFFSET('Tabla VI.'!$F$48,H1705-1,0)</f>
        <v>18.01.01.01</v>
      </c>
      <c r="E1705" s="104">
        <f t="shared" si="503"/>
        <v>0</v>
      </c>
      <c r="F1705" s="456">
        <f ca="1">OFFSET('Tabla VI.'!$H$48,H1705-1,I1705-1)</f>
        <v>0</v>
      </c>
      <c r="G1705" s="104" t="str">
        <f ca="1">OFFSET('Tabla VI.'!$H$1,0,I1705-1)</f>
        <v>01</v>
      </c>
      <c r="H1705" s="457">
        <v>3</v>
      </c>
      <c r="I1705" s="457">
        <v>1</v>
      </c>
      <c r="J1705" s="457" t="str">
        <f ca="1">+'Tabla VI.'!$C$10</f>
        <v>Tabla VI.</v>
      </c>
      <c r="K1705" s="457" t="str">
        <f>+K1704</f>
        <v>B</v>
      </c>
      <c r="L1705" s="104">
        <f>+L1700+1</f>
        <v>3</v>
      </c>
    </row>
    <row r="1706" spans="1:14" s="103" customFormat="1">
      <c r="A1706" s="104" t="s">
        <v>2944</v>
      </c>
      <c r="B1706" s="104" t="str">
        <f t="shared" ca="1" si="511"/>
        <v>202502</v>
      </c>
      <c r="C1706" s="104" t="str">
        <f t="shared" ca="1" si="515"/>
        <v>v2</v>
      </c>
      <c r="D1706" s="455" t="str">
        <f ca="1">+D1705</f>
        <v>18.01.01.01</v>
      </c>
      <c r="E1706" s="104">
        <f t="shared" si="503"/>
        <v>0</v>
      </c>
      <c r="F1706" s="456">
        <f ca="1">OFFSET('Tabla VI.'!$H$48,H1706-1,I1706-1)</f>
        <v>0</v>
      </c>
      <c r="G1706" s="104" t="str">
        <f ca="1">OFFSET('Tabla VI.'!$H$1,0,I1706-1)</f>
        <v>02</v>
      </c>
      <c r="H1706" s="457">
        <v>3</v>
      </c>
      <c r="I1706" s="457">
        <v>2</v>
      </c>
      <c r="J1706" s="457" t="str">
        <f ca="1">+'Tabla VI.'!$C$10</f>
        <v>Tabla VI.</v>
      </c>
      <c r="K1706" s="457" t="str">
        <f>+K1704</f>
        <v>B</v>
      </c>
      <c r="L1706" s="104"/>
    </row>
    <row r="1707" spans="1:14" s="103" customFormat="1">
      <c r="A1707" s="104" t="s">
        <v>2944</v>
      </c>
      <c r="B1707" s="104" t="str">
        <f t="shared" ca="1" si="511"/>
        <v>202503</v>
      </c>
      <c r="C1707" s="104" t="str">
        <f t="shared" ca="1" si="515"/>
        <v>v1</v>
      </c>
      <c r="D1707" s="455" t="str">
        <f ca="1">+D1706</f>
        <v>18.01.01.01</v>
      </c>
      <c r="E1707" s="104">
        <f t="shared" si="503"/>
        <v>0</v>
      </c>
      <c r="F1707" s="456">
        <f ca="1">OFFSET('Tabla VI.'!$H$48,H1707-1,I1707-1)</f>
        <v>0</v>
      </c>
      <c r="G1707" s="104" t="str">
        <f ca="1">OFFSET('Tabla VI.'!$H$1,0,I1707-1)</f>
        <v>03</v>
      </c>
      <c r="H1707" s="457">
        <v>3</v>
      </c>
      <c r="I1707" s="457">
        <v>3</v>
      </c>
      <c r="J1707" s="457" t="str">
        <f ca="1">+'Tabla VI.'!$C$10</f>
        <v>Tabla VI.</v>
      </c>
      <c r="K1707" s="457" t="str">
        <f>+K1705</f>
        <v>B</v>
      </c>
      <c r="L1707" s="104"/>
    </row>
    <row r="1708" spans="1:14" s="103" customFormat="1">
      <c r="A1708" s="104" t="s">
        <v>2944</v>
      </c>
      <c r="B1708" s="104" t="str">
        <f t="shared" ca="1" si="511"/>
        <v>202503</v>
      </c>
      <c r="C1708" s="104" t="str">
        <f t="shared" ca="1" si="515"/>
        <v>v1</v>
      </c>
      <c r="D1708" s="455" t="str">
        <f ca="1">+D1707</f>
        <v>18.01.01.01</v>
      </c>
      <c r="E1708" s="104">
        <f t="shared" si="503"/>
        <v>0</v>
      </c>
      <c r="F1708" s="456">
        <f ca="1">OFFSET('Tabla VI.'!$H$48,H1708-1,I1708-1)</f>
        <v>0</v>
      </c>
      <c r="G1708" s="104" t="str">
        <f ca="1">OFFSET('Tabla VI.'!$H$1,0,I1708-1)</f>
        <v>09</v>
      </c>
      <c r="H1708" s="457">
        <v>3</v>
      </c>
      <c r="I1708" s="457">
        <v>9</v>
      </c>
      <c r="J1708" s="457" t="str">
        <f ca="1">+'Tabla VI.'!$C$10</f>
        <v>Tabla VI.</v>
      </c>
      <c r="K1708" s="457" t="str">
        <f>+K1706</f>
        <v>B</v>
      </c>
      <c r="L1708" s="104"/>
    </row>
    <row r="1709" spans="1:14" s="103" customFormat="1">
      <c r="A1709" s="104" t="s">
        <v>2944</v>
      </c>
      <c r="B1709" s="104" t="str">
        <f t="shared" ca="1" si="511"/>
        <v>202503</v>
      </c>
      <c r="C1709" s="104" t="str">
        <f t="shared" ca="1" si="515"/>
        <v>v1</v>
      </c>
      <c r="D1709" s="455" t="str">
        <f ca="1">+D1708</f>
        <v>18.01.01.01</v>
      </c>
      <c r="E1709" s="104">
        <f t="shared" ref="E1709:E1760" si="516">RUC</f>
        <v>0</v>
      </c>
      <c r="F1709" s="456">
        <f ca="1">OFFSET('Tabla VI.'!$H$48,H1709-1,I1709-1)</f>
        <v>0</v>
      </c>
      <c r="G1709" s="104" t="str">
        <f ca="1">OFFSET('Tabla VI.'!$H$1,0,I1709-1)</f>
        <v>10</v>
      </c>
      <c r="H1709" s="457">
        <v>3</v>
      </c>
      <c r="I1709" s="457">
        <v>10</v>
      </c>
      <c r="J1709" s="457" t="str">
        <f ca="1">+'Tabla VI.'!$C$10</f>
        <v>Tabla VI.</v>
      </c>
      <c r="K1709" s="457" t="str">
        <f>+K1705</f>
        <v>B</v>
      </c>
      <c r="L1709" s="104"/>
    </row>
    <row r="1710" spans="1:14">
      <c r="A1710" s="1291" t="s">
        <v>2944</v>
      </c>
      <c r="B1710" s="1291" t="str">
        <f t="shared" ca="1" si="511"/>
        <v>202502</v>
      </c>
      <c r="C1710" s="1291" t="str">
        <f t="shared" ca="1" si="515"/>
        <v>v2</v>
      </c>
      <c r="D1710" s="1292" t="str">
        <f ca="1">OFFSET('Tabla VI.'!$F$48,H1710-1,0)</f>
        <v>18.01.01.02</v>
      </c>
      <c r="E1710" s="1291">
        <f t="shared" si="516"/>
        <v>0</v>
      </c>
      <c r="F1710" s="1293">
        <f ca="1">OFFSET('Tabla VI.'!$H$48,H1710-1,I1710-1)</f>
        <v>0</v>
      </c>
      <c r="G1710" s="1291" t="str">
        <f ca="1">OFFSET('Tabla VI.'!$H$1,0,I1710-1)</f>
        <v>01</v>
      </c>
      <c r="H1710" s="1294">
        <v>4</v>
      </c>
      <c r="I1710" s="1294">
        <v>1</v>
      </c>
      <c r="J1710" s="1294" t="str">
        <f ca="1">+'Tabla VI.'!$C$10</f>
        <v>Tabla VI.</v>
      </c>
      <c r="K1710" s="1294" t="str">
        <f>+K1709</f>
        <v>B</v>
      </c>
      <c r="L1710" s="1291">
        <f>+L1705+1</f>
        <v>4</v>
      </c>
    </row>
    <row r="1711" spans="1:14">
      <c r="A1711" s="1295" t="s">
        <v>2944</v>
      </c>
      <c r="B1711" s="1295" t="str">
        <f t="shared" ca="1" si="511"/>
        <v>202502</v>
      </c>
      <c r="C1711" s="1295" t="str">
        <f t="shared" ca="1" si="515"/>
        <v>v2</v>
      </c>
      <c r="D1711" s="1296" t="str">
        <f ca="1">OFFSET('Tabla VI.'!$F$48,H1711-1,0)</f>
        <v>18.01.01.02</v>
      </c>
      <c r="E1711" s="1295">
        <f t="shared" si="516"/>
        <v>0</v>
      </c>
      <c r="F1711" s="1297">
        <f ca="1">OFFSET('Tabla VI.'!$H$48,H1711-1,I1711-1)</f>
        <v>0</v>
      </c>
      <c r="G1711" s="1295" t="str">
        <f ca="1">OFFSET('Tabla VI.'!$H$1,0,I1711-1)</f>
        <v>02</v>
      </c>
      <c r="H1711" s="1298">
        <v>4</v>
      </c>
      <c r="I1711" s="1298">
        <v>2</v>
      </c>
      <c r="J1711" s="1298" t="str">
        <f ca="1">+'Tabla VI.'!$C$10</f>
        <v>Tabla VI.</v>
      </c>
      <c r="K1711" s="1298" t="str">
        <f>+K1709</f>
        <v>B</v>
      </c>
      <c r="L1711" s="1295"/>
    </row>
    <row r="1712" spans="1:14">
      <c r="A1712" s="1291" t="s">
        <v>2944</v>
      </c>
      <c r="B1712" s="1291" t="str">
        <f t="shared" ca="1" si="511"/>
        <v>202503</v>
      </c>
      <c r="C1712" s="1291" t="str">
        <f t="shared" ca="1" si="515"/>
        <v>v1</v>
      </c>
      <c r="D1712" s="1292" t="str">
        <f ca="1">+D1710</f>
        <v>18.01.01.02</v>
      </c>
      <c r="E1712" s="1291">
        <f t="shared" si="516"/>
        <v>0</v>
      </c>
      <c r="F1712" s="1293">
        <f ca="1">OFFSET('Tabla VI.'!$H$48,H1712-1,I1712-1)</f>
        <v>0</v>
      </c>
      <c r="G1712" s="1291" t="str">
        <f ca="1">OFFSET('Tabla VI.'!$H$1,0,I1712-1)</f>
        <v>03</v>
      </c>
      <c r="H1712" s="1294">
        <v>4</v>
      </c>
      <c r="I1712" s="1294">
        <v>3</v>
      </c>
      <c r="J1712" s="1294" t="str">
        <f ca="1">+'Tabla VI.'!$C$10</f>
        <v>Tabla VI.</v>
      </c>
      <c r="K1712" s="1294" t="str">
        <f>+K1710</f>
        <v>B</v>
      </c>
      <c r="L1712" s="1291"/>
    </row>
    <row r="1713" spans="1:12">
      <c r="A1713" s="1295" t="s">
        <v>2944</v>
      </c>
      <c r="B1713" s="1295" t="str">
        <f t="shared" ref="B1713" ca="1" si="517">IF(OR(G1713="01",G1713="02"),(IF(TRIM&gt;1,CONCATENATE(ANUAL,"0",TRIM-1),CONCATENATE(ANUAL-1,"04"))),PERIODO)</f>
        <v>202503</v>
      </c>
      <c r="C1713" s="1295" t="str">
        <f t="shared" ref="C1713" ca="1" si="518">IF(OR(G1713="01",G1713="02"),"v2","v1")</f>
        <v>v1</v>
      </c>
      <c r="D1713" s="1296" t="str">
        <f ca="1">OFFSET('Tabla VI.'!$F$48,H1713-1,0)</f>
        <v>18.01.01.02</v>
      </c>
      <c r="E1713" s="1295">
        <f t="shared" si="516"/>
        <v>0</v>
      </c>
      <c r="F1713" s="1297">
        <f ca="1">OFFSET('Tabla VI.'!$H$48,H1713-1,I1713-1)</f>
        <v>0</v>
      </c>
      <c r="G1713" s="1295" t="str">
        <f ca="1">OFFSET('Tabla VI.'!$H$1,0,I1713-1)</f>
        <v>09</v>
      </c>
      <c r="H1713" s="1298">
        <v>4</v>
      </c>
      <c r="I1713" s="1298">
        <v>9</v>
      </c>
      <c r="J1713" s="1298" t="str">
        <f ca="1">+'Tabla VI.'!$C$10</f>
        <v>Tabla VI.</v>
      </c>
      <c r="K1713" s="1298" t="str">
        <f>+K1711</f>
        <v>B</v>
      </c>
      <c r="L1713" s="1295"/>
    </row>
    <row r="1714" spans="1:12">
      <c r="A1714" s="1291" t="s">
        <v>2944</v>
      </c>
      <c r="B1714" s="1291" t="str">
        <f t="shared" ca="1" si="511"/>
        <v>202503</v>
      </c>
      <c r="C1714" s="1291" t="str">
        <f t="shared" ca="1" si="515"/>
        <v>v1</v>
      </c>
      <c r="D1714" s="1292" t="str">
        <f ca="1">+D1712</f>
        <v>18.01.01.02</v>
      </c>
      <c r="E1714" s="1291">
        <f t="shared" si="516"/>
        <v>0</v>
      </c>
      <c r="F1714" s="1293">
        <f ca="1">OFFSET('Tabla VI.'!$H$48,H1714-1,I1714-1)</f>
        <v>0</v>
      </c>
      <c r="G1714" s="1291" t="str">
        <f ca="1">OFFSET('Tabla VI.'!$H$1,0,I1714-1)</f>
        <v>10</v>
      </c>
      <c r="H1714" s="1294">
        <v>4</v>
      </c>
      <c r="I1714" s="1294">
        <v>10</v>
      </c>
      <c r="J1714" s="1294" t="str">
        <f ca="1">+'Tabla VI.'!$C$10</f>
        <v>Tabla VI.</v>
      </c>
      <c r="K1714" s="1294" t="str">
        <f>+K1710</f>
        <v>B</v>
      </c>
      <c r="L1714" s="1291"/>
    </row>
    <row r="1715" spans="1:12" s="103" customFormat="1">
      <c r="A1715" s="104" t="s">
        <v>2944</v>
      </c>
      <c r="B1715" s="104" t="str">
        <f t="shared" ca="1" si="511"/>
        <v>202502</v>
      </c>
      <c r="C1715" s="104" t="str">
        <f t="shared" ca="1" si="515"/>
        <v>v2</v>
      </c>
      <c r="D1715" s="455" t="str">
        <f ca="1">OFFSET('Tabla VI.'!$F$48,H1715-1,0)</f>
        <v>18.01.01.03</v>
      </c>
      <c r="E1715" s="104">
        <f t="shared" si="516"/>
        <v>0</v>
      </c>
      <c r="F1715" s="456">
        <f ca="1">OFFSET('Tabla VI.'!$H$48,H1715-1,I1715-1)</f>
        <v>0</v>
      </c>
      <c r="G1715" s="104" t="str">
        <f ca="1">OFFSET('Tabla VI.'!$H$1,0,I1715-1)</f>
        <v>01</v>
      </c>
      <c r="H1715" s="457">
        <v>5</v>
      </c>
      <c r="I1715" s="457">
        <v>1</v>
      </c>
      <c r="J1715" s="457" t="str">
        <f ca="1">+'Tabla VI.'!$C$10</f>
        <v>Tabla VI.</v>
      </c>
      <c r="K1715" s="457" t="str">
        <f>+K1714</f>
        <v>B</v>
      </c>
      <c r="L1715" s="104">
        <f>+L1710+1</f>
        <v>5</v>
      </c>
    </row>
    <row r="1716" spans="1:12" s="103" customFormat="1">
      <c r="A1716" s="104" t="s">
        <v>2944</v>
      </c>
      <c r="B1716" s="104" t="str">
        <f t="shared" ca="1" si="511"/>
        <v>202502</v>
      </c>
      <c r="C1716" s="104" t="str">
        <f t="shared" ca="1" si="515"/>
        <v>v2</v>
      </c>
      <c r="D1716" s="455" t="str">
        <f ca="1">+D1715</f>
        <v>18.01.01.03</v>
      </c>
      <c r="E1716" s="104">
        <f t="shared" si="516"/>
        <v>0</v>
      </c>
      <c r="F1716" s="456">
        <f ca="1">OFFSET('Tabla VI.'!$H$48,H1716-1,I1716-1)</f>
        <v>0</v>
      </c>
      <c r="G1716" s="104" t="str">
        <f ca="1">OFFSET('Tabla VI.'!$H$1,0,I1716-1)</f>
        <v>02</v>
      </c>
      <c r="H1716" s="457">
        <v>5</v>
      </c>
      <c r="I1716" s="457">
        <v>2</v>
      </c>
      <c r="J1716" s="457" t="str">
        <f ca="1">+'Tabla VI.'!$C$10</f>
        <v>Tabla VI.</v>
      </c>
      <c r="K1716" s="457" t="str">
        <f>+K1714</f>
        <v>B</v>
      </c>
      <c r="L1716" s="104"/>
    </row>
    <row r="1717" spans="1:12" s="103" customFormat="1">
      <c r="A1717" s="104" t="s">
        <v>2944</v>
      </c>
      <c r="B1717" s="104" t="str">
        <f t="shared" ca="1" si="511"/>
        <v>202503</v>
      </c>
      <c r="C1717" s="104" t="str">
        <f t="shared" ca="1" si="515"/>
        <v>v1</v>
      </c>
      <c r="D1717" s="455" t="str">
        <f ca="1">+D1716</f>
        <v>18.01.01.03</v>
      </c>
      <c r="E1717" s="104">
        <f t="shared" si="516"/>
        <v>0</v>
      </c>
      <c r="F1717" s="456">
        <f ca="1">OFFSET('Tabla VI.'!$H$48,H1717-1,I1717-1)</f>
        <v>0</v>
      </c>
      <c r="G1717" s="104" t="str">
        <f ca="1">OFFSET('Tabla VI.'!$H$1,0,I1717-1)</f>
        <v>03</v>
      </c>
      <c r="H1717" s="457">
        <v>5</v>
      </c>
      <c r="I1717" s="457">
        <v>3</v>
      </c>
      <c r="J1717" s="457" t="str">
        <f ca="1">+'Tabla VI.'!$C$10</f>
        <v>Tabla VI.</v>
      </c>
      <c r="K1717" s="457" t="str">
        <f>+K1715</f>
        <v>B</v>
      </c>
      <c r="L1717" s="104"/>
    </row>
    <row r="1718" spans="1:12" s="103" customFormat="1">
      <c r="A1718" s="104" t="s">
        <v>2944</v>
      </c>
      <c r="B1718" s="104" t="str">
        <f t="shared" ca="1" si="511"/>
        <v>202503</v>
      </c>
      <c r="C1718" s="104" t="str">
        <f t="shared" ca="1" si="515"/>
        <v>v1</v>
      </c>
      <c r="D1718" s="455" t="str">
        <f ca="1">+D1717</f>
        <v>18.01.01.03</v>
      </c>
      <c r="E1718" s="104">
        <f t="shared" si="516"/>
        <v>0</v>
      </c>
      <c r="F1718" s="456">
        <f ca="1">OFFSET('Tabla VI.'!$H$48,H1718-1,I1718-1)</f>
        <v>0</v>
      </c>
      <c r="G1718" s="104" t="str">
        <f ca="1">OFFSET('Tabla VI.'!$H$1,0,I1718-1)</f>
        <v>09</v>
      </c>
      <c r="H1718" s="457">
        <v>5</v>
      </c>
      <c r="I1718" s="457">
        <v>9</v>
      </c>
      <c r="J1718" s="457" t="str">
        <f ca="1">+'Tabla VI.'!$C$10</f>
        <v>Tabla VI.</v>
      </c>
      <c r="K1718" s="457" t="str">
        <f>+K1716</f>
        <v>B</v>
      </c>
      <c r="L1718" s="104"/>
    </row>
    <row r="1719" spans="1:12" s="103" customFormat="1">
      <c r="A1719" s="104" t="s">
        <v>2944</v>
      </c>
      <c r="B1719" s="104" t="str">
        <f t="shared" ca="1" si="511"/>
        <v>202503</v>
      </c>
      <c r="C1719" s="104" t="str">
        <f t="shared" ca="1" si="515"/>
        <v>v1</v>
      </c>
      <c r="D1719" s="455" t="str">
        <f ca="1">+D1718</f>
        <v>18.01.01.03</v>
      </c>
      <c r="E1719" s="104">
        <f t="shared" si="516"/>
        <v>0</v>
      </c>
      <c r="F1719" s="456">
        <f ca="1">OFFSET('Tabla VI.'!$H$48,H1719-1,I1719-1)</f>
        <v>0</v>
      </c>
      <c r="G1719" s="104" t="str">
        <f ca="1">OFFSET('Tabla VI.'!$H$1,0,I1719-1)</f>
        <v>10</v>
      </c>
      <c r="H1719" s="457">
        <v>5</v>
      </c>
      <c r="I1719" s="457">
        <v>10</v>
      </c>
      <c r="J1719" s="457" t="str">
        <f ca="1">+'Tabla VI.'!$C$10</f>
        <v>Tabla VI.</v>
      </c>
      <c r="K1719" s="457" t="str">
        <f>+K1715</f>
        <v>B</v>
      </c>
      <c r="L1719" s="104"/>
    </row>
    <row r="1720" spans="1:12">
      <c r="A1720" s="451" t="s">
        <v>2944</v>
      </c>
      <c r="B1720" s="451" t="str">
        <f t="shared" ca="1" si="511"/>
        <v>202502</v>
      </c>
      <c r="C1720" s="451" t="str">
        <f t="shared" ca="1" si="515"/>
        <v>v2</v>
      </c>
      <c r="D1720" s="452" t="str">
        <f ca="1">OFFSET('Tabla VI.'!$F$48,H1720-1,0)</f>
        <v>18.01.01.04</v>
      </c>
      <c r="E1720" s="451">
        <f t="shared" si="516"/>
        <v>0</v>
      </c>
      <c r="F1720" s="453">
        <f ca="1">OFFSET('Tabla VI.'!$H$48,H1720-1,I1720-1)</f>
        <v>0</v>
      </c>
      <c r="G1720" s="451" t="str">
        <f ca="1">OFFSET('Tabla VI.'!$H$1,0,I1720-1)</f>
        <v>01</v>
      </c>
      <c r="H1720" s="454">
        <v>6</v>
      </c>
      <c r="I1720" s="454">
        <v>1</v>
      </c>
      <c r="J1720" s="454" t="str">
        <f ca="1">+'Tabla VI.'!$C$10</f>
        <v>Tabla VI.</v>
      </c>
      <c r="K1720" s="454" t="str">
        <f>+K1719</f>
        <v>B</v>
      </c>
      <c r="L1720" s="451">
        <f>+L1715+1</f>
        <v>6</v>
      </c>
    </row>
    <row r="1721" spans="1:12">
      <c r="A1721" s="451" t="s">
        <v>2944</v>
      </c>
      <c r="B1721" s="451" t="str">
        <f t="shared" ca="1" si="511"/>
        <v>202502</v>
      </c>
      <c r="C1721" s="451" t="str">
        <f t="shared" ca="1" si="515"/>
        <v>v2</v>
      </c>
      <c r="D1721" s="452" t="str">
        <f ca="1">+D1720</f>
        <v>18.01.01.04</v>
      </c>
      <c r="E1721" s="451">
        <f t="shared" si="516"/>
        <v>0</v>
      </c>
      <c r="F1721" s="453">
        <f ca="1">OFFSET('Tabla VI.'!$H$48,H1721-1,I1721-1)</f>
        <v>0</v>
      </c>
      <c r="G1721" s="451" t="str">
        <f ca="1">OFFSET('Tabla VI.'!$H$1,0,I1721-1)</f>
        <v>02</v>
      </c>
      <c r="H1721" s="454">
        <v>6</v>
      </c>
      <c r="I1721" s="454">
        <v>2</v>
      </c>
      <c r="J1721" s="454" t="str">
        <f ca="1">+'Tabla VI.'!$C$10</f>
        <v>Tabla VI.</v>
      </c>
      <c r="K1721" s="454" t="str">
        <f>+K1719</f>
        <v>B</v>
      </c>
      <c r="L1721" s="451"/>
    </row>
    <row r="1722" spans="1:12">
      <c r="A1722" s="451" t="s">
        <v>2944</v>
      </c>
      <c r="B1722" s="451" t="str">
        <f t="shared" ca="1" si="511"/>
        <v>202503</v>
      </c>
      <c r="C1722" s="451" t="str">
        <f t="shared" ca="1" si="515"/>
        <v>v1</v>
      </c>
      <c r="D1722" s="452" t="str">
        <f ca="1">+D1721</f>
        <v>18.01.01.04</v>
      </c>
      <c r="E1722" s="451">
        <f t="shared" si="516"/>
        <v>0</v>
      </c>
      <c r="F1722" s="453">
        <f ca="1">OFFSET('Tabla VI.'!$H$48,H1722-1,I1722-1)</f>
        <v>0</v>
      </c>
      <c r="G1722" s="451" t="str">
        <f ca="1">OFFSET('Tabla VI.'!$H$1,0,I1722-1)</f>
        <v>03</v>
      </c>
      <c r="H1722" s="454">
        <v>6</v>
      </c>
      <c r="I1722" s="454">
        <v>3</v>
      </c>
      <c r="J1722" s="454" t="str">
        <f ca="1">+'Tabla VI.'!$C$10</f>
        <v>Tabla VI.</v>
      </c>
      <c r="K1722" s="454" t="str">
        <f>+K1720</f>
        <v>B</v>
      </c>
      <c r="L1722" s="451"/>
    </row>
    <row r="1723" spans="1:12">
      <c r="A1723" s="451" t="s">
        <v>2944</v>
      </c>
      <c r="B1723" s="451" t="str">
        <f t="shared" ca="1" si="511"/>
        <v>202503</v>
      </c>
      <c r="C1723" s="451" t="str">
        <f t="shared" ca="1" si="515"/>
        <v>v1</v>
      </c>
      <c r="D1723" s="452" t="str">
        <f ca="1">+D1722</f>
        <v>18.01.01.04</v>
      </c>
      <c r="E1723" s="451">
        <f t="shared" si="516"/>
        <v>0</v>
      </c>
      <c r="F1723" s="453">
        <f ca="1">OFFSET('Tabla VI.'!$H$48,H1723-1,I1723-1)</f>
        <v>0</v>
      </c>
      <c r="G1723" s="451" t="str">
        <f ca="1">OFFSET('Tabla VI.'!$H$1,0,I1723-1)</f>
        <v>09</v>
      </c>
      <c r="H1723" s="454">
        <v>6</v>
      </c>
      <c r="I1723" s="454">
        <v>9</v>
      </c>
      <c r="J1723" s="454" t="str">
        <f ca="1">+'Tabla VI.'!$C$10</f>
        <v>Tabla VI.</v>
      </c>
      <c r="K1723" s="454" t="str">
        <f>+K1719</f>
        <v>B</v>
      </c>
      <c r="L1723" s="451"/>
    </row>
    <row r="1724" spans="1:12">
      <c r="A1724" s="451" t="s">
        <v>2944</v>
      </c>
      <c r="B1724" s="451" t="str">
        <f t="shared" ca="1" si="511"/>
        <v>202503</v>
      </c>
      <c r="C1724" s="451" t="str">
        <f t="shared" ca="1" si="515"/>
        <v>v1</v>
      </c>
      <c r="D1724" s="452" t="str">
        <f ca="1">+D1723</f>
        <v>18.01.01.04</v>
      </c>
      <c r="E1724" s="451">
        <f t="shared" si="516"/>
        <v>0</v>
      </c>
      <c r="F1724" s="453">
        <f ca="1">OFFSET('Tabla VI.'!$H$48,H1724-1,I1724-1)</f>
        <v>0</v>
      </c>
      <c r="G1724" s="451" t="str">
        <f ca="1">OFFSET('Tabla VI.'!$H$1,0,I1724-1)</f>
        <v>10</v>
      </c>
      <c r="H1724" s="454">
        <v>6</v>
      </c>
      <c r="I1724" s="454">
        <v>10</v>
      </c>
      <c r="J1724" s="454" t="str">
        <f ca="1">+'Tabla VI.'!$C$10</f>
        <v>Tabla VI.</v>
      </c>
      <c r="K1724" s="454" t="str">
        <f>+K1720</f>
        <v>B</v>
      </c>
      <c r="L1724" s="451"/>
    </row>
    <row r="1725" spans="1:12">
      <c r="A1725" s="104" t="s">
        <v>2944</v>
      </c>
      <c r="B1725" s="104" t="str">
        <f t="shared" ca="1" si="511"/>
        <v>202502</v>
      </c>
      <c r="C1725" s="104" t="str">
        <f t="shared" ca="1" si="515"/>
        <v>v2</v>
      </c>
      <c r="D1725" s="455" t="str">
        <f ca="1">OFFSET('Tabla VI.'!$F$48,H1725-1,0)</f>
        <v>18.01.02.</v>
      </c>
      <c r="E1725" s="104">
        <f t="shared" si="516"/>
        <v>0</v>
      </c>
      <c r="F1725" s="456">
        <f ca="1">OFFSET('Tabla VI.'!$H$48,H1725-1,I1725-1)</f>
        <v>0</v>
      </c>
      <c r="G1725" s="104" t="str">
        <f ca="1">OFFSET('Tabla VI.'!$H$1,0,I1725-1)</f>
        <v>01</v>
      </c>
      <c r="H1725" s="457">
        <v>7</v>
      </c>
      <c r="I1725" s="457">
        <v>1</v>
      </c>
      <c r="J1725" s="457" t="str">
        <f ca="1">+'Tabla VI.'!$C$10</f>
        <v>Tabla VI.</v>
      </c>
      <c r="K1725" s="457" t="str">
        <f>+K1724</f>
        <v>B</v>
      </c>
      <c r="L1725" s="104">
        <f>+L1720+1</f>
        <v>7</v>
      </c>
    </row>
    <row r="1726" spans="1:12">
      <c r="A1726" s="104" t="s">
        <v>2944</v>
      </c>
      <c r="B1726" s="104" t="str">
        <f t="shared" ca="1" si="511"/>
        <v>202502</v>
      </c>
      <c r="C1726" s="104" t="str">
        <f t="shared" ca="1" si="515"/>
        <v>v2</v>
      </c>
      <c r="D1726" s="455" t="str">
        <f ca="1">+D1725</f>
        <v>18.01.02.</v>
      </c>
      <c r="E1726" s="104">
        <f t="shared" si="516"/>
        <v>0</v>
      </c>
      <c r="F1726" s="456">
        <f ca="1">OFFSET('Tabla VI.'!$H$48,H1726-1,I1726-1)</f>
        <v>0</v>
      </c>
      <c r="G1726" s="104" t="str">
        <f ca="1">OFFSET('Tabla VI.'!$H$1,0,I1726-1)</f>
        <v>02</v>
      </c>
      <c r="H1726" s="457">
        <v>7</v>
      </c>
      <c r="I1726" s="457">
        <v>2</v>
      </c>
      <c r="J1726" s="457" t="str">
        <f ca="1">+'Tabla VI.'!$C$10</f>
        <v>Tabla VI.</v>
      </c>
      <c r="K1726" s="457" t="str">
        <f>+K1724</f>
        <v>B</v>
      </c>
      <c r="L1726" s="104"/>
    </row>
    <row r="1727" spans="1:12">
      <c r="A1727" s="104" t="s">
        <v>2944</v>
      </c>
      <c r="B1727" s="104" t="str">
        <f t="shared" ca="1" si="511"/>
        <v>202503</v>
      </c>
      <c r="C1727" s="104" t="str">
        <f t="shared" ca="1" si="515"/>
        <v>v1</v>
      </c>
      <c r="D1727" s="455" t="str">
        <f ca="1">+D1726</f>
        <v>18.01.02.</v>
      </c>
      <c r="E1727" s="104">
        <f t="shared" si="516"/>
        <v>0</v>
      </c>
      <c r="F1727" s="456">
        <f ca="1">OFFSET('Tabla VI.'!$H$48,H1727-1,I1727-1)</f>
        <v>0</v>
      </c>
      <c r="G1727" s="104" t="str">
        <f ca="1">OFFSET('Tabla VI.'!$H$1,0,I1727-1)</f>
        <v>03</v>
      </c>
      <c r="H1727" s="457">
        <v>7</v>
      </c>
      <c r="I1727" s="457">
        <v>3</v>
      </c>
      <c r="J1727" s="457" t="str">
        <f ca="1">+'Tabla VI.'!$C$10</f>
        <v>Tabla VI.</v>
      </c>
      <c r="K1727" s="457" t="str">
        <f>+K1725</f>
        <v>B</v>
      </c>
      <c r="L1727" s="104"/>
    </row>
    <row r="1728" spans="1:12">
      <c r="A1728" s="104" t="s">
        <v>2944</v>
      </c>
      <c r="B1728" s="104" t="str">
        <f t="shared" ca="1" si="511"/>
        <v>202503</v>
      </c>
      <c r="C1728" s="104" t="str">
        <f t="shared" ca="1" si="515"/>
        <v>v1</v>
      </c>
      <c r="D1728" s="455" t="str">
        <f ca="1">+D1727</f>
        <v>18.01.02.</v>
      </c>
      <c r="E1728" s="104">
        <f t="shared" si="516"/>
        <v>0</v>
      </c>
      <c r="F1728" s="456">
        <f ca="1">OFFSET('Tabla VI.'!$H$48,H1728-1,I1728-1)</f>
        <v>0</v>
      </c>
      <c r="G1728" s="104" t="str">
        <f ca="1">OFFSET('Tabla VI.'!$H$1,0,I1728-1)</f>
        <v>09</v>
      </c>
      <c r="H1728" s="457">
        <v>7</v>
      </c>
      <c r="I1728" s="457">
        <v>9</v>
      </c>
      <c r="J1728" s="457" t="str">
        <f ca="1">+'Tabla VI.'!$C$10</f>
        <v>Tabla VI.</v>
      </c>
      <c r="K1728" s="457" t="str">
        <f>+K1724</f>
        <v>B</v>
      </c>
      <c r="L1728" s="104"/>
    </row>
    <row r="1729" spans="1:12">
      <c r="A1729" s="104" t="s">
        <v>2944</v>
      </c>
      <c r="B1729" s="104" t="str">
        <f t="shared" ca="1" si="511"/>
        <v>202503</v>
      </c>
      <c r="C1729" s="104" t="str">
        <f t="shared" ca="1" si="515"/>
        <v>v1</v>
      </c>
      <c r="D1729" s="455" t="str">
        <f ca="1">+D1728</f>
        <v>18.01.02.</v>
      </c>
      <c r="E1729" s="104">
        <f t="shared" si="516"/>
        <v>0</v>
      </c>
      <c r="F1729" s="456">
        <f ca="1">OFFSET('Tabla VI.'!$H$48,H1729-1,I1729-1)</f>
        <v>0</v>
      </c>
      <c r="G1729" s="104" t="str">
        <f ca="1">OFFSET('Tabla VI.'!$H$1,0,I1729-1)</f>
        <v>10</v>
      </c>
      <c r="H1729" s="457">
        <v>7</v>
      </c>
      <c r="I1729" s="457">
        <v>10</v>
      </c>
      <c r="J1729" s="457" t="str">
        <f ca="1">+'Tabla VI.'!$C$10</f>
        <v>Tabla VI.</v>
      </c>
      <c r="K1729" s="457" t="str">
        <f>+K1725</f>
        <v>B</v>
      </c>
      <c r="L1729" s="104"/>
    </row>
    <row r="1730" spans="1:12">
      <c r="A1730" s="451" t="s">
        <v>2944</v>
      </c>
      <c r="B1730" s="451" t="str">
        <f t="shared" ca="1" si="511"/>
        <v>202502</v>
      </c>
      <c r="C1730" s="451" t="str">
        <f t="shared" ca="1" si="515"/>
        <v>v2</v>
      </c>
      <c r="D1730" s="452" t="str">
        <f ca="1">OFFSET('Tabla VI.'!$F$48,H1730-1,0)</f>
        <v>18.01.03.</v>
      </c>
      <c r="E1730" s="451">
        <f t="shared" si="516"/>
        <v>0</v>
      </c>
      <c r="F1730" s="453">
        <f ca="1">OFFSET('Tabla VI.'!$H$48,H1730-1,I1730-1)</f>
        <v>0</v>
      </c>
      <c r="G1730" s="451" t="str">
        <f ca="1">OFFSET('Tabla VI.'!$H$1,0,I1730-1)</f>
        <v>01</v>
      </c>
      <c r="H1730" s="454">
        <v>8</v>
      </c>
      <c r="I1730" s="454">
        <v>1</v>
      </c>
      <c r="J1730" s="454" t="str">
        <f ca="1">+'Tabla VI.'!$C$10</f>
        <v>Tabla VI.</v>
      </c>
      <c r="K1730" s="454" t="str">
        <f>+K1729</f>
        <v>B</v>
      </c>
      <c r="L1730" s="451">
        <f>+L1725+1</f>
        <v>8</v>
      </c>
    </row>
    <row r="1731" spans="1:12">
      <c r="A1731" s="451" t="s">
        <v>2944</v>
      </c>
      <c r="B1731" s="451" t="str">
        <f t="shared" ca="1" si="511"/>
        <v>202502</v>
      </c>
      <c r="C1731" s="451" t="str">
        <f t="shared" ca="1" si="515"/>
        <v>v2</v>
      </c>
      <c r="D1731" s="452" t="str">
        <f ca="1">+D1730</f>
        <v>18.01.03.</v>
      </c>
      <c r="E1731" s="451">
        <f t="shared" si="516"/>
        <v>0</v>
      </c>
      <c r="F1731" s="453">
        <f ca="1">OFFSET('Tabla VI.'!$H$48,H1731-1,I1731-1)</f>
        <v>0</v>
      </c>
      <c r="G1731" s="451" t="str">
        <f ca="1">OFFSET('Tabla VI.'!$H$1,0,I1731-1)</f>
        <v>02</v>
      </c>
      <c r="H1731" s="454">
        <v>8</v>
      </c>
      <c r="I1731" s="454">
        <v>2</v>
      </c>
      <c r="J1731" s="454" t="str">
        <f ca="1">+'Tabla VI.'!$C$10</f>
        <v>Tabla VI.</v>
      </c>
      <c r="K1731" s="454" t="str">
        <f>+K1729</f>
        <v>B</v>
      </c>
      <c r="L1731" s="451"/>
    </row>
    <row r="1732" spans="1:12">
      <c r="A1732" s="451" t="s">
        <v>2944</v>
      </c>
      <c r="B1732" s="451" t="str">
        <f t="shared" ca="1" si="511"/>
        <v>202503</v>
      </c>
      <c r="C1732" s="451" t="str">
        <f t="shared" ca="1" si="515"/>
        <v>v1</v>
      </c>
      <c r="D1732" s="452" t="str">
        <f ca="1">+D1731</f>
        <v>18.01.03.</v>
      </c>
      <c r="E1732" s="451">
        <f t="shared" si="516"/>
        <v>0</v>
      </c>
      <c r="F1732" s="453">
        <f ca="1">OFFSET('Tabla VI.'!$H$48,H1732-1,I1732-1)</f>
        <v>0</v>
      </c>
      <c r="G1732" s="451" t="str">
        <f ca="1">OFFSET('Tabla VI.'!$H$1,0,I1732-1)</f>
        <v>03</v>
      </c>
      <c r="H1732" s="454">
        <v>8</v>
      </c>
      <c r="I1732" s="454">
        <v>3</v>
      </c>
      <c r="J1732" s="454" t="str">
        <f ca="1">+'Tabla VI.'!$C$10</f>
        <v>Tabla VI.</v>
      </c>
      <c r="K1732" s="454" t="str">
        <f>+K1730</f>
        <v>B</v>
      </c>
      <c r="L1732" s="451"/>
    </row>
    <row r="1733" spans="1:12">
      <c r="A1733" s="451" t="s">
        <v>2944</v>
      </c>
      <c r="B1733" s="451" t="str">
        <f t="shared" ca="1" si="511"/>
        <v>202503</v>
      </c>
      <c r="C1733" s="451" t="str">
        <f t="shared" ca="1" si="515"/>
        <v>v1</v>
      </c>
      <c r="D1733" s="452" t="str">
        <f ca="1">+D1732</f>
        <v>18.01.03.</v>
      </c>
      <c r="E1733" s="451">
        <f t="shared" si="516"/>
        <v>0</v>
      </c>
      <c r="F1733" s="453">
        <f ca="1">OFFSET('Tabla VI.'!$H$48,H1733-1,I1733-1)</f>
        <v>0</v>
      </c>
      <c r="G1733" s="451" t="str">
        <f ca="1">OFFSET('Tabla VI.'!$H$1,0,I1733-1)</f>
        <v>09</v>
      </c>
      <c r="H1733" s="454">
        <v>8</v>
      </c>
      <c r="I1733" s="454">
        <v>9</v>
      </c>
      <c r="J1733" s="454" t="str">
        <f ca="1">+'Tabla VI.'!$C$10</f>
        <v>Tabla VI.</v>
      </c>
      <c r="K1733" s="454" t="str">
        <f>+K1731</f>
        <v>B</v>
      </c>
      <c r="L1733" s="451"/>
    </row>
    <row r="1734" spans="1:12">
      <c r="A1734" s="451" t="s">
        <v>2944</v>
      </c>
      <c r="B1734" s="451" t="str">
        <f t="shared" ca="1" si="511"/>
        <v>202503</v>
      </c>
      <c r="C1734" s="451" t="str">
        <f t="shared" ca="1" si="515"/>
        <v>v1</v>
      </c>
      <c r="D1734" s="452" t="str">
        <f ca="1">+D1733</f>
        <v>18.01.03.</v>
      </c>
      <c r="E1734" s="451">
        <f t="shared" si="516"/>
        <v>0</v>
      </c>
      <c r="F1734" s="453">
        <f ca="1">OFFSET('Tabla VI.'!$H$48,H1734-1,I1734-1)</f>
        <v>0</v>
      </c>
      <c r="G1734" s="451" t="str">
        <f ca="1">OFFSET('Tabla VI.'!$H$1,0,I1734-1)</f>
        <v>10</v>
      </c>
      <c r="H1734" s="454">
        <v>8</v>
      </c>
      <c r="I1734" s="454">
        <v>10</v>
      </c>
      <c r="J1734" s="454" t="str">
        <f ca="1">+'Tabla VI.'!$C$10</f>
        <v>Tabla VI.</v>
      </c>
      <c r="K1734" s="454" t="str">
        <f>+K1730</f>
        <v>B</v>
      </c>
      <c r="L1734" s="451"/>
    </row>
    <row r="1735" spans="1:12">
      <c r="A1735" s="104" t="s">
        <v>2944</v>
      </c>
      <c r="B1735" s="104" t="str">
        <f>IF(TRIM=1,ANUAL-1,ANUAL&amp;"0"&amp;TRIM-1)</f>
        <v>202502</v>
      </c>
      <c r="C1735" s="104" t="str">
        <f t="shared" ref="C1735:C1752" ca="1" si="519">IF(G1735="01","v2","v1")</f>
        <v>v2</v>
      </c>
      <c r="D1735" s="455" t="str">
        <f ca="1">OFFSET('Panorama B. anterior'!$F$9,H1735-1,0)</f>
        <v>19.01.</v>
      </c>
      <c r="E1735" s="104">
        <f t="shared" si="516"/>
        <v>0</v>
      </c>
      <c r="F1735" s="456">
        <f ca="1">OFFSET('Panorama B. anterior'!$H$9,H1735-1,I1735-1)</f>
        <v>0</v>
      </c>
      <c r="G1735" s="104" t="str">
        <f ca="1">OFFSET('Tabla VI.'!$H$1,0,I1735-1)</f>
        <v>01</v>
      </c>
      <c r="H1735" s="104">
        <v>1</v>
      </c>
      <c r="I1735" s="104">
        <v>1</v>
      </c>
      <c r="J1735" s="457" t="str">
        <f ca="1">+'Panorama B. anterior'!$C$7</f>
        <v>Panorama B. anterior</v>
      </c>
      <c r="K1735" s="104" t="s">
        <v>2266</v>
      </c>
      <c r="L1735" s="4">
        <v>1</v>
      </c>
    </row>
    <row r="1736" spans="1:12">
      <c r="A1736" s="104" t="s">
        <v>2944</v>
      </c>
      <c r="B1736" s="104" t="str">
        <f>IF(TRIM=1,ANUAL-1,ANUAL&amp;"0"&amp;TRIM)</f>
        <v>202503</v>
      </c>
      <c r="C1736" s="104" t="str">
        <f t="shared" ca="1" si="519"/>
        <v>v1</v>
      </c>
      <c r="D1736" s="455" t="str">
        <f ca="1">+D1735</f>
        <v>19.01.</v>
      </c>
      <c r="E1736" s="104">
        <f t="shared" si="516"/>
        <v>0</v>
      </c>
      <c r="F1736" s="456">
        <f ca="1">OFFSET('Panorama B. anterior'!$H$9,H1736-1,I1736-1)</f>
        <v>0</v>
      </c>
      <c r="G1736" s="104" t="str">
        <f ca="1">OFFSET('Tabla VI.'!$H$1,0,I1736-1)</f>
        <v>02</v>
      </c>
      <c r="H1736" s="104">
        <f>+H1735</f>
        <v>1</v>
      </c>
      <c r="I1736" s="104">
        <f>+I1735+1</f>
        <v>2</v>
      </c>
      <c r="J1736" s="457" t="str">
        <f ca="1">+'Panorama B. anterior'!$C$7</f>
        <v>Panorama B. anterior</v>
      </c>
      <c r="K1736" s="104" t="s">
        <v>2266</v>
      </c>
    </row>
    <row r="1737" spans="1:12">
      <c r="A1737" s="451" t="s">
        <v>2944</v>
      </c>
      <c r="B1737" s="451" t="str">
        <f>IF(TRIM=1,ANUAL-1,ANUAL&amp;"0"&amp;TRIM-1)</f>
        <v>202502</v>
      </c>
      <c r="C1737" s="451" t="str">
        <f t="shared" ca="1" si="519"/>
        <v>v2</v>
      </c>
      <c r="D1737" s="452" t="str">
        <f ca="1">OFFSET('Panorama B. anterior'!$F$9,H1737-1,0)</f>
        <v>19.01.01.</v>
      </c>
      <c r="E1737" s="451">
        <f t="shared" si="516"/>
        <v>0</v>
      </c>
      <c r="F1737" s="453">
        <f ca="1">OFFSET('Panorama B. anterior'!$H$9,H1737-1,I1737-1)</f>
        <v>0</v>
      </c>
      <c r="G1737" s="451" t="str">
        <f ca="1">OFFSET('Tabla VI.'!$H$1,0,I1737-1)</f>
        <v>01</v>
      </c>
      <c r="H1737" s="454">
        <f>+H1735+1</f>
        <v>2</v>
      </c>
      <c r="I1737" s="454">
        <v>1</v>
      </c>
      <c r="J1737" s="454" t="str">
        <f ca="1">+'Panorama B. anterior'!$C$7</f>
        <v>Panorama B. anterior</v>
      </c>
      <c r="K1737" s="454" t="s">
        <v>2266</v>
      </c>
      <c r="L1737" s="4">
        <f>+L1735+1</f>
        <v>2</v>
      </c>
    </row>
    <row r="1738" spans="1:12">
      <c r="A1738" s="451" t="s">
        <v>2944</v>
      </c>
      <c r="B1738" s="451" t="str">
        <f>IF(TRIM=1,ANUAL-1,ANUAL&amp;"0"&amp;TRIM)</f>
        <v>202503</v>
      </c>
      <c r="C1738" s="451" t="str">
        <f t="shared" ca="1" si="519"/>
        <v>v1</v>
      </c>
      <c r="D1738" s="452" t="str">
        <f ca="1">+D1737</f>
        <v>19.01.01.</v>
      </c>
      <c r="E1738" s="451">
        <f t="shared" si="516"/>
        <v>0</v>
      </c>
      <c r="F1738" s="453">
        <f ca="1">OFFSET('Panorama B. anterior'!$H$9,H1738-1,I1738-1)</f>
        <v>0</v>
      </c>
      <c r="G1738" s="451" t="str">
        <f ca="1">OFFSET('Tabla VI.'!$H$1,0,I1738-1)</f>
        <v>02</v>
      </c>
      <c r="H1738" s="454">
        <f>+H1737</f>
        <v>2</v>
      </c>
      <c r="I1738" s="454">
        <f>+I1737+1</f>
        <v>2</v>
      </c>
      <c r="J1738" s="454" t="str">
        <f ca="1">+'Panorama B. anterior'!$C$7</f>
        <v>Panorama B. anterior</v>
      </c>
      <c r="K1738" s="454" t="s">
        <v>2266</v>
      </c>
    </row>
    <row r="1739" spans="1:12">
      <c r="A1739" s="104" t="s">
        <v>2944</v>
      </c>
      <c r="B1739" s="104" t="str">
        <f>IF(TRIM=1,ANUAL-1,ANUAL&amp;"0"&amp;TRIM-1)</f>
        <v>202502</v>
      </c>
      <c r="C1739" s="104" t="str">
        <f t="shared" ca="1" si="519"/>
        <v>v2</v>
      </c>
      <c r="D1739" s="455" t="str">
        <f ca="1">OFFSET('Panorama B. anterior'!$F$9,H1739-1,0)</f>
        <v>19.01.01.01.</v>
      </c>
      <c r="E1739" s="104">
        <f t="shared" si="516"/>
        <v>0</v>
      </c>
      <c r="F1739" s="456">
        <f ca="1">OFFSET('Panorama B. anterior'!$H$9,H1739-1,I1739-1)</f>
        <v>0</v>
      </c>
      <c r="G1739" s="104" t="str">
        <f ca="1">OFFSET('Tabla VI.'!$H$1,0,I1739-1)</f>
        <v>01</v>
      </c>
      <c r="H1739" s="104">
        <f>+H1737+1</f>
        <v>3</v>
      </c>
      <c r="I1739" s="104">
        <v>1</v>
      </c>
      <c r="J1739" s="457" t="str">
        <f ca="1">+'Panorama B. anterior'!$C$7</f>
        <v>Panorama B. anterior</v>
      </c>
      <c r="K1739" s="104" t="s">
        <v>2266</v>
      </c>
      <c r="L1739" s="4">
        <f>+L1737+1</f>
        <v>3</v>
      </c>
    </row>
    <row r="1740" spans="1:12">
      <c r="A1740" s="104" t="s">
        <v>2944</v>
      </c>
      <c r="B1740" s="104" t="str">
        <f>IF(TRIM=1,ANUAL-1,ANUAL&amp;"0"&amp;TRIM)</f>
        <v>202503</v>
      </c>
      <c r="C1740" s="104" t="str">
        <f t="shared" ca="1" si="519"/>
        <v>v1</v>
      </c>
      <c r="D1740" s="455" t="str">
        <f ca="1">+D1739</f>
        <v>19.01.01.01.</v>
      </c>
      <c r="E1740" s="104">
        <f t="shared" si="516"/>
        <v>0</v>
      </c>
      <c r="F1740" s="456">
        <f ca="1">OFFSET('Panorama B. anterior'!$H$9,H1740-1,I1740-1)</f>
        <v>0</v>
      </c>
      <c r="G1740" s="104" t="str">
        <f ca="1">OFFSET('Tabla VI.'!$H$1,0,I1740-1)</f>
        <v>02</v>
      </c>
      <c r="H1740" s="104">
        <f>+H1739</f>
        <v>3</v>
      </c>
      <c r="I1740" s="104">
        <f>+I1739+1</f>
        <v>2</v>
      </c>
      <c r="J1740" s="457" t="str">
        <f ca="1">+'Panorama B. anterior'!$C$7</f>
        <v>Panorama B. anterior</v>
      </c>
      <c r="K1740" s="104" t="s">
        <v>2266</v>
      </c>
    </row>
    <row r="1741" spans="1:12">
      <c r="A1741" s="451" t="s">
        <v>2944</v>
      </c>
      <c r="B1741" s="451" t="str">
        <f>IF(TRIM=1,ANUAL-1,ANUAL&amp;"0"&amp;TRIM-1)</f>
        <v>202502</v>
      </c>
      <c r="C1741" s="451" t="str">
        <f t="shared" ca="1" si="519"/>
        <v>v2</v>
      </c>
      <c r="D1741" s="452" t="str">
        <f ca="1">OFFSET('Panorama B. anterior'!$F$9,H1741-1,0)</f>
        <v>19.01.01.02.</v>
      </c>
      <c r="E1741" s="451">
        <f t="shared" si="516"/>
        <v>0</v>
      </c>
      <c r="F1741" s="453">
        <f ca="1">OFFSET('Panorama B. anterior'!$H$9,H1741-1,I1741-1)</f>
        <v>0</v>
      </c>
      <c r="G1741" s="451" t="str">
        <f ca="1">OFFSET('Tabla VI.'!$H$1,0,I1741-1)</f>
        <v>01</v>
      </c>
      <c r="H1741" s="454">
        <f>+H1739+1</f>
        <v>4</v>
      </c>
      <c r="I1741" s="454">
        <v>1</v>
      </c>
      <c r="J1741" s="454" t="str">
        <f ca="1">+'Panorama B. anterior'!$C$7</f>
        <v>Panorama B. anterior</v>
      </c>
      <c r="K1741" s="454" t="s">
        <v>2266</v>
      </c>
      <c r="L1741" s="4">
        <f>+L1739+1</f>
        <v>4</v>
      </c>
    </row>
    <row r="1742" spans="1:12">
      <c r="A1742" s="451" t="s">
        <v>2944</v>
      </c>
      <c r="B1742" s="451" t="str">
        <f>IF(TRIM=1,ANUAL-1,ANUAL&amp;"0"&amp;TRIM)</f>
        <v>202503</v>
      </c>
      <c r="C1742" s="451" t="str">
        <f t="shared" ca="1" si="519"/>
        <v>v1</v>
      </c>
      <c r="D1742" s="452" t="str">
        <f ca="1">+D1741</f>
        <v>19.01.01.02.</v>
      </c>
      <c r="E1742" s="451">
        <f t="shared" si="516"/>
        <v>0</v>
      </c>
      <c r="F1742" s="453">
        <f ca="1">OFFSET('Panorama B. anterior'!$H$9,H1742-1,I1742-1)</f>
        <v>0</v>
      </c>
      <c r="G1742" s="451" t="str">
        <f ca="1">OFFSET('Tabla VI.'!$H$1,0,I1742-1)</f>
        <v>02</v>
      </c>
      <c r="H1742" s="454">
        <f>+H1741</f>
        <v>4</v>
      </c>
      <c r="I1742" s="454">
        <f>+I1741+1</f>
        <v>2</v>
      </c>
      <c r="J1742" s="454" t="str">
        <f ca="1">+'Panorama B. anterior'!$C$7</f>
        <v>Panorama B. anterior</v>
      </c>
      <c r="K1742" s="454" t="s">
        <v>2266</v>
      </c>
    </row>
    <row r="1743" spans="1:12">
      <c r="A1743" s="104" t="s">
        <v>2944</v>
      </c>
      <c r="B1743" s="104" t="str">
        <f>IF(TRIM=1,ANUAL-1,ANUAL&amp;"0"&amp;TRIM-1)</f>
        <v>202502</v>
      </c>
      <c r="C1743" s="104" t="str">
        <f t="shared" ca="1" si="519"/>
        <v>v2</v>
      </c>
      <c r="D1743" s="455" t="str">
        <f ca="1">OFFSET('Panorama B. anterior'!$F$9,H1743-1,0)</f>
        <v>19.01.02.</v>
      </c>
      <c r="E1743" s="104">
        <f t="shared" si="516"/>
        <v>0</v>
      </c>
      <c r="F1743" s="456">
        <f ca="1">OFFSET('Panorama B. anterior'!$H$9,H1743-1,I1743-1)</f>
        <v>0</v>
      </c>
      <c r="G1743" s="104" t="str">
        <f ca="1">OFFSET('Tabla VI.'!$H$1,0,I1743-1)</f>
        <v>01</v>
      </c>
      <c r="H1743" s="104">
        <f>+H1741+1</f>
        <v>5</v>
      </c>
      <c r="I1743" s="104">
        <v>1</v>
      </c>
      <c r="J1743" s="457" t="str">
        <f ca="1">+'Panorama B. anterior'!$C$7</f>
        <v>Panorama B. anterior</v>
      </c>
      <c r="K1743" s="104" t="s">
        <v>2266</v>
      </c>
      <c r="L1743" s="4">
        <f>+L1741+1</f>
        <v>5</v>
      </c>
    </row>
    <row r="1744" spans="1:12">
      <c r="A1744" s="104" t="s">
        <v>2944</v>
      </c>
      <c r="B1744" s="104" t="str">
        <f>IF(TRIM=1,ANUAL-1,ANUAL&amp;"0"&amp;TRIM)</f>
        <v>202503</v>
      </c>
      <c r="C1744" s="104" t="str">
        <f t="shared" ca="1" si="519"/>
        <v>v1</v>
      </c>
      <c r="D1744" s="455" t="str">
        <f ca="1">+D1743</f>
        <v>19.01.02.</v>
      </c>
      <c r="E1744" s="104">
        <f>RUC</f>
        <v>0</v>
      </c>
      <c r="F1744" s="456">
        <f ca="1">OFFSET('Panorama B. anterior'!$H$9,H1744-1,I1744-1)</f>
        <v>0</v>
      </c>
      <c r="G1744" s="104" t="str">
        <f ca="1">OFFSET('Tabla VI.'!$H$1,0,I1744-1)</f>
        <v>02</v>
      </c>
      <c r="H1744" s="104">
        <f>+H1743</f>
        <v>5</v>
      </c>
      <c r="I1744" s="104">
        <f>+I1743+1</f>
        <v>2</v>
      </c>
      <c r="J1744" s="457" t="str">
        <f ca="1">+'Panorama B. anterior'!$C$7</f>
        <v>Panorama B. anterior</v>
      </c>
      <c r="K1744" s="104" t="s">
        <v>2266</v>
      </c>
    </row>
    <row r="1745" spans="1:12">
      <c r="A1745" s="451" t="s">
        <v>2944</v>
      </c>
      <c r="B1745" s="451" t="str">
        <f>IF(TRIM=1,ANUAL-1,ANUAL&amp;"0"&amp;TRIM-1)</f>
        <v>202502</v>
      </c>
      <c r="C1745" s="451" t="str">
        <f t="shared" ca="1" si="519"/>
        <v>v2</v>
      </c>
      <c r="D1745" s="452" t="str">
        <f ca="1">OFFSET('Panorama B. anterior'!$F$9,H1745-1,0)</f>
        <v>19.02.</v>
      </c>
      <c r="E1745" s="451">
        <f t="shared" si="516"/>
        <v>0</v>
      </c>
      <c r="F1745" s="453">
        <f ca="1">OFFSET('Panorama B. anterior'!$H$9,H1745-1,I1745-1)</f>
        <v>0</v>
      </c>
      <c r="G1745" s="451" t="str">
        <f ca="1">OFFSET('Tabla VI.'!$H$1,0,I1745-1)</f>
        <v>01</v>
      </c>
      <c r="H1745" s="454">
        <f>+H1743+1</f>
        <v>6</v>
      </c>
      <c r="I1745" s="454">
        <v>1</v>
      </c>
      <c r="J1745" s="454" t="str">
        <f ca="1">+'Panorama B. anterior'!$C$7</f>
        <v>Panorama B. anterior</v>
      </c>
      <c r="K1745" s="454" t="s">
        <v>2266</v>
      </c>
      <c r="L1745" s="4">
        <f>+L1743+1</f>
        <v>6</v>
      </c>
    </row>
    <row r="1746" spans="1:12">
      <c r="A1746" s="451" t="s">
        <v>2944</v>
      </c>
      <c r="B1746" s="451" t="str">
        <f>IF(TRIM=1,ANUAL-1,ANUAL&amp;"0"&amp;TRIM)</f>
        <v>202503</v>
      </c>
      <c r="C1746" s="451" t="str">
        <f t="shared" ca="1" si="519"/>
        <v>v1</v>
      </c>
      <c r="D1746" s="452" t="str">
        <f ca="1">+D1745</f>
        <v>19.02.</v>
      </c>
      <c r="E1746" s="451">
        <f>RUC</f>
        <v>0</v>
      </c>
      <c r="F1746" s="453">
        <f ca="1">OFFSET('Panorama B. anterior'!$H$9,H1746-1,I1746-1)</f>
        <v>0</v>
      </c>
      <c r="G1746" s="451" t="str">
        <f ca="1">OFFSET('Tabla VI.'!$H$1,0,I1746-1)</f>
        <v>02</v>
      </c>
      <c r="H1746" s="454">
        <f>+H1745</f>
        <v>6</v>
      </c>
      <c r="I1746" s="454">
        <f>+I1745+1</f>
        <v>2</v>
      </c>
      <c r="J1746" s="454" t="str">
        <f ca="1">+'Panorama B. anterior'!$C$7</f>
        <v>Panorama B. anterior</v>
      </c>
      <c r="K1746" s="454" t="s">
        <v>2266</v>
      </c>
    </row>
    <row r="1747" spans="1:12">
      <c r="A1747" s="104" t="s">
        <v>2944</v>
      </c>
      <c r="B1747" s="104" t="str">
        <f>IF(TRIM=1,ANUAL-1,ANUAL&amp;"0"&amp;TRIM-1)</f>
        <v>202502</v>
      </c>
      <c r="C1747" s="104" t="str">
        <f t="shared" ca="1" si="519"/>
        <v>v2</v>
      </c>
      <c r="D1747" s="455" t="str">
        <f ca="1">OFFSET('Panorama B. anterior'!$F$9,H1747-1,0)</f>
        <v>19.02.01.</v>
      </c>
      <c r="E1747" s="104">
        <f t="shared" si="516"/>
        <v>0</v>
      </c>
      <c r="F1747" s="456">
        <f ca="1">OFFSET('Panorama B. anterior'!$H$9,H1747-1,I1747-1)</f>
        <v>0</v>
      </c>
      <c r="G1747" s="104" t="str">
        <f ca="1">OFFSET('Tabla VI.'!$H$1,0,I1747-1)</f>
        <v>01</v>
      </c>
      <c r="H1747" s="104">
        <f>+H1745+1</f>
        <v>7</v>
      </c>
      <c r="I1747" s="104">
        <v>1</v>
      </c>
      <c r="J1747" s="457" t="str">
        <f ca="1">+'Panorama B. anterior'!$C$7</f>
        <v>Panorama B. anterior</v>
      </c>
      <c r="K1747" s="104" t="s">
        <v>2266</v>
      </c>
      <c r="L1747" s="4">
        <f>+L1745+1</f>
        <v>7</v>
      </c>
    </row>
    <row r="1748" spans="1:12">
      <c r="A1748" s="104" t="s">
        <v>2944</v>
      </c>
      <c r="B1748" s="104" t="str">
        <f>IF(TRIM=1,ANUAL-1,ANUAL&amp;"0"&amp;TRIM)</f>
        <v>202503</v>
      </c>
      <c r="C1748" s="104" t="str">
        <f t="shared" ca="1" si="519"/>
        <v>v1</v>
      </c>
      <c r="D1748" s="455" t="str">
        <f ca="1">+D1747</f>
        <v>19.02.01.</v>
      </c>
      <c r="E1748" s="104">
        <f>RUC</f>
        <v>0</v>
      </c>
      <c r="F1748" s="456">
        <f ca="1">OFFSET('Panorama B. anterior'!$H$9,H1748-1,I1748-1)</f>
        <v>0</v>
      </c>
      <c r="G1748" s="104" t="str">
        <f ca="1">OFFSET('Tabla VI.'!$H$1,0,I1748-1)</f>
        <v>02</v>
      </c>
      <c r="H1748" s="104">
        <f>+H1747</f>
        <v>7</v>
      </c>
      <c r="I1748" s="104">
        <f>+I1747+1</f>
        <v>2</v>
      </c>
      <c r="J1748" s="457" t="str">
        <f ca="1">+'Panorama B. anterior'!$C$7</f>
        <v>Panorama B. anterior</v>
      </c>
      <c r="K1748" s="104" t="s">
        <v>2266</v>
      </c>
    </row>
    <row r="1749" spans="1:12">
      <c r="A1749" s="451" t="s">
        <v>2944</v>
      </c>
      <c r="B1749" s="451" t="str">
        <f>IF(TRIM=1,ANUAL-1,ANUAL&amp;"0"&amp;TRIM-1)</f>
        <v>202502</v>
      </c>
      <c r="C1749" s="451" t="str">
        <f t="shared" ca="1" si="519"/>
        <v>v2</v>
      </c>
      <c r="D1749" s="452" t="str">
        <f ca="1">OFFSET('Panorama B. anterior'!$F$9,H1749-1,0)</f>
        <v>19.02.02.</v>
      </c>
      <c r="E1749" s="451">
        <f t="shared" si="516"/>
        <v>0</v>
      </c>
      <c r="F1749" s="453">
        <f ca="1">OFFSET('Panorama B. anterior'!$H$9,H1749-1,I1749-1)</f>
        <v>0</v>
      </c>
      <c r="G1749" s="451" t="str">
        <f ca="1">OFFSET('Tabla VI.'!$H$1,0,I1749-1)</f>
        <v>01</v>
      </c>
      <c r="H1749" s="454">
        <f>+H1747+1</f>
        <v>8</v>
      </c>
      <c r="I1749" s="454">
        <v>1</v>
      </c>
      <c r="J1749" s="454" t="str">
        <f ca="1">+'Panorama B. anterior'!$C$7</f>
        <v>Panorama B. anterior</v>
      </c>
      <c r="K1749" s="454" t="s">
        <v>2266</v>
      </c>
      <c r="L1749" s="4">
        <f>+L1747+1</f>
        <v>8</v>
      </c>
    </row>
    <row r="1750" spans="1:12">
      <c r="A1750" s="451" t="s">
        <v>2944</v>
      </c>
      <c r="B1750" s="451" t="str">
        <f>IF(TRIM=1,ANUAL-1,ANUAL&amp;"0"&amp;TRIM)</f>
        <v>202503</v>
      </c>
      <c r="C1750" s="451" t="str">
        <f t="shared" ca="1" si="519"/>
        <v>v1</v>
      </c>
      <c r="D1750" s="452" t="str">
        <f ca="1">+D1749</f>
        <v>19.02.02.</v>
      </c>
      <c r="E1750" s="451">
        <f>RUC</f>
        <v>0</v>
      </c>
      <c r="F1750" s="453">
        <f ca="1">OFFSET('Panorama B. anterior'!$H$9,H1750-1,I1750-1)</f>
        <v>0</v>
      </c>
      <c r="G1750" s="451" t="str">
        <f ca="1">OFFSET('Tabla VI.'!$H$1,0,I1750-1)</f>
        <v>02</v>
      </c>
      <c r="H1750" s="454">
        <f>+H1749</f>
        <v>8</v>
      </c>
      <c r="I1750" s="454">
        <f>+I1749+1</f>
        <v>2</v>
      </c>
      <c r="J1750" s="454" t="str">
        <f ca="1">+'Panorama B. anterior'!$C$7</f>
        <v>Panorama B. anterior</v>
      </c>
      <c r="K1750" s="454" t="s">
        <v>2266</v>
      </c>
    </row>
    <row r="1751" spans="1:12">
      <c r="A1751" s="104" t="s">
        <v>2944</v>
      </c>
      <c r="B1751" s="104" t="str">
        <f>IF(TRIM=1,ANUAL-1,ANUAL&amp;"0"&amp;TRIM-1)</f>
        <v>202502</v>
      </c>
      <c r="C1751" s="104" t="str">
        <f t="shared" ca="1" si="519"/>
        <v>v2</v>
      </c>
      <c r="D1751" s="455" t="str">
        <f ca="1">OFFSET('Panorama B. anterior'!$F$9,H1751-1,0)</f>
        <v>19.99.</v>
      </c>
      <c r="E1751" s="104">
        <f t="shared" si="516"/>
        <v>0</v>
      </c>
      <c r="F1751" s="456">
        <f ca="1">OFFSET('Panorama B. anterior'!$H$9,H1751-1,I1751-1)</f>
        <v>0</v>
      </c>
      <c r="G1751" s="104" t="str">
        <f ca="1">OFFSET('Tabla VI.'!$H$1,0,I1751-1)</f>
        <v>01</v>
      </c>
      <c r="H1751" s="104">
        <f>+H1749+1</f>
        <v>9</v>
      </c>
      <c r="I1751" s="104">
        <v>1</v>
      </c>
      <c r="J1751" s="457" t="str">
        <f ca="1">+'Panorama B. anterior'!$C$7</f>
        <v>Panorama B. anterior</v>
      </c>
      <c r="K1751" s="104" t="s">
        <v>2266</v>
      </c>
      <c r="L1751" s="4">
        <f>+L1749+1</f>
        <v>9</v>
      </c>
    </row>
    <row r="1752" spans="1:12">
      <c r="A1752" s="104" t="s">
        <v>2944</v>
      </c>
      <c r="B1752" s="104" t="str">
        <f>IF(TRIM=1,ANUAL-1,ANUAL&amp;"0"&amp;TRIM)</f>
        <v>202503</v>
      </c>
      <c r="C1752" s="104" t="str">
        <f t="shared" ca="1" si="519"/>
        <v>v1</v>
      </c>
      <c r="D1752" s="455" t="str">
        <f ca="1">+D1751</f>
        <v>19.99.</v>
      </c>
      <c r="E1752" s="104">
        <f>RUC</f>
        <v>0</v>
      </c>
      <c r="F1752" s="456">
        <f ca="1">OFFSET('Panorama B. anterior'!$H$9,H1752-1,I1752-1)</f>
        <v>0</v>
      </c>
      <c r="G1752" s="104" t="str">
        <f ca="1">OFFSET('Tabla VI.'!$H$1,0,I1752-1)</f>
        <v>02</v>
      </c>
      <c r="H1752" s="104">
        <f>+H1751</f>
        <v>9</v>
      </c>
      <c r="I1752" s="104">
        <f>+I1751+1</f>
        <v>2</v>
      </c>
      <c r="J1752" s="457" t="str">
        <f ca="1">+'Panorama B. anterior'!$C$7</f>
        <v>Panorama B. anterior</v>
      </c>
      <c r="K1752" s="104" t="s">
        <v>2266</v>
      </c>
    </row>
    <row r="1753" spans="1:12">
      <c r="A1753" s="451" t="s">
        <v>2944</v>
      </c>
      <c r="B1753" s="451" t="str">
        <f t="shared" ref="B1753:B1760" si="520">ANUAL&amp;"0"&amp;TRIM</f>
        <v>202503</v>
      </c>
      <c r="C1753" s="451" t="s">
        <v>2945</v>
      </c>
      <c r="D1753" s="452" t="str">
        <f ca="1">OFFSET('Panorama C.'!$F$10,H1753-1,0)</f>
        <v>20.01.</v>
      </c>
      <c r="E1753" s="451">
        <f t="shared" si="516"/>
        <v>0</v>
      </c>
      <c r="F1753" s="453">
        <f ca="1">OFFSET('Panorama C.'!$H$10,H1753-1,I1753-1)</f>
        <v>0</v>
      </c>
      <c r="G1753" s="451" t="str">
        <f ca="1">OFFSET('Tabla VI.'!$H$1,0,I1753-1)</f>
        <v>01</v>
      </c>
      <c r="H1753" s="454">
        <v>1</v>
      </c>
      <c r="I1753" s="454">
        <v>1</v>
      </c>
      <c r="J1753" s="454" t="str">
        <f ca="1">+'Panorama C.'!$C$7</f>
        <v>Panorama C.</v>
      </c>
      <c r="K1753" s="454" t="s">
        <v>2266</v>
      </c>
      <c r="L1753" s="454">
        <v>1</v>
      </c>
    </row>
    <row r="1754" spans="1:12">
      <c r="A1754" s="104" t="s">
        <v>2944</v>
      </c>
      <c r="B1754" s="104" t="str">
        <f t="shared" si="520"/>
        <v>202503</v>
      </c>
      <c r="C1754" s="104" t="s">
        <v>2945</v>
      </c>
      <c r="D1754" s="455" t="str">
        <f ca="1">OFFSET('Panorama C.'!$F$10,H1754-1,0)</f>
        <v>20.01.01.</v>
      </c>
      <c r="E1754" s="104">
        <f t="shared" si="516"/>
        <v>0</v>
      </c>
      <c r="F1754" s="456">
        <f ca="1">OFFSET('Panorama C.'!$H$10,H1754-1,I1754-1)</f>
        <v>0</v>
      </c>
      <c r="G1754" s="104" t="str">
        <f ca="1">OFFSET('Tabla VI.'!$H$1,0,I1754-1)</f>
        <v>01</v>
      </c>
      <c r="H1754" s="104">
        <f>+H1753+1</f>
        <v>2</v>
      </c>
      <c r="I1754" s="104">
        <v>1</v>
      </c>
      <c r="J1754" s="457" t="str">
        <f ca="1">+'Panorama C.'!$C$7</f>
        <v>Panorama C.</v>
      </c>
      <c r="K1754" s="104" t="s">
        <v>2266</v>
      </c>
      <c r="L1754" s="457">
        <f t="shared" ref="L1754:L1760" si="521">+L1753+1</f>
        <v>2</v>
      </c>
    </row>
    <row r="1755" spans="1:12">
      <c r="A1755" s="451" t="s">
        <v>2944</v>
      </c>
      <c r="B1755" s="451" t="str">
        <f t="shared" si="520"/>
        <v>202503</v>
      </c>
      <c r="C1755" s="451" t="s">
        <v>2945</v>
      </c>
      <c r="D1755" s="452" t="str">
        <f ca="1">OFFSET('Panorama C.'!$F$10,H1755-1,0)</f>
        <v>20.01.02.</v>
      </c>
      <c r="E1755" s="451">
        <f t="shared" si="516"/>
        <v>0</v>
      </c>
      <c r="F1755" s="453">
        <f ca="1">OFFSET('Panorama C.'!$H$10,H1755-1,I1755-1)</f>
        <v>0</v>
      </c>
      <c r="G1755" s="451" t="str">
        <f ca="1">OFFSET('Tabla VI.'!$H$1,0,I1755-1)</f>
        <v>01</v>
      </c>
      <c r="H1755" s="454">
        <f>+H1754+1</f>
        <v>3</v>
      </c>
      <c r="I1755" s="454">
        <v>1</v>
      </c>
      <c r="J1755" s="454" t="str">
        <f ca="1">+'Panorama C.'!$C$7</f>
        <v>Panorama C.</v>
      </c>
      <c r="K1755" s="454" t="s">
        <v>2266</v>
      </c>
      <c r="L1755" s="454">
        <f t="shared" si="521"/>
        <v>3</v>
      </c>
    </row>
    <row r="1756" spans="1:12">
      <c r="A1756" s="104" t="s">
        <v>2944</v>
      </c>
      <c r="B1756" s="104" t="str">
        <f t="shared" si="520"/>
        <v>202503</v>
      </c>
      <c r="C1756" s="104" t="s">
        <v>2945</v>
      </c>
      <c r="D1756" s="455" t="str">
        <f ca="1">OFFSET('Panorama C.'!$F$10,H1756-1,0)</f>
        <v>20.02.</v>
      </c>
      <c r="E1756" s="104">
        <f t="shared" si="516"/>
        <v>0</v>
      </c>
      <c r="F1756" s="456">
        <f ca="1">OFFSET('Panorama C.'!$H$10,H1756-1,I1756-1)</f>
        <v>0</v>
      </c>
      <c r="G1756" s="104" t="str">
        <f ca="1">OFFSET('Tabla VI.'!$H$1,0,I1756-1)</f>
        <v>01</v>
      </c>
      <c r="H1756" s="104">
        <f>+H1755+1</f>
        <v>4</v>
      </c>
      <c r="I1756" s="104">
        <v>1</v>
      </c>
      <c r="J1756" s="457" t="str">
        <f ca="1">+'Panorama C.'!$C$7</f>
        <v>Panorama C.</v>
      </c>
      <c r="K1756" s="104" t="s">
        <v>2266</v>
      </c>
      <c r="L1756" s="457">
        <f t="shared" si="521"/>
        <v>4</v>
      </c>
    </row>
    <row r="1757" spans="1:12">
      <c r="A1757" s="451" t="s">
        <v>2944</v>
      </c>
      <c r="B1757" s="451" t="str">
        <f t="shared" si="520"/>
        <v>202503</v>
      </c>
      <c r="C1757" s="451" t="s">
        <v>2945</v>
      </c>
      <c r="D1757" s="452" t="str">
        <f ca="1">OFFSET('Panorama C.'!$F$10,H1757-1,0)</f>
        <v>21.01.</v>
      </c>
      <c r="E1757" s="451">
        <f t="shared" si="516"/>
        <v>0</v>
      </c>
      <c r="F1757" s="453">
        <f ca="1">OFFSET('Panorama C.'!$H$10,H1757-1,I1757-1)</f>
        <v>0</v>
      </c>
      <c r="G1757" s="451" t="str">
        <f ca="1">OFFSET('Tabla VI.'!$H$1,0,I1757-1)</f>
        <v>01</v>
      </c>
      <c r="H1757" s="454">
        <v>6</v>
      </c>
      <c r="I1757" s="454">
        <v>1</v>
      </c>
      <c r="J1757" s="454" t="str">
        <f ca="1">+'Panorama C.'!$C$7</f>
        <v>Panorama C.</v>
      </c>
      <c r="K1757" s="454" t="s">
        <v>2266</v>
      </c>
      <c r="L1757" s="454">
        <f t="shared" si="521"/>
        <v>5</v>
      </c>
    </row>
    <row r="1758" spans="1:12">
      <c r="A1758" s="104" t="s">
        <v>2944</v>
      </c>
      <c r="B1758" s="104" t="str">
        <f t="shared" si="520"/>
        <v>202503</v>
      </c>
      <c r="C1758" s="104" t="s">
        <v>2945</v>
      </c>
      <c r="D1758" s="455" t="str">
        <f ca="1">OFFSET('Panorama C.'!$F$10,H1758-1,0)</f>
        <v>21.01.01.</v>
      </c>
      <c r="E1758" s="104">
        <f t="shared" si="516"/>
        <v>0</v>
      </c>
      <c r="F1758" s="456">
        <f ca="1">OFFSET('Panorama C.'!$H$10,H1758-1,I1758-1)</f>
        <v>0</v>
      </c>
      <c r="G1758" s="104" t="str">
        <f ca="1">OFFSET('Tabla VI.'!$H$1,0,I1758-1)</f>
        <v>01</v>
      </c>
      <c r="H1758" s="104">
        <f>+H1757+1</f>
        <v>7</v>
      </c>
      <c r="I1758" s="104">
        <v>1</v>
      </c>
      <c r="J1758" s="457" t="str">
        <f ca="1">+'Panorama C.'!$C$7</f>
        <v>Panorama C.</v>
      </c>
      <c r="K1758" s="104" t="s">
        <v>2266</v>
      </c>
      <c r="L1758" s="457">
        <f t="shared" si="521"/>
        <v>6</v>
      </c>
    </row>
    <row r="1759" spans="1:12">
      <c r="A1759" s="451" t="s">
        <v>2944</v>
      </c>
      <c r="B1759" s="451" t="str">
        <f t="shared" si="520"/>
        <v>202503</v>
      </c>
      <c r="C1759" s="451" t="s">
        <v>2945</v>
      </c>
      <c r="D1759" s="452" t="str">
        <f ca="1">OFFSET('Panorama C.'!$F$10,H1759-1,0)</f>
        <v>21.01.02.</v>
      </c>
      <c r="E1759" s="451">
        <f t="shared" si="516"/>
        <v>0</v>
      </c>
      <c r="F1759" s="453">
        <f ca="1">OFFSET('Panorama C.'!$H$10,H1759-1,I1759-1)</f>
        <v>0</v>
      </c>
      <c r="G1759" s="451" t="str">
        <f ca="1">OFFSET('Tabla VI.'!$H$1,0,I1759-1)</f>
        <v>01</v>
      </c>
      <c r="H1759" s="454">
        <f>+H1758+1</f>
        <v>8</v>
      </c>
      <c r="I1759" s="454">
        <v>1</v>
      </c>
      <c r="J1759" s="454" t="str">
        <f ca="1">+'Panorama C.'!$C$7</f>
        <v>Panorama C.</v>
      </c>
      <c r="K1759" s="454" t="s">
        <v>2266</v>
      </c>
      <c r="L1759" s="454">
        <f t="shared" si="521"/>
        <v>7</v>
      </c>
    </row>
    <row r="1760" spans="1:12">
      <c r="A1760" s="104" t="s">
        <v>2944</v>
      </c>
      <c r="B1760" s="104" t="str">
        <f t="shared" si="520"/>
        <v>202503</v>
      </c>
      <c r="C1760" s="104" t="s">
        <v>2945</v>
      </c>
      <c r="D1760" s="455" t="str">
        <f ca="1">OFFSET('Panorama C.'!$F$10,H1760-1,0)</f>
        <v>21.02.</v>
      </c>
      <c r="E1760" s="104">
        <f t="shared" si="516"/>
        <v>0</v>
      </c>
      <c r="F1760" s="456">
        <f ca="1">OFFSET('Panorama C.'!$H$10,H1760-1,I1760-1)</f>
        <v>0</v>
      </c>
      <c r="G1760" s="104" t="str">
        <f ca="1">OFFSET('Tabla VI.'!$H$1,0,I1760-1)</f>
        <v>01</v>
      </c>
      <c r="H1760" s="104">
        <f>+H1759+1</f>
        <v>9</v>
      </c>
      <c r="I1760" s="104">
        <v>1</v>
      </c>
      <c r="J1760" s="457" t="str">
        <f ca="1">+'Panorama C.'!$C$7</f>
        <v>Panorama C.</v>
      </c>
      <c r="K1760" s="104" t="s">
        <v>2266</v>
      </c>
      <c r="L1760" s="457">
        <f t="shared" si="521"/>
        <v>8</v>
      </c>
    </row>
  </sheetData>
  <autoFilter ref="A1:L1760" xr:uid="{00000000-0001-0000-1B00-000000000000}"/>
  <conditionalFormatting sqref="F2:F1760">
    <cfRule type="cellIs" dxfId="0" priority="1" operator="notEqual">
      <formula>0</formula>
    </cfRule>
  </conditionalFormatting>
  <printOptions horizontalCentered="1" verticalCentered="1" headings="1" gridLines="1"/>
  <pageMargins left="0.35433070866141736" right="0.39370078740157483" top="0.27559055118110237" bottom="0.27559055118110237" header="0" footer="0"/>
  <pageSetup paperSize="9" scale="12" fitToHeight="6" orientation="landscape" r:id="rId1"/>
  <headerFooter alignWithMargins="0"/>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2">
    <tabColor rgb="FF00B0F0"/>
  </sheetPr>
  <dimension ref="B1:F41"/>
  <sheetViews>
    <sheetView zoomScale="90" zoomScaleNormal="90" workbookViewId="0">
      <pane xSplit="1" ySplit="3" topLeftCell="B17" activePane="bottomRight" state="frozen"/>
      <selection pane="topRight" activeCell="B1" sqref="B1"/>
      <selection pane="bottomLeft" activeCell="A4" sqref="A4"/>
      <selection pane="bottomRight" activeCell="G12" sqref="G12"/>
    </sheetView>
  </sheetViews>
  <sheetFormatPr baseColWidth="10" defaultColWidth="11.42578125" defaultRowHeight="12.75"/>
  <cols>
    <col min="1" max="1" width="3.140625" customWidth="1"/>
    <col min="2" max="2" width="11.42578125" style="12"/>
    <col min="3" max="3" width="12.7109375" style="12" customWidth="1"/>
    <col min="4" max="4" width="19.42578125" style="12" customWidth="1"/>
    <col min="5" max="5" width="78.85546875" customWidth="1"/>
  </cols>
  <sheetData>
    <row r="1" spans="2:6" ht="13.5" thickBot="1"/>
    <row r="2" spans="2:6" ht="30.75" thickTop="1" thickBot="1">
      <c r="B2" s="2537" t="s">
        <v>2947</v>
      </c>
      <c r="C2" s="2538"/>
      <c r="D2" s="2538"/>
      <c r="E2" s="2538"/>
      <c r="F2" s="2539"/>
    </row>
    <row r="3" spans="2:6" ht="51" customHeight="1" thickTop="1" thickBot="1">
      <c r="B3" s="1136" t="s">
        <v>2948</v>
      </c>
      <c r="C3" s="1208" t="s">
        <v>2949</v>
      </c>
      <c r="D3" s="1137" t="s">
        <v>2950</v>
      </c>
      <c r="E3" s="1143" t="s">
        <v>2951</v>
      </c>
      <c r="F3" s="1213" t="s">
        <v>2952</v>
      </c>
    </row>
    <row r="4" spans="2:6" s="51" customFormat="1" ht="38.25" customHeight="1" thickTop="1">
      <c r="B4" s="1126"/>
      <c r="C4" s="1131">
        <v>43593</v>
      </c>
      <c r="D4" s="1210" t="s">
        <v>2953</v>
      </c>
      <c r="E4" s="1178" t="s">
        <v>2954</v>
      </c>
      <c r="F4" s="1219" t="s">
        <v>2955</v>
      </c>
    </row>
    <row r="5" spans="2:6" s="51" customFormat="1" ht="46.5" customHeight="1">
      <c r="B5" s="1127"/>
      <c r="C5" s="1132">
        <v>43600</v>
      </c>
      <c r="D5" s="1211" t="s">
        <v>2956</v>
      </c>
      <c r="E5" s="1209" t="s">
        <v>2957</v>
      </c>
      <c r="F5" s="1219"/>
    </row>
    <row r="6" spans="2:6" s="51" customFormat="1" ht="46.5" customHeight="1">
      <c r="B6" s="1127"/>
      <c r="C6" s="1132">
        <v>43600</v>
      </c>
      <c r="D6" s="1212" t="s">
        <v>2958</v>
      </c>
      <c r="E6" s="1209" t="s">
        <v>2959</v>
      </c>
      <c r="F6" s="1219"/>
    </row>
    <row r="7" spans="2:6" s="51" customFormat="1" ht="45">
      <c r="B7" s="1128"/>
      <c r="C7" s="1132">
        <v>43602</v>
      </c>
      <c r="D7" s="1212" t="s">
        <v>2960</v>
      </c>
      <c r="E7" s="1146" t="s">
        <v>2961</v>
      </c>
      <c r="F7" s="1219" t="s">
        <v>2955</v>
      </c>
    </row>
    <row r="8" spans="2:6" s="51" customFormat="1" ht="26.25" customHeight="1">
      <c r="B8" s="1128"/>
      <c r="C8" s="1132">
        <v>43643</v>
      </c>
      <c r="D8" s="1211" t="s">
        <v>2962</v>
      </c>
      <c r="E8" s="1147" t="s">
        <v>2963</v>
      </c>
      <c r="F8" s="1219"/>
    </row>
    <row r="9" spans="2:6" s="51" customFormat="1" ht="27" customHeight="1">
      <c r="B9" s="1128"/>
      <c r="C9" s="1132">
        <v>43647</v>
      </c>
      <c r="D9" s="1211" t="s">
        <v>2964</v>
      </c>
      <c r="E9" s="1147" t="s">
        <v>2965</v>
      </c>
      <c r="F9" s="1219"/>
    </row>
    <row r="10" spans="2:6" s="51" customFormat="1" ht="34.5" customHeight="1">
      <c r="B10" s="1128"/>
      <c r="C10" s="1132">
        <v>43647</v>
      </c>
      <c r="D10" s="1211" t="s">
        <v>2966</v>
      </c>
      <c r="E10" s="1147" t="s">
        <v>2967</v>
      </c>
      <c r="F10" s="1219"/>
    </row>
    <row r="11" spans="2:6" s="51" customFormat="1" ht="64.5" customHeight="1">
      <c r="B11" s="1128"/>
      <c r="C11" s="1132">
        <v>43647</v>
      </c>
      <c r="D11" s="1212" t="s">
        <v>2968</v>
      </c>
      <c r="E11" s="1147" t="s">
        <v>2969</v>
      </c>
      <c r="F11" s="1219"/>
    </row>
    <row r="12" spans="2:6" s="51" customFormat="1" ht="42" customHeight="1">
      <c r="B12" s="1128"/>
      <c r="C12" s="1132">
        <v>43647</v>
      </c>
      <c r="D12" s="1212" t="s">
        <v>2970</v>
      </c>
      <c r="E12" s="1147" t="s">
        <v>2971</v>
      </c>
      <c r="F12" s="1219"/>
    </row>
    <row r="13" spans="2:6" s="51" customFormat="1" ht="39.75" customHeight="1">
      <c r="B13" s="1286"/>
      <c r="C13" s="1159">
        <v>43648</v>
      </c>
      <c r="D13" s="1287" t="s">
        <v>2968</v>
      </c>
      <c r="E13" s="1161" t="s">
        <v>2972</v>
      </c>
      <c r="F13" s="1288"/>
    </row>
    <row r="14" spans="2:6" s="51" customFormat="1" ht="36.75" customHeight="1">
      <c r="B14" s="1128"/>
      <c r="C14" s="1289">
        <v>43748</v>
      </c>
      <c r="D14" s="1211" t="s">
        <v>2973</v>
      </c>
      <c r="E14" s="1290" t="s">
        <v>2974</v>
      </c>
      <c r="F14" s="1299"/>
    </row>
    <row r="15" spans="2:6" s="51" customFormat="1" ht="27" customHeight="1">
      <c r="B15" s="1128"/>
      <c r="C15" s="1289">
        <v>43752</v>
      </c>
      <c r="D15" s="1211" t="s">
        <v>2139</v>
      </c>
      <c r="E15" s="1290" t="s">
        <v>2975</v>
      </c>
      <c r="F15" s="1299"/>
    </row>
    <row r="16" spans="2:6" s="51" customFormat="1" ht="27" customHeight="1">
      <c r="B16" s="1128"/>
      <c r="C16" s="1289">
        <v>43752</v>
      </c>
      <c r="D16" s="1211" t="s">
        <v>2976</v>
      </c>
      <c r="E16" s="1290" t="s">
        <v>2977</v>
      </c>
      <c r="F16" s="1219"/>
    </row>
    <row r="17" spans="2:6" s="51" customFormat="1" ht="27" customHeight="1">
      <c r="B17" s="1128"/>
      <c r="C17" s="1289">
        <v>43752</v>
      </c>
      <c r="D17" s="1211" t="s">
        <v>2978</v>
      </c>
      <c r="E17" s="1290" t="s">
        <v>2977</v>
      </c>
      <c r="F17" s="1219"/>
    </row>
    <row r="18" spans="2:6" s="51" customFormat="1" ht="32.25" customHeight="1">
      <c r="B18" s="1128"/>
      <c r="C18" s="1289">
        <v>43754</v>
      </c>
      <c r="D18" s="1211" t="s">
        <v>2979</v>
      </c>
      <c r="E18" s="1290" t="s">
        <v>2980</v>
      </c>
      <c r="F18" s="1219"/>
    </row>
    <row r="19" spans="2:6" s="51" customFormat="1" ht="69" customHeight="1">
      <c r="B19" s="1162"/>
      <c r="C19" s="1514">
        <v>45196</v>
      </c>
      <c r="D19" s="1515" t="s">
        <v>2129</v>
      </c>
      <c r="E19" s="1516" t="s">
        <v>2981</v>
      </c>
      <c r="F19" s="1216"/>
    </row>
    <row r="20" spans="2:6" s="51" customFormat="1" ht="44.45" customHeight="1">
      <c r="B20" s="1127"/>
      <c r="C20" s="1289">
        <v>45196</v>
      </c>
      <c r="D20" s="1211" t="s">
        <v>2982</v>
      </c>
      <c r="E20" s="1290" t="s">
        <v>2983</v>
      </c>
      <c r="F20" s="1214"/>
    </row>
    <row r="21" spans="2:6" s="51" customFormat="1" ht="30.6" customHeight="1">
      <c r="B21" s="1127"/>
      <c r="C21" s="1289">
        <v>45196</v>
      </c>
      <c r="D21" s="1211" t="s">
        <v>2984</v>
      </c>
      <c r="E21" s="1517" t="s">
        <v>2985</v>
      </c>
      <c r="F21" s="1214"/>
    </row>
    <row r="22" spans="2:6" s="51" customFormat="1" ht="30" customHeight="1">
      <c r="B22" s="1127"/>
      <c r="C22" s="1289"/>
      <c r="D22" s="1211"/>
      <c r="E22" s="1290"/>
      <c r="F22" s="1214"/>
    </row>
    <row r="23" spans="2:6" s="51" customFormat="1" ht="34.5" customHeight="1">
      <c r="B23" s="1158"/>
      <c r="C23" s="1289"/>
      <c r="D23" s="1211"/>
      <c r="E23" s="1290"/>
      <c r="F23" s="1217"/>
    </row>
    <row r="24" spans="2:6" s="51" customFormat="1" ht="34.5" customHeight="1">
      <c r="B24" s="1162"/>
      <c r="C24" s="1163"/>
      <c r="D24" s="1164"/>
      <c r="E24" s="1165"/>
      <c r="F24" s="1214"/>
    </row>
    <row r="25" spans="2:6" s="51" customFormat="1" ht="34.5" customHeight="1">
      <c r="B25" s="1127"/>
      <c r="C25" s="1139"/>
      <c r="D25" s="1153"/>
      <c r="E25" s="1147"/>
      <c r="F25" s="1214"/>
    </row>
    <row r="26" spans="2:6" s="51" customFormat="1" ht="43.5" customHeight="1">
      <c r="B26" s="1158"/>
      <c r="C26" s="1159"/>
      <c r="D26" s="1160"/>
      <c r="E26" s="1161"/>
      <c r="F26" s="1214"/>
    </row>
    <row r="27" spans="2:6" s="51" customFormat="1" ht="59.25" customHeight="1">
      <c r="B27" s="1168"/>
      <c r="C27" s="1169"/>
      <c r="D27" s="1170"/>
      <c r="E27" s="1171"/>
      <c r="F27" s="1218"/>
    </row>
    <row r="28" spans="2:6" s="51" customFormat="1" ht="30.75" customHeight="1">
      <c r="B28" s="1127"/>
      <c r="C28" s="1132"/>
      <c r="D28" s="1153"/>
      <c r="E28" s="1147"/>
      <c r="F28" s="1214"/>
    </row>
    <row r="29" spans="2:6" s="51" customFormat="1" ht="30.75" customHeight="1">
      <c r="B29" s="1127"/>
      <c r="C29" s="1132"/>
      <c r="D29" s="1153"/>
      <c r="E29" s="1147"/>
      <c r="F29" s="1214"/>
    </row>
    <row r="30" spans="2:6" s="51" customFormat="1" ht="30.75" customHeight="1">
      <c r="B30" s="1127"/>
      <c r="C30" s="1132"/>
      <c r="D30" s="1153"/>
      <c r="E30" s="1147"/>
      <c r="F30" s="1214"/>
    </row>
    <row r="31" spans="2:6" s="51" customFormat="1" ht="15">
      <c r="B31" s="1127"/>
      <c r="C31" s="1133"/>
      <c r="D31" s="1153"/>
      <c r="E31" s="1145"/>
      <c r="F31" s="1214"/>
    </row>
    <row r="32" spans="2:6" s="51" customFormat="1" ht="15">
      <c r="B32" s="1127"/>
      <c r="C32" s="1133"/>
      <c r="D32" s="1153"/>
      <c r="E32" s="1145"/>
      <c r="F32" s="1214"/>
    </row>
    <row r="33" spans="2:6" s="51" customFormat="1" ht="15">
      <c r="B33" s="1127"/>
      <c r="C33" s="1133"/>
      <c r="D33" s="1153"/>
      <c r="E33" s="1148"/>
      <c r="F33" s="1214"/>
    </row>
    <row r="34" spans="2:6" s="51" customFormat="1" ht="15">
      <c r="B34" s="1127"/>
      <c r="C34" s="1133"/>
      <c r="D34" s="1153"/>
      <c r="E34" s="1148"/>
      <c r="F34" s="1214"/>
    </row>
    <row r="35" spans="2:6" s="51" customFormat="1" ht="15">
      <c r="B35" s="1127"/>
      <c r="C35" s="1133"/>
      <c r="D35" s="1153"/>
      <c r="E35" s="1149"/>
      <c r="F35" s="1214"/>
    </row>
    <row r="36" spans="2:6" s="51" customFormat="1" ht="15">
      <c r="B36" s="1127"/>
      <c r="C36" s="1133"/>
      <c r="D36" s="1153"/>
      <c r="E36" s="1149"/>
      <c r="F36" s="1214"/>
    </row>
    <row r="37" spans="2:6" s="51" customFormat="1" ht="15">
      <c r="B37" s="1127"/>
      <c r="C37" s="1133"/>
      <c r="D37" s="1153"/>
      <c r="E37" s="1149"/>
      <c r="F37" s="1214"/>
    </row>
    <row r="38" spans="2:6" s="51" customFormat="1" ht="15">
      <c r="B38" s="1127"/>
      <c r="C38" s="1133"/>
      <c r="D38" s="1153"/>
      <c r="E38" s="1149"/>
      <c r="F38" s="1214"/>
    </row>
    <row r="39" spans="2:6" ht="15">
      <c r="B39" s="1129"/>
      <c r="C39" s="1134"/>
      <c r="D39" s="1154"/>
      <c r="E39" s="1150"/>
      <c r="F39" s="1096"/>
    </row>
    <row r="40" spans="2:6" ht="15.75" thickBot="1">
      <c r="B40" s="1130"/>
      <c r="C40" s="1135"/>
      <c r="D40" s="1155"/>
      <c r="E40" s="1151"/>
      <c r="F40" s="1215"/>
    </row>
    <row r="41" spans="2:6" ht="13.5" thickTop="1"/>
  </sheetData>
  <mergeCells count="1">
    <mergeCell ref="B2:F2"/>
  </mergeCells>
  <pageMargins left="0.7" right="0.7" top="0.75" bottom="0.75" header="0.3" footer="0.3"/>
  <pageSetup paperSize="9" orientation="portrait" horizontalDpi="4294967295" verticalDpi="4294967295"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1">
    <tabColor rgb="FF00B0F0"/>
  </sheetPr>
  <dimension ref="B1:E30"/>
  <sheetViews>
    <sheetView zoomScale="85" zoomScaleNormal="85" workbookViewId="0">
      <pane xSplit="1" ySplit="3" topLeftCell="B4" activePane="bottomRight" state="frozen"/>
      <selection pane="topRight" activeCell="B1" sqref="B1"/>
      <selection pane="bottomLeft" activeCell="A4" sqref="A4"/>
      <selection pane="bottomRight" activeCell="E18" sqref="E18"/>
    </sheetView>
  </sheetViews>
  <sheetFormatPr baseColWidth="10" defaultColWidth="11.42578125" defaultRowHeight="12.75"/>
  <cols>
    <col min="1" max="1" width="3.140625" customWidth="1"/>
    <col min="2" max="3" width="11.42578125" style="12"/>
    <col min="4" max="4" width="17.85546875" style="12" bestFit="1" customWidth="1"/>
    <col min="5" max="5" width="50.42578125" customWidth="1"/>
  </cols>
  <sheetData>
    <row r="1" spans="2:5" ht="13.5" thickBot="1"/>
    <row r="2" spans="2:5" ht="30.75" thickTop="1" thickBot="1">
      <c r="B2" s="2537" t="s">
        <v>2986</v>
      </c>
      <c r="C2" s="2538"/>
      <c r="D2" s="2538"/>
      <c r="E2" s="2539"/>
    </row>
    <row r="3" spans="2:5" ht="39" customHeight="1" thickTop="1" thickBot="1">
      <c r="B3" s="1136" t="s">
        <v>2948</v>
      </c>
      <c r="C3" s="1137" t="s">
        <v>2987</v>
      </c>
      <c r="D3" s="1137" t="s">
        <v>2950</v>
      </c>
      <c r="E3" s="1143" t="s">
        <v>2988</v>
      </c>
    </row>
    <row r="4" spans="2:5" s="51" customFormat="1" ht="20.25" customHeight="1" thickTop="1">
      <c r="B4" s="1126">
        <v>21</v>
      </c>
      <c r="C4" s="1131">
        <v>43541</v>
      </c>
      <c r="D4" s="1152" t="s">
        <v>2989</v>
      </c>
      <c r="E4" s="1144" t="s">
        <v>2990</v>
      </c>
    </row>
    <row r="5" spans="2:5" s="51" customFormat="1" ht="20.25" customHeight="1">
      <c r="B5" s="1127"/>
      <c r="C5" s="1132">
        <v>43543</v>
      </c>
      <c r="D5" s="1153" t="s">
        <v>2991</v>
      </c>
      <c r="E5" s="1145" t="s">
        <v>2992</v>
      </c>
    </row>
    <row r="6" spans="2:5" s="51" customFormat="1" ht="20.25" customHeight="1">
      <c r="B6" s="1127"/>
      <c r="C6" s="1132"/>
      <c r="D6" s="1153" t="s">
        <v>2993</v>
      </c>
      <c r="E6" s="1146" t="s">
        <v>2994</v>
      </c>
    </row>
    <row r="7" spans="2:5" s="51" customFormat="1" ht="20.25" customHeight="1">
      <c r="B7" s="1128"/>
      <c r="C7" s="1132"/>
      <c r="D7" s="1153" t="s">
        <v>2995</v>
      </c>
      <c r="E7" s="1146" t="s">
        <v>2996</v>
      </c>
    </row>
    <row r="8" spans="2:5" s="51" customFormat="1" ht="40.5" customHeight="1">
      <c r="B8" s="1128"/>
      <c r="C8" s="1132"/>
      <c r="D8" s="1153" t="s">
        <v>2997</v>
      </c>
      <c r="E8" s="1147" t="s">
        <v>2998</v>
      </c>
    </row>
    <row r="9" spans="2:5" s="51" customFormat="1" ht="81.75" customHeight="1">
      <c r="B9" s="1127"/>
      <c r="C9" s="1132"/>
      <c r="D9" s="1153" t="s">
        <v>2999</v>
      </c>
      <c r="E9" s="1147" t="s">
        <v>3000</v>
      </c>
    </row>
    <row r="10" spans="2:5" s="51" customFormat="1" ht="21" customHeight="1">
      <c r="B10" s="1162">
        <v>22</v>
      </c>
      <c r="C10" s="1163">
        <v>43544</v>
      </c>
      <c r="D10" s="1164" t="s">
        <v>3001</v>
      </c>
      <c r="E10" s="1166" t="s">
        <v>3002</v>
      </c>
    </row>
    <row r="11" spans="2:5" s="51" customFormat="1" ht="30" customHeight="1">
      <c r="B11" s="1127"/>
      <c r="C11" s="1139">
        <v>43545</v>
      </c>
      <c r="D11" s="1153" t="s">
        <v>3003</v>
      </c>
      <c r="E11" s="1147" t="s">
        <v>3004</v>
      </c>
    </row>
    <row r="12" spans="2:5" s="51" customFormat="1" ht="34.5" customHeight="1">
      <c r="B12" s="1158"/>
      <c r="C12" s="1167"/>
      <c r="D12" s="1160" t="s">
        <v>3005</v>
      </c>
      <c r="E12" s="1161" t="s">
        <v>3006</v>
      </c>
    </row>
    <row r="13" spans="2:5" s="51" customFormat="1" ht="34.5" customHeight="1">
      <c r="B13" s="1162">
        <v>23</v>
      </c>
      <c r="C13" s="1163">
        <v>43545</v>
      </c>
      <c r="D13" s="1164" t="s">
        <v>3007</v>
      </c>
      <c r="E13" s="1165" t="s">
        <v>3008</v>
      </c>
    </row>
    <row r="14" spans="2:5" s="51" customFormat="1" ht="34.5" customHeight="1">
      <c r="B14" s="1127"/>
      <c r="C14" s="1139">
        <v>43545</v>
      </c>
      <c r="D14" s="1153" t="s">
        <v>3005</v>
      </c>
      <c r="E14" s="1147" t="s">
        <v>3009</v>
      </c>
    </row>
    <row r="15" spans="2:5" s="51" customFormat="1" ht="43.5" customHeight="1">
      <c r="B15" s="1158"/>
      <c r="C15" s="1159">
        <v>43546</v>
      </c>
      <c r="D15" s="1160" t="s">
        <v>2129</v>
      </c>
      <c r="E15" s="1161" t="s">
        <v>3010</v>
      </c>
    </row>
    <row r="16" spans="2:5" s="51" customFormat="1" ht="59.25" customHeight="1">
      <c r="B16" s="1168">
        <v>24</v>
      </c>
      <c r="C16" s="1169">
        <v>43551</v>
      </c>
      <c r="D16" s="1170" t="s">
        <v>3011</v>
      </c>
      <c r="E16" s="1171" t="s">
        <v>3012</v>
      </c>
    </row>
    <row r="17" spans="2:5" s="51" customFormat="1" ht="30.75" customHeight="1">
      <c r="B17" s="1127"/>
      <c r="C17" s="1132"/>
      <c r="D17" s="1153"/>
      <c r="E17" s="1147"/>
    </row>
    <row r="18" spans="2:5" s="51" customFormat="1" ht="30.75" customHeight="1">
      <c r="B18" s="1127"/>
      <c r="C18" s="1132"/>
      <c r="D18" s="1153"/>
      <c r="E18" s="1147"/>
    </row>
    <row r="19" spans="2:5" s="51" customFormat="1" ht="30.75" customHeight="1">
      <c r="B19" s="1127"/>
      <c r="C19" s="1132"/>
      <c r="D19" s="1153"/>
      <c r="E19" s="1147"/>
    </row>
    <row r="20" spans="2:5" s="51" customFormat="1" ht="15">
      <c r="B20" s="1127"/>
      <c r="C20" s="1133"/>
      <c r="D20" s="1153"/>
      <c r="E20" s="1145"/>
    </row>
    <row r="21" spans="2:5" s="51" customFormat="1" ht="15">
      <c r="B21" s="1127"/>
      <c r="C21" s="1133"/>
      <c r="D21" s="1153"/>
      <c r="E21" s="1145"/>
    </row>
    <row r="22" spans="2:5" s="51" customFormat="1" ht="15">
      <c r="B22" s="1127"/>
      <c r="C22" s="1133"/>
      <c r="D22" s="1153"/>
      <c r="E22" s="1148"/>
    </row>
    <row r="23" spans="2:5" s="51" customFormat="1" ht="15">
      <c r="B23" s="1127"/>
      <c r="C23" s="1133"/>
      <c r="D23" s="1153"/>
      <c r="E23" s="1148"/>
    </row>
    <row r="24" spans="2:5" s="51" customFormat="1" ht="15">
      <c r="B24" s="1127"/>
      <c r="C24" s="1133"/>
      <c r="D24" s="1153"/>
      <c r="E24" s="1149"/>
    </row>
    <row r="25" spans="2:5" s="51" customFormat="1" ht="15">
      <c r="B25" s="1127"/>
      <c r="C25" s="1133"/>
      <c r="D25" s="1153"/>
      <c r="E25" s="1149"/>
    </row>
    <row r="26" spans="2:5" s="51" customFormat="1" ht="15">
      <c r="B26" s="1127"/>
      <c r="C26" s="1133"/>
      <c r="D26" s="1153"/>
      <c r="E26" s="1149"/>
    </row>
    <row r="27" spans="2:5" s="51" customFormat="1" ht="15">
      <c r="B27" s="1127"/>
      <c r="C27" s="1133"/>
      <c r="D27" s="1153"/>
      <c r="E27" s="1149"/>
    </row>
    <row r="28" spans="2:5" ht="15">
      <c r="B28" s="1129"/>
      <c r="C28" s="1134"/>
      <c r="D28" s="1154"/>
      <c r="E28" s="1150"/>
    </row>
    <row r="29" spans="2:5" ht="15.75" thickBot="1">
      <c r="B29" s="1130"/>
      <c r="C29" s="1135"/>
      <c r="D29" s="1155"/>
      <c r="E29" s="1151"/>
    </row>
    <row r="30" spans="2:5" ht="13.5" thickTop="1"/>
  </sheetData>
  <mergeCells count="1">
    <mergeCell ref="B2:E2"/>
  </mergeCells>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3">
    <tabColor rgb="FF00B050"/>
    <pageSetUpPr fitToPage="1"/>
  </sheetPr>
  <dimension ref="B2:J23"/>
  <sheetViews>
    <sheetView zoomScale="70" zoomScaleNormal="85" workbookViewId="0">
      <selection activeCell="J5" sqref="J5"/>
    </sheetView>
  </sheetViews>
  <sheetFormatPr baseColWidth="10" defaultColWidth="11.42578125" defaultRowHeight="12.75"/>
  <cols>
    <col min="1" max="1" width="4.28515625" style="67" customWidth="1"/>
    <col min="2" max="2" width="3.85546875" style="67" customWidth="1"/>
    <col min="3" max="3" width="79.5703125" style="67" customWidth="1"/>
    <col min="4" max="4" width="14.28515625" style="67" customWidth="1"/>
    <col min="5" max="5" width="1.7109375" style="67" customWidth="1"/>
    <col min="6" max="6" width="3.85546875" style="67" customWidth="1"/>
    <col min="7" max="7" width="77" style="67" customWidth="1"/>
    <col min="8" max="8" width="15.28515625" style="67" customWidth="1"/>
    <col min="9" max="9" width="3.7109375" style="67" customWidth="1"/>
    <col min="10" max="16384" width="11.42578125" style="67"/>
  </cols>
  <sheetData>
    <row r="2" spans="2:10" s="68" customFormat="1" ht="33" customHeight="1">
      <c r="B2" s="2211" t="s">
        <v>60</v>
      </c>
      <c r="C2" s="2212"/>
      <c r="D2" s="2212"/>
      <c r="E2" s="2212"/>
      <c r="F2" s="2212"/>
      <c r="G2" s="2212"/>
      <c r="H2" s="2213"/>
    </row>
    <row r="3" spans="2:10" ht="44.25" customHeight="1"/>
    <row r="4" spans="2:10" s="68" customFormat="1" ht="19.5" customHeight="1">
      <c r="B4" s="2216" t="s">
        <v>61</v>
      </c>
      <c r="C4" s="2217"/>
      <c r="D4" s="2218"/>
      <c r="F4" s="2207" t="s">
        <v>62</v>
      </c>
      <c r="G4" s="2208"/>
      <c r="H4" s="2209"/>
    </row>
    <row r="5" spans="2:10" s="68" customFormat="1" ht="45" customHeight="1">
      <c r="B5" s="69"/>
      <c r="C5" s="70"/>
      <c r="D5" s="70"/>
      <c r="G5" s="69"/>
    </row>
    <row r="6" spans="2:10" s="68" customFormat="1" ht="24.95" customHeight="1">
      <c r="C6" s="69"/>
      <c r="G6" s="69"/>
      <c r="H6" s="2210"/>
    </row>
    <row r="7" spans="2:10" s="68" customFormat="1" ht="31.5" customHeight="1">
      <c r="C7" s="69"/>
      <c r="G7" s="71"/>
      <c r="H7" s="2210"/>
    </row>
    <row r="8" spans="2:10" s="68" customFormat="1" ht="24.95" customHeight="1">
      <c r="C8" s="69"/>
      <c r="G8" s="2214"/>
      <c r="H8" s="2210"/>
    </row>
    <row r="9" spans="2:10" s="68" customFormat="1" ht="24.95" customHeight="1">
      <c r="C9" s="69"/>
      <c r="G9" s="2215"/>
      <c r="H9" s="2210"/>
    </row>
    <row r="10" spans="2:10" s="68" customFormat="1" ht="24.95" customHeight="1">
      <c r="C10" s="69"/>
      <c r="D10" s="70"/>
    </row>
    <row r="11" spans="2:10" s="68" customFormat="1" ht="28.5" customHeight="1">
      <c r="B11" s="2207" t="s">
        <v>63</v>
      </c>
      <c r="C11" s="2208"/>
      <c r="D11" s="2209"/>
      <c r="F11" s="2219" t="s">
        <v>64</v>
      </c>
      <c r="G11" s="2220"/>
      <c r="H11" s="2221"/>
    </row>
    <row r="12" spans="2:10" s="68" customFormat="1" ht="24.75" customHeight="1">
      <c r="C12" s="69"/>
      <c r="D12" s="70"/>
    </row>
    <row r="13" spans="2:10" s="68" customFormat="1" ht="24.95" customHeight="1">
      <c r="C13" s="69"/>
      <c r="D13" s="70"/>
      <c r="G13" s="69"/>
    </row>
    <row r="14" spans="2:10" s="68" customFormat="1" ht="24.95" customHeight="1">
      <c r="D14" s="67"/>
      <c r="G14" s="69"/>
      <c r="H14" s="82">
        <v>0</v>
      </c>
    </row>
    <row r="15" spans="2:10" ht="24.95" customHeight="1">
      <c r="F15" s="68"/>
      <c r="G15" s="69"/>
      <c r="H15" s="82">
        <v>0</v>
      </c>
      <c r="I15" s="68"/>
      <c r="J15" s="81" t="s">
        <v>65</v>
      </c>
    </row>
    <row r="16" spans="2:10" ht="18.75" customHeight="1">
      <c r="H16" s="68"/>
    </row>
    <row r="17" spans="2:8" ht="18.75" customHeight="1">
      <c r="B17" s="72"/>
      <c r="C17" s="73"/>
      <c r="D17" s="73"/>
      <c r="E17" s="73"/>
      <c r="F17" s="73"/>
      <c r="G17" s="73"/>
      <c r="H17" s="74"/>
    </row>
    <row r="18" spans="2:8" ht="18.75" customHeight="1">
      <c r="B18" s="75"/>
      <c r="C18" s="76"/>
      <c r="D18" s="76"/>
      <c r="E18" s="76"/>
      <c r="F18" s="76"/>
      <c r="G18" s="76"/>
      <c r="H18" s="77"/>
    </row>
    <row r="19" spans="2:8" ht="18.75" customHeight="1">
      <c r="B19" s="75"/>
      <c r="C19" s="76"/>
      <c r="D19" s="76"/>
      <c r="E19" s="76"/>
      <c r="F19" s="76"/>
      <c r="G19" s="76"/>
      <c r="H19" s="77"/>
    </row>
    <row r="20" spans="2:8" ht="18.75" customHeight="1">
      <c r="B20" s="78"/>
      <c r="C20" s="79"/>
      <c r="D20" s="79"/>
      <c r="E20" s="79"/>
      <c r="F20" s="79"/>
      <c r="G20" s="79"/>
      <c r="H20" s="80"/>
    </row>
    <row r="21" spans="2:8" ht="18.75" customHeight="1"/>
    <row r="22" spans="2:8" ht="18.75" customHeight="1"/>
    <row r="23" spans="2:8" ht="18.75" customHeight="1"/>
  </sheetData>
  <mergeCells count="8">
    <mergeCell ref="B11:D11"/>
    <mergeCell ref="H6:H7"/>
    <mergeCell ref="B2:H2"/>
    <mergeCell ref="G8:G9"/>
    <mergeCell ref="H8:H9"/>
    <mergeCell ref="F4:H4"/>
    <mergeCell ref="B4:D4"/>
    <mergeCell ref="F11:H11"/>
  </mergeCells>
  <phoneticPr fontId="0" type="noConversion"/>
  <pageMargins left="0.43307086614173229" right="0.47244094488188981" top="0.74803149606299213" bottom="0.74803149606299213" header="0.31496062992125984" footer="0.31496062992125984"/>
  <pageSetup paperSize="9" scale="70" orientation="landscape" verticalDpi="360" r:id="rId1"/>
  <headerFooter>
    <oddFooter>&amp;R&amp;18&amp;A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3">
    <tabColor theme="9" tint="-0.499984740745262"/>
  </sheetPr>
  <dimension ref="B1:W166"/>
  <sheetViews>
    <sheetView zoomScale="90" zoomScaleNormal="90" workbookViewId="0">
      <selection activeCell="D4" sqref="D4"/>
    </sheetView>
  </sheetViews>
  <sheetFormatPr baseColWidth="10" defaultColWidth="11.42578125" defaultRowHeight="15.75"/>
  <cols>
    <col min="1" max="1" width="2.42578125" style="1" customWidth="1"/>
    <col min="2" max="2" width="1.7109375" style="7" customWidth="1"/>
    <col min="3" max="3" width="11.42578125" style="1"/>
    <col min="4" max="4" width="14.28515625" style="1" bestFit="1" customWidth="1"/>
    <col min="5" max="5" width="17.5703125" style="1" customWidth="1"/>
    <col min="6" max="6" width="20" style="1" customWidth="1"/>
    <col min="7" max="7" width="13.42578125" style="1" customWidth="1"/>
    <col min="8" max="8" width="21.28515625" style="1" customWidth="1"/>
    <col min="9" max="9" width="2.85546875" style="7" customWidth="1"/>
    <col min="10" max="10" width="8.5703125" style="3" customWidth="1"/>
    <col min="11" max="11" width="8.28515625" style="1" customWidth="1"/>
    <col min="12" max="12" width="40.7109375" style="1" customWidth="1"/>
    <col min="13" max="13" width="3.28515625" style="7" customWidth="1"/>
    <col min="14" max="14" width="19.5703125" style="1" customWidth="1"/>
    <col min="15" max="15" width="13" style="1" bestFit="1" customWidth="1"/>
    <col min="16" max="16" width="11.42578125" style="1"/>
    <col min="17" max="20" width="15" style="1" bestFit="1" customWidth="1"/>
    <col min="21" max="21" width="15.7109375" style="1" customWidth="1"/>
    <col min="22" max="16384" width="11.42578125" style="1"/>
  </cols>
  <sheetData>
    <row r="1" spans="2:21" ht="31.5" customHeight="1">
      <c r="C1" s="2" t="s">
        <v>3024</v>
      </c>
      <c r="J1" s="48" t="s">
        <v>3025</v>
      </c>
      <c r="N1" s="56" t="s">
        <v>3026</v>
      </c>
      <c r="O1" s="2540" t="s">
        <v>3027</v>
      </c>
      <c r="P1" s="2540"/>
      <c r="Q1" s="2541"/>
      <c r="R1" s="2540" t="s">
        <v>3028</v>
      </c>
      <c r="S1" s="2540"/>
      <c r="T1" s="2541"/>
      <c r="U1" s="64" t="s">
        <v>3029</v>
      </c>
    </row>
    <row r="2" spans="2:21" ht="27.75" customHeight="1">
      <c r="B2" s="6"/>
      <c r="C2" s="4" t="s">
        <v>3030</v>
      </c>
      <c r="D2" s="4" t="s">
        <v>3031</v>
      </c>
      <c r="E2" s="4" t="s">
        <v>3032</v>
      </c>
      <c r="F2" s="4" t="s">
        <v>3033</v>
      </c>
      <c r="G2" s="4" t="s">
        <v>2927</v>
      </c>
      <c r="H2" s="4" t="s">
        <v>3034</v>
      </c>
      <c r="I2" s="6"/>
      <c r="J2" s="40" t="s">
        <v>3035</v>
      </c>
      <c r="K2" s="8" t="s">
        <v>3036</v>
      </c>
      <c r="L2" s="8" t="s">
        <v>3037</v>
      </c>
      <c r="N2" s="49" t="s">
        <v>3038</v>
      </c>
      <c r="O2" s="53" t="s">
        <v>3039</v>
      </c>
      <c r="P2" s="53" t="s">
        <v>3040</v>
      </c>
      <c r="Q2" s="54" t="s">
        <v>3041</v>
      </c>
      <c r="R2" s="53" t="s">
        <v>3039</v>
      </c>
      <c r="S2" s="53" t="s">
        <v>3040</v>
      </c>
      <c r="T2" s="57" t="s">
        <v>3042</v>
      </c>
      <c r="U2" s="65" t="s">
        <v>3016</v>
      </c>
    </row>
    <row r="3" spans="2:21" ht="20.25">
      <c r="B3" s="6"/>
      <c r="C3" s="50">
        <v>2025</v>
      </c>
      <c r="D3" s="50">
        <v>3</v>
      </c>
      <c r="E3" s="5" t="str">
        <f>IF(D3=1,"MARZO",IF(D3=2,"JUNIO",IF(D3=3,"SETIEMBRE","DICIEMBRE")))</f>
        <v>SETIEMBRE</v>
      </c>
      <c r="F3" s="5" t="str">
        <f>IF(D3=1,"DICIEMBRE",IF(D3=2,"MARZO",IF(D3=3,"JUNIO","SETIEMBRE")))</f>
        <v>JUNIO</v>
      </c>
      <c r="G3" s="3" t="str">
        <f>IF(D3=1,CONCATENATE(C3,"01"),IF(D3=2,CONCATENATE(C3,"02"),IF(D3=3,CONCATENATE(C3,"03"),CONCATENATE(C3,"04"))))</f>
        <v>202503</v>
      </c>
      <c r="H3" s="3" t="str">
        <f>IF(Menu!D3=1,CONCATENATE("(Ene - Mar)"," ",Menu!$C$3),IF(Menu!D3=2,CONCATENATE("(Ene - Jun)"," ",Menu!$C$3),IF(Menu!D3=3,CONCATENATE("(Ene - Set)"," ",Menu!$C$3),CONCATENATE("(Ene - Dic)"," ",Menu!$C$3))))</f>
        <v>(Ene - Set) 2025</v>
      </c>
      <c r="I3" s="6"/>
      <c r="J3" s="41">
        <v>1</v>
      </c>
      <c r="K3" s="42" t="s">
        <v>3043</v>
      </c>
      <c r="L3" s="42" t="s">
        <v>3044</v>
      </c>
      <c r="N3" s="58">
        <f>VALUE(ANUAL-1)</f>
        <v>2024</v>
      </c>
      <c r="O3" s="60">
        <f>ROUND(1/(+T3*(1/R3)),3)</f>
        <v>1.046</v>
      </c>
      <c r="P3" s="3">
        <f>ROUND(1/(+T3*(1/S3)),5)</f>
        <v>8.5100000000000002E-3</v>
      </c>
      <c r="Q3" s="61">
        <f>ROUND(1/T3,3)</f>
        <v>0.29599999999999999</v>
      </c>
      <c r="R3" s="242">
        <f>ROUND(3.536179,3)</f>
        <v>3.536</v>
      </c>
      <c r="S3" s="243">
        <f>ROUND(0.028794,6)</f>
        <v>2.8794E-2</v>
      </c>
      <c r="T3" s="244">
        <v>3.3820000000000001</v>
      </c>
      <c r="U3" s="66" t="s">
        <v>3045</v>
      </c>
    </row>
    <row r="4" spans="2:21" ht="16.5">
      <c r="B4" s="6"/>
      <c r="D4" s="3"/>
      <c r="E4" s="1301" t="str">
        <f>IF(D3=1,"(ENE - MAR)",IF(D3=2,"(ABR - JUN)",IF(D3=3,"(JUL - SET)","(OCT - DIC)")))</f>
        <v>(JUL - SET)</v>
      </c>
      <c r="I4" s="6"/>
      <c r="J4" s="3">
        <v>2</v>
      </c>
      <c r="K4" s="1" t="s">
        <v>3046</v>
      </c>
      <c r="L4" s="1" t="s">
        <v>3047</v>
      </c>
      <c r="N4" s="59">
        <f>VALUE(ANUAL)</f>
        <v>2025</v>
      </c>
      <c r="O4" s="62">
        <f>ROUND(1/(+T4*(1/R4)),3)</f>
        <v>1.2010000000000001</v>
      </c>
      <c r="P4" s="89">
        <f>ROUND(1/(+T4*(1/S4)),5)</f>
        <v>8.8800000000000007E-3</v>
      </c>
      <c r="Q4" s="63">
        <f>ROUND(1/T4,3)</f>
        <v>0.308</v>
      </c>
      <c r="R4" s="245">
        <f>ROUND(3.893562,3)</f>
        <v>3.8940000000000001</v>
      </c>
      <c r="S4" s="246">
        <f>ROUND(0.028777,6)</f>
        <v>2.8777E-2</v>
      </c>
      <c r="T4" s="247">
        <v>3.2414999999999998</v>
      </c>
      <c r="U4" s="66" t="s">
        <v>3048</v>
      </c>
    </row>
    <row r="5" spans="2:21">
      <c r="B5" s="6"/>
      <c r="D5" s="3"/>
      <c r="G5" s="3"/>
      <c r="H5" s="3"/>
      <c r="I5" s="6"/>
      <c r="J5" s="3">
        <v>3</v>
      </c>
      <c r="K5" s="1" t="s">
        <v>3049</v>
      </c>
      <c r="L5" s="1" t="s">
        <v>3039</v>
      </c>
    </row>
    <row r="6" spans="2:21">
      <c r="B6" s="6"/>
      <c r="D6" s="3"/>
      <c r="G6" s="3"/>
      <c r="H6" s="3"/>
      <c r="I6" s="6"/>
      <c r="J6" s="3">
        <v>4</v>
      </c>
      <c r="K6" s="1" t="s">
        <v>3050</v>
      </c>
      <c r="L6" s="1" t="s">
        <v>3051</v>
      </c>
    </row>
    <row r="7" spans="2:21">
      <c r="J7" s="3">
        <v>5</v>
      </c>
      <c r="K7" s="1" t="s">
        <v>3052</v>
      </c>
      <c r="L7" s="1" t="s">
        <v>3040</v>
      </c>
    </row>
    <row r="8" spans="2:21">
      <c r="J8" s="3">
        <v>6</v>
      </c>
      <c r="K8" s="1" t="s">
        <v>3053</v>
      </c>
      <c r="L8" s="1" t="s">
        <v>3054</v>
      </c>
      <c r="O8" s="55"/>
      <c r="P8" s="55"/>
      <c r="S8" s="55"/>
      <c r="T8" s="55"/>
    </row>
    <row r="9" spans="2:21">
      <c r="J9" s="3">
        <v>7</v>
      </c>
      <c r="K9" s="1" t="s">
        <v>3055</v>
      </c>
      <c r="L9" s="1" t="s">
        <v>3056</v>
      </c>
    </row>
    <row r="10" spans="2:21">
      <c r="J10" s="3">
        <v>8</v>
      </c>
      <c r="K10" s="1" t="s">
        <v>3057</v>
      </c>
      <c r="L10" s="1" t="s">
        <v>3058</v>
      </c>
    </row>
    <row r="11" spans="2:21">
      <c r="J11" s="3">
        <v>9</v>
      </c>
      <c r="K11" s="1" t="s">
        <v>3059</v>
      </c>
      <c r="L11" s="1" t="s">
        <v>3060</v>
      </c>
      <c r="R11" s="228"/>
      <c r="S11" s="229"/>
    </row>
    <row r="12" spans="2:21">
      <c r="J12" s="3">
        <v>10</v>
      </c>
      <c r="K12" s="1" t="s">
        <v>3061</v>
      </c>
      <c r="L12" s="1" t="s">
        <v>3062</v>
      </c>
    </row>
    <row r="13" spans="2:21">
      <c r="J13" s="3">
        <v>11</v>
      </c>
      <c r="K13" s="1" t="s">
        <v>3063</v>
      </c>
      <c r="L13" s="1" t="s">
        <v>3064</v>
      </c>
    </row>
    <row r="14" spans="2:21">
      <c r="J14" s="3">
        <v>12</v>
      </c>
      <c r="K14" s="1" t="s">
        <v>3065</v>
      </c>
      <c r="L14" s="1" t="s">
        <v>3066</v>
      </c>
    </row>
    <row r="15" spans="2:21">
      <c r="J15" s="3">
        <v>13</v>
      </c>
      <c r="K15" s="1" t="s">
        <v>3067</v>
      </c>
      <c r="L15" s="1" t="s">
        <v>3068</v>
      </c>
    </row>
    <row r="16" spans="2:21">
      <c r="J16" s="3">
        <v>14</v>
      </c>
      <c r="K16" s="1" t="s">
        <v>3069</v>
      </c>
      <c r="L16" s="1" t="s">
        <v>3070</v>
      </c>
    </row>
    <row r="17" spans="10:23">
      <c r="J17" s="3">
        <v>15</v>
      </c>
      <c r="K17" s="1" t="s">
        <v>3071</v>
      </c>
      <c r="L17" s="1" t="s">
        <v>3072</v>
      </c>
    </row>
    <row r="18" spans="10:23" ht="40.5" customHeight="1">
      <c r="J18" s="3">
        <v>16</v>
      </c>
      <c r="K18" s="1" t="s">
        <v>3073</v>
      </c>
      <c r="L18" s="1" t="s">
        <v>3074</v>
      </c>
      <c r="V18" s="230"/>
      <c r="W18" s="230"/>
    </row>
    <row r="19" spans="10:23">
      <c r="J19" s="3">
        <v>17</v>
      </c>
      <c r="K19" s="1" t="s">
        <v>3075</v>
      </c>
      <c r="L19" s="1" t="s">
        <v>3076</v>
      </c>
      <c r="V19" s="231"/>
      <c r="W19" s="231"/>
    </row>
    <row r="20" spans="10:23">
      <c r="J20" s="3">
        <v>18</v>
      </c>
      <c r="K20" s="1" t="s">
        <v>3077</v>
      </c>
      <c r="L20" s="1" t="s">
        <v>3078</v>
      </c>
      <c r="V20" s="231"/>
      <c r="W20" s="231"/>
    </row>
    <row r="21" spans="10:23">
      <c r="J21" s="3">
        <v>19</v>
      </c>
      <c r="K21" s="1" t="s">
        <v>3079</v>
      </c>
      <c r="L21" s="1" t="s">
        <v>3080</v>
      </c>
    </row>
    <row r="22" spans="10:23">
      <c r="J22" s="3">
        <v>20</v>
      </c>
      <c r="K22" s="1" t="s">
        <v>3081</v>
      </c>
      <c r="L22" s="1" t="s">
        <v>3082</v>
      </c>
    </row>
    <row r="23" spans="10:23">
      <c r="J23" s="3">
        <v>21</v>
      </c>
      <c r="K23" s="1" t="s">
        <v>3083</v>
      </c>
      <c r="L23" s="1" t="s">
        <v>3084</v>
      </c>
    </row>
    <row r="24" spans="10:23">
      <c r="J24" s="3">
        <v>22</v>
      </c>
      <c r="K24" s="1" t="s">
        <v>3085</v>
      </c>
      <c r="L24" s="1" t="s">
        <v>3086</v>
      </c>
    </row>
    <row r="25" spans="10:23">
      <c r="J25" s="3">
        <v>23</v>
      </c>
      <c r="K25" s="1" t="s">
        <v>3087</v>
      </c>
      <c r="L25" s="1" t="s">
        <v>3088</v>
      </c>
    </row>
    <row r="26" spans="10:23">
      <c r="J26" s="3">
        <v>24</v>
      </c>
      <c r="K26" s="1" t="s">
        <v>3089</v>
      </c>
      <c r="L26" s="1" t="s">
        <v>3090</v>
      </c>
    </row>
    <row r="27" spans="10:23">
      <c r="J27" s="3">
        <v>25</v>
      </c>
      <c r="K27" s="1" t="s">
        <v>3091</v>
      </c>
      <c r="L27" s="1" t="s">
        <v>3092</v>
      </c>
    </row>
    <row r="28" spans="10:23">
      <c r="J28" s="3">
        <v>26</v>
      </c>
      <c r="K28" s="1" t="s">
        <v>3093</v>
      </c>
      <c r="L28" s="1" t="s">
        <v>3094</v>
      </c>
    </row>
    <row r="29" spans="10:23">
      <c r="J29" s="3">
        <v>27</v>
      </c>
      <c r="K29" s="1" t="s">
        <v>3095</v>
      </c>
      <c r="L29" s="1" t="s">
        <v>3096</v>
      </c>
    </row>
    <row r="30" spans="10:23">
      <c r="J30" s="3">
        <v>28</v>
      </c>
      <c r="K30" s="1" t="s">
        <v>3097</v>
      </c>
      <c r="L30" s="1" t="s">
        <v>3098</v>
      </c>
    </row>
    <row r="31" spans="10:23">
      <c r="J31" s="3">
        <v>29</v>
      </c>
      <c r="K31" s="1" t="s">
        <v>3099</v>
      </c>
      <c r="L31" s="1" t="s">
        <v>3100</v>
      </c>
    </row>
    <row r="32" spans="10:23">
      <c r="J32" s="3">
        <v>30</v>
      </c>
      <c r="K32" s="1" t="s">
        <v>3101</v>
      </c>
      <c r="L32" s="1" t="s">
        <v>3102</v>
      </c>
    </row>
    <row r="33" spans="10:12">
      <c r="J33" s="3">
        <v>31</v>
      </c>
      <c r="K33" s="1" t="s">
        <v>3103</v>
      </c>
      <c r="L33" s="1" t="s">
        <v>3104</v>
      </c>
    </row>
    <row r="34" spans="10:12">
      <c r="J34" s="3">
        <v>32</v>
      </c>
      <c r="K34" s="1" t="s">
        <v>3105</v>
      </c>
      <c r="L34" s="1" t="s">
        <v>3106</v>
      </c>
    </row>
    <row r="35" spans="10:12">
      <c r="J35" s="3">
        <v>33</v>
      </c>
      <c r="K35" s="1" t="s">
        <v>3107</v>
      </c>
      <c r="L35" s="1" t="s">
        <v>3108</v>
      </c>
    </row>
    <row r="36" spans="10:12">
      <c r="J36" s="3">
        <v>34</v>
      </c>
      <c r="K36" s="1" t="s">
        <v>3109</v>
      </c>
      <c r="L36" s="1" t="s">
        <v>3110</v>
      </c>
    </row>
    <row r="37" spans="10:12">
      <c r="J37" s="3">
        <v>35</v>
      </c>
      <c r="K37" s="1" t="s">
        <v>3111</v>
      </c>
      <c r="L37" s="1" t="s">
        <v>3112</v>
      </c>
    </row>
    <row r="38" spans="10:12">
      <c r="J38" s="3">
        <v>36</v>
      </c>
      <c r="K38" s="1" t="s">
        <v>3113</v>
      </c>
      <c r="L38" s="1" t="s">
        <v>3114</v>
      </c>
    </row>
    <row r="39" spans="10:12">
      <c r="J39" s="3">
        <v>37</v>
      </c>
      <c r="K39" s="1" t="s">
        <v>3115</v>
      </c>
      <c r="L39" s="1" t="s">
        <v>3116</v>
      </c>
    </row>
    <row r="40" spans="10:12">
      <c r="J40" s="3">
        <v>38</v>
      </c>
      <c r="K40" s="1" t="s">
        <v>3117</v>
      </c>
      <c r="L40" s="1" t="s">
        <v>3118</v>
      </c>
    </row>
    <row r="41" spans="10:12">
      <c r="J41" s="3">
        <v>39</v>
      </c>
      <c r="K41" s="1" t="s">
        <v>3119</v>
      </c>
      <c r="L41" s="1" t="s">
        <v>3120</v>
      </c>
    </row>
    <row r="42" spans="10:12">
      <c r="J42" s="3">
        <v>40</v>
      </c>
      <c r="K42" s="1" t="s">
        <v>3121</v>
      </c>
      <c r="L42" s="1" t="s">
        <v>3122</v>
      </c>
    </row>
    <row r="43" spans="10:12">
      <c r="J43" s="3">
        <v>41</v>
      </c>
      <c r="K43" s="1" t="s">
        <v>3123</v>
      </c>
      <c r="L43" s="1" t="s">
        <v>3124</v>
      </c>
    </row>
    <row r="44" spans="10:12">
      <c r="J44" s="3">
        <v>42</v>
      </c>
      <c r="K44" s="1" t="s">
        <v>3125</v>
      </c>
      <c r="L44" s="1" t="s">
        <v>3126</v>
      </c>
    </row>
    <row r="45" spans="10:12">
      <c r="J45" s="3">
        <v>43</v>
      </c>
      <c r="K45" s="1" t="s">
        <v>3127</v>
      </c>
      <c r="L45" s="1" t="s">
        <v>3128</v>
      </c>
    </row>
    <row r="46" spans="10:12">
      <c r="J46" s="3">
        <v>44</v>
      </c>
      <c r="K46" s="1" t="s">
        <v>3129</v>
      </c>
      <c r="L46" s="1" t="s">
        <v>3130</v>
      </c>
    </row>
    <row r="47" spans="10:12">
      <c r="J47" s="3">
        <v>45</v>
      </c>
      <c r="K47" s="1" t="s">
        <v>3131</v>
      </c>
      <c r="L47" s="1" t="s">
        <v>3132</v>
      </c>
    </row>
    <row r="48" spans="10:12">
      <c r="J48" s="3">
        <v>46</v>
      </c>
      <c r="K48" s="1" t="s">
        <v>3133</v>
      </c>
      <c r="L48" s="1" t="s">
        <v>3134</v>
      </c>
    </row>
    <row r="49" spans="10:12">
      <c r="J49" s="3">
        <v>47</v>
      </c>
      <c r="K49" s="1" t="s">
        <v>3135</v>
      </c>
      <c r="L49" s="1" t="s">
        <v>3136</v>
      </c>
    </row>
    <row r="50" spans="10:12">
      <c r="J50" s="3">
        <v>48</v>
      </c>
      <c r="K50" s="1" t="s">
        <v>3137</v>
      </c>
      <c r="L50" s="1" t="s">
        <v>3138</v>
      </c>
    </row>
    <row r="51" spans="10:12">
      <c r="J51" s="3">
        <v>49</v>
      </c>
      <c r="K51" s="1" t="s">
        <v>3139</v>
      </c>
      <c r="L51" s="1" t="s">
        <v>3140</v>
      </c>
    </row>
    <row r="52" spans="10:12">
      <c r="J52" s="3">
        <v>50</v>
      </c>
      <c r="K52" s="1" t="s">
        <v>3141</v>
      </c>
      <c r="L52" s="1" t="s">
        <v>3142</v>
      </c>
    </row>
    <row r="53" spans="10:12">
      <c r="J53" s="3">
        <v>51</v>
      </c>
      <c r="K53" s="1" t="s">
        <v>3143</v>
      </c>
      <c r="L53" s="1" t="s">
        <v>3144</v>
      </c>
    </row>
    <row r="54" spans="10:12">
      <c r="J54" s="3">
        <v>52</v>
      </c>
      <c r="K54" s="1" t="s">
        <v>3145</v>
      </c>
      <c r="L54" s="1" t="s">
        <v>3146</v>
      </c>
    </row>
    <row r="55" spans="10:12">
      <c r="J55" s="3">
        <v>53</v>
      </c>
      <c r="K55" s="1" t="s">
        <v>3147</v>
      </c>
      <c r="L55" s="1" t="s">
        <v>3148</v>
      </c>
    </row>
    <row r="56" spans="10:12">
      <c r="J56" s="3">
        <v>54</v>
      </c>
      <c r="K56" s="1" t="s">
        <v>3149</v>
      </c>
      <c r="L56" s="1" t="s">
        <v>3150</v>
      </c>
    </row>
    <row r="57" spans="10:12">
      <c r="J57" s="3">
        <v>55</v>
      </c>
      <c r="K57" s="1" t="s">
        <v>3151</v>
      </c>
      <c r="L57" s="1" t="s">
        <v>3152</v>
      </c>
    </row>
    <row r="58" spans="10:12">
      <c r="J58" s="3">
        <v>56</v>
      </c>
      <c r="K58" s="1" t="s">
        <v>3153</v>
      </c>
      <c r="L58" s="1" t="s">
        <v>3154</v>
      </c>
    </row>
    <row r="59" spans="10:12">
      <c r="J59" s="3">
        <v>57</v>
      </c>
      <c r="K59" s="1" t="s">
        <v>3155</v>
      </c>
      <c r="L59" s="1" t="s">
        <v>3156</v>
      </c>
    </row>
    <row r="60" spans="10:12">
      <c r="J60" s="3">
        <v>58</v>
      </c>
      <c r="K60" s="1" t="s">
        <v>3157</v>
      </c>
      <c r="L60" s="1" t="s">
        <v>3158</v>
      </c>
    </row>
    <row r="61" spans="10:12">
      <c r="J61" s="3">
        <v>59</v>
      </c>
      <c r="K61" s="1" t="s">
        <v>3159</v>
      </c>
      <c r="L61" s="1" t="s">
        <v>3160</v>
      </c>
    </row>
    <row r="62" spans="10:12">
      <c r="J62" s="3">
        <v>60</v>
      </c>
      <c r="K62" s="1" t="s">
        <v>3161</v>
      </c>
      <c r="L62" s="1" t="s">
        <v>3162</v>
      </c>
    </row>
    <row r="63" spans="10:12">
      <c r="J63" s="3">
        <v>61</v>
      </c>
      <c r="K63" s="1" t="s">
        <v>3163</v>
      </c>
      <c r="L63" s="1" t="s">
        <v>3164</v>
      </c>
    </row>
    <row r="64" spans="10:12">
      <c r="J64" s="3">
        <v>62</v>
      </c>
      <c r="K64" s="1" t="s">
        <v>3165</v>
      </c>
      <c r="L64" s="1" t="s">
        <v>3166</v>
      </c>
    </row>
    <row r="65" spans="10:12">
      <c r="J65" s="3">
        <v>63</v>
      </c>
      <c r="K65" s="1" t="s">
        <v>3167</v>
      </c>
      <c r="L65" s="1" t="s">
        <v>3168</v>
      </c>
    </row>
    <row r="66" spans="10:12">
      <c r="J66" s="3">
        <v>64</v>
      </c>
      <c r="K66" s="1" t="s">
        <v>3169</v>
      </c>
      <c r="L66" s="1" t="s">
        <v>3170</v>
      </c>
    </row>
    <row r="67" spans="10:12">
      <c r="J67" s="3">
        <v>65</v>
      </c>
      <c r="K67" s="1" t="s">
        <v>3171</v>
      </c>
      <c r="L67" s="1" t="s">
        <v>3172</v>
      </c>
    </row>
    <row r="68" spans="10:12">
      <c r="J68" s="3">
        <v>66</v>
      </c>
      <c r="K68" s="1" t="s">
        <v>3173</v>
      </c>
      <c r="L68" s="1" t="s">
        <v>3174</v>
      </c>
    </row>
    <row r="69" spans="10:12">
      <c r="J69" s="3">
        <v>67</v>
      </c>
      <c r="K69" s="1" t="s">
        <v>3175</v>
      </c>
      <c r="L69" s="1" t="s">
        <v>3176</v>
      </c>
    </row>
    <row r="70" spans="10:12">
      <c r="J70" s="3">
        <v>68</v>
      </c>
      <c r="K70" s="1" t="s">
        <v>3177</v>
      </c>
      <c r="L70" s="1" t="s">
        <v>3178</v>
      </c>
    </row>
    <row r="71" spans="10:12">
      <c r="J71" s="3">
        <v>69</v>
      </c>
      <c r="K71" s="1" t="s">
        <v>3179</v>
      </c>
      <c r="L71" s="1" t="s">
        <v>3180</v>
      </c>
    </row>
    <row r="72" spans="10:12">
      <c r="J72" s="3">
        <v>70</v>
      </c>
      <c r="K72" s="1" t="s">
        <v>3181</v>
      </c>
      <c r="L72" s="1" t="s">
        <v>3182</v>
      </c>
    </row>
    <row r="73" spans="10:12">
      <c r="J73" s="3">
        <v>71</v>
      </c>
      <c r="K73" s="1" t="s">
        <v>3183</v>
      </c>
      <c r="L73" s="1" t="s">
        <v>3184</v>
      </c>
    </row>
    <row r="74" spans="10:12">
      <c r="J74" s="3">
        <v>72</v>
      </c>
      <c r="K74" s="1" t="s">
        <v>3185</v>
      </c>
      <c r="L74" s="1" t="s">
        <v>3186</v>
      </c>
    </row>
    <row r="75" spans="10:12">
      <c r="J75" s="3">
        <v>73</v>
      </c>
      <c r="K75" s="1" t="s">
        <v>3187</v>
      </c>
      <c r="L75" s="1" t="s">
        <v>3188</v>
      </c>
    </row>
    <row r="76" spans="10:12">
      <c r="J76" s="3">
        <v>74</v>
      </c>
      <c r="K76" s="1" t="s">
        <v>3189</v>
      </c>
      <c r="L76" s="1" t="s">
        <v>3190</v>
      </c>
    </row>
    <row r="77" spans="10:12">
      <c r="J77" s="3">
        <v>75</v>
      </c>
      <c r="K77" s="1" t="s">
        <v>3191</v>
      </c>
      <c r="L77" s="1" t="s">
        <v>3192</v>
      </c>
    </row>
    <row r="78" spans="10:12">
      <c r="J78" s="3">
        <v>76</v>
      </c>
      <c r="K78" s="1" t="s">
        <v>3193</v>
      </c>
      <c r="L78" s="1" t="s">
        <v>3194</v>
      </c>
    </row>
    <row r="79" spans="10:12">
      <c r="J79" s="3">
        <v>77</v>
      </c>
      <c r="K79" s="1" t="s">
        <v>3195</v>
      </c>
      <c r="L79" s="1" t="s">
        <v>3196</v>
      </c>
    </row>
    <row r="80" spans="10:12">
      <c r="J80" s="3">
        <v>78</v>
      </c>
      <c r="K80" s="1" t="s">
        <v>3197</v>
      </c>
      <c r="L80" s="1" t="s">
        <v>3198</v>
      </c>
    </row>
    <row r="81" spans="10:12">
      <c r="J81" s="3">
        <v>79</v>
      </c>
      <c r="K81" s="1" t="s">
        <v>3199</v>
      </c>
      <c r="L81" s="1" t="s">
        <v>3200</v>
      </c>
    </row>
    <row r="82" spans="10:12">
      <c r="J82" s="3">
        <v>80</v>
      </c>
      <c r="K82" s="1" t="s">
        <v>3201</v>
      </c>
      <c r="L82" s="1" t="s">
        <v>3202</v>
      </c>
    </row>
    <row r="83" spans="10:12">
      <c r="J83" s="3">
        <v>81</v>
      </c>
      <c r="K83" s="1" t="s">
        <v>3203</v>
      </c>
      <c r="L83" s="1" t="s">
        <v>3204</v>
      </c>
    </row>
    <row r="84" spans="10:12">
      <c r="J84" s="3">
        <v>82</v>
      </c>
      <c r="K84" s="1" t="s">
        <v>3205</v>
      </c>
      <c r="L84" s="1" t="s">
        <v>3206</v>
      </c>
    </row>
    <row r="85" spans="10:12">
      <c r="J85" s="3">
        <v>83</v>
      </c>
      <c r="K85" s="1" t="s">
        <v>3207</v>
      </c>
      <c r="L85" s="1" t="s">
        <v>3208</v>
      </c>
    </row>
    <row r="86" spans="10:12">
      <c r="J86" s="3">
        <v>84</v>
      </c>
      <c r="K86" s="1" t="s">
        <v>3209</v>
      </c>
      <c r="L86" s="1" t="s">
        <v>3210</v>
      </c>
    </row>
    <row r="87" spans="10:12">
      <c r="J87" s="3">
        <v>85</v>
      </c>
      <c r="K87" s="1" t="s">
        <v>3211</v>
      </c>
      <c r="L87" s="1" t="s">
        <v>3212</v>
      </c>
    </row>
    <row r="88" spans="10:12">
      <c r="J88" s="3">
        <v>86</v>
      </c>
      <c r="K88" s="1" t="s">
        <v>3213</v>
      </c>
      <c r="L88" s="1" t="s">
        <v>3214</v>
      </c>
    </row>
    <row r="89" spans="10:12">
      <c r="J89" s="3">
        <v>87</v>
      </c>
      <c r="K89" s="1" t="s">
        <v>3215</v>
      </c>
      <c r="L89" s="1" t="s">
        <v>3216</v>
      </c>
    </row>
    <row r="90" spans="10:12">
      <c r="J90" s="3">
        <v>88</v>
      </c>
      <c r="K90" s="1" t="s">
        <v>3217</v>
      </c>
      <c r="L90" s="1" t="s">
        <v>3218</v>
      </c>
    </row>
    <row r="91" spans="10:12">
      <c r="J91" s="3">
        <v>89</v>
      </c>
      <c r="K91" s="1" t="s">
        <v>3219</v>
      </c>
      <c r="L91" s="1" t="s">
        <v>3220</v>
      </c>
    </row>
    <row r="92" spans="10:12">
      <c r="J92" s="3">
        <v>90</v>
      </c>
      <c r="K92" s="1" t="s">
        <v>3221</v>
      </c>
      <c r="L92" s="1" t="s">
        <v>3222</v>
      </c>
    </row>
    <row r="93" spans="10:12">
      <c r="J93" s="3">
        <v>91</v>
      </c>
      <c r="K93" s="1" t="s">
        <v>3223</v>
      </c>
      <c r="L93" s="1" t="s">
        <v>3224</v>
      </c>
    </row>
    <row r="94" spans="10:12">
      <c r="J94" s="3">
        <v>92</v>
      </c>
      <c r="K94" s="1" t="s">
        <v>3225</v>
      </c>
      <c r="L94" s="1" t="s">
        <v>3226</v>
      </c>
    </row>
    <row r="95" spans="10:12">
      <c r="J95" s="3">
        <v>93</v>
      </c>
      <c r="K95" s="1" t="s">
        <v>3227</v>
      </c>
      <c r="L95" s="1" t="s">
        <v>3228</v>
      </c>
    </row>
    <row r="96" spans="10:12">
      <c r="J96" s="3">
        <v>94</v>
      </c>
      <c r="K96" s="1" t="s">
        <v>3229</v>
      </c>
      <c r="L96" s="1" t="s">
        <v>3230</v>
      </c>
    </row>
    <row r="97" spans="10:12">
      <c r="J97" s="3">
        <v>95</v>
      </c>
      <c r="K97" s="1" t="s">
        <v>3231</v>
      </c>
      <c r="L97" s="1" t="s">
        <v>3232</v>
      </c>
    </row>
    <row r="98" spans="10:12">
      <c r="J98" s="3">
        <v>96</v>
      </c>
      <c r="K98" s="1" t="s">
        <v>3233</v>
      </c>
      <c r="L98" s="1" t="s">
        <v>3234</v>
      </c>
    </row>
    <row r="99" spans="10:12">
      <c r="J99" s="3">
        <v>97</v>
      </c>
      <c r="K99" s="1" t="s">
        <v>3235</v>
      </c>
      <c r="L99" s="1" t="s">
        <v>3236</v>
      </c>
    </row>
    <row r="100" spans="10:12">
      <c r="J100" s="3">
        <v>98</v>
      </c>
      <c r="K100" s="1" t="s">
        <v>3237</v>
      </c>
      <c r="L100" s="1" t="s">
        <v>3238</v>
      </c>
    </row>
    <row r="101" spans="10:12">
      <c r="J101" s="3">
        <v>99</v>
      </c>
      <c r="K101" s="1" t="s">
        <v>3239</v>
      </c>
      <c r="L101" s="1" t="s">
        <v>3240</v>
      </c>
    </row>
    <row r="102" spans="10:12">
      <c r="J102" s="3">
        <v>100</v>
      </c>
      <c r="K102" s="1" t="s">
        <v>3241</v>
      </c>
      <c r="L102" s="1" t="s">
        <v>3242</v>
      </c>
    </row>
    <row r="103" spans="10:12">
      <c r="J103" s="3">
        <v>101</v>
      </c>
      <c r="K103" s="1" t="s">
        <v>3243</v>
      </c>
      <c r="L103" s="1" t="s">
        <v>3244</v>
      </c>
    </row>
    <row r="104" spans="10:12">
      <c r="J104" s="3">
        <v>102</v>
      </c>
      <c r="K104" s="1" t="s">
        <v>3245</v>
      </c>
      <c r="L104" s="1" t="s">
        <v>3246</v>
      </c>
    </row>
    <row r="105" spans="10:12">
      <c r="J105" s="3">
        <v>103</v>
      </c>
      <c r="K105" s="1" t="s">
        <v>3247</v>
      </c>
      <c r="L105" s="1" t="s">
        <v>3248</v>
      </c>
    </row>
    <row r="106" spans="10:12">
      <c r="J106" s="3">
        <v>104</v>
      </c>
      <c r="K106" s="1" t="s">
        <v>3249</v>
      </c>
      <c r="L106" s="1" t="s">
        <v>3250</v>
      </c>
    </row>
    <row r="107" spans="10:12">
      <c r="J107" s="3">
        <v>105</v>
      </c>
      <c r="K107" s="1" t="s">
        <v>3251</v>
      </c>
      <c r="L107" s="1" t="s">
        <v>3252</v>
      </c>
    </row>
    <row r="108" spans="10:12">
      <c r="J108" s="3">
        <v>106</v>
      </c>
      <c r="K108" s="1" t="s">
        <v>3253</v>
      </c>
      <c r="L108" s="1" t="s">
        <v>3254</v>
      </c>
    </row>
    <row r="109" spans="10:12">
      <c r="J109" s="3">
        <v>107</v>
      </c>
      <c r="K109" s="1" t="s">
        <v>3255</v>
      </c>
      <c r="L109" s="1" t="s">
        <v>3256</v>
      </c>
    </row>
    <row r="110" spans="10:12">
      <c r="J110" s="3">
        <v>108</v>
      </c>
      <c r="K110" s="1" t="s">
        <v>3257</v>
      </c>
      <c r="L110" s="1" t="s">
        <v>3258</v>
      </c>
    </row>
    <row r="111" spans="10:12">
      <c r="J111" s="3">
        <v>109</v>
      </c>
      <c r="K111" s="1" t="s">
        <v>3259</v>
      </c>
      <c r="L111" s="1" t="s">
        <v>3260</v>
      </c>
    </row>
    <row r="112" spans="10:12">
      <c r="J112" s="3">
        <v>110</v>
      </c>
      <c r="K112" s="1" t="s">
        <v>3261</v>
      </c>
      <c r="L112" s="1" t="s">
        <v>3262</v>
      </c>
    </row>
    <row r="113" spans="10:12">
      <c r="J113" s="3">
        <v>111</v>
      </c>
      <c r="K113" s="1" t="s">
        <v>3263</v>
      </c>
      <c r="L113" s="1" t="s">
        <v>3264</v>
      </c>
    </row>
    <row r="114" spans="10:12">
      <c r="J114" s="3">
        <v>112</v>
      </c>
      <c r="K114" s="1" t="s">
        <v>3265</v>
      </c>
      <c r="L114" s="1" t="s">
        <v>3266</v>
      </c>
    </row>
    <row r="115" spans="10:12">
      <c r="J115" s="3">
        <v>113</v>
      </c>
      <c r="K115" s="1" t="s">
        <v>3267</v>
      </c>
      <c r="L115" s="1" t="s">
        <v>3268</v>
      </c>
    </row>
    <row r="116" spans="10:12">
      <c r="J116" s="3">
        <v>114</v>
      </c>
      <c r="K116" s="1" t="s">
        <v>3269</v>
      </c>
      <c r="L116" s="1" t="s">
        <v>3270</v>
      </c>
    </row>
    <row r="117" spans="10:12">
      <c r="J117" s="3">
        <v>115</v>
      </c>
      <c r="K117" s="1" t="s">
        <v>3271</v>
      </c>
      <c r="L117" s="1" t="s">
        <v>3272</v>
      </c>
    </row>
    <row r="118" spans="10:12">
      <c r="J118" s="3">
        <v>116</v>
      </c>
      <c r="K118" s="1" t="s">
        <v>3273</v>
      </c>
      <c r="L118" s="1" t="s">
        <v>3274</v>
      </c>
    </row>
    <row r="119" spans="10:12">
      <c r="J119" s="3">
        <v>117</v>
      </c>
      <c r="K119" s="1" t="s">
        <v>3275</v>
      </c>
      <c r="L119" s="1" t="s">
        <v>3276</v>
      </c>
    </row>
    <row r="120" spans="10:12">
      <c r="J120" s="3">
        <v>118</v>
      </c>
      <c r="K120" s="1" t="s">
        <v>3277</v>
      </c>
      <c r="L120" s="1" t="s">
        <v>3278</v>
      </c>
    </row>
    <row r="121" spans="10:12">
      <c r="J121" s="3">
        <v>119</v>
      </c>
      <c r="K121" s="1" t="s">
        <v>3279</v>
      </c>
      <c r="L121" s="1" t="s">
        <v>3280</v>
      </c>
    </row>
    <row r="122" spans="10:12">
      <c r="J122" s="3">
        <v>120</v>
      </c>
      <c r="K122" s="1" t="s">
        <v>3281</v>
      </c>
      <c r="L122" s="1" t="s">
        <v>3282</v>
      </c>
    </row>
    <row r="123" spans="10:12">
      <c r="J123" s="3">
        <v>121</v>
      </c>
      <c r="K123" s="1" t="s">
        <v>3283</v>
      </c>
      <c r="L123" s="1" t="s">
        <v>3284</v>
      </c>
    </row>
    <row r="124" spans="10:12">
      <c r="J124" s="3">
        <v>122</v>
      </c>
      <c r="K124" s="1" t="s">
        <v>3285</v>
      </c>
      <c r="L124" s="1" t="s">
        <v>3286</v>
      </c>
    </row>
    <row r="125" spans="10:12">
      <c r="J125" s="3">
        <v>123</v>
      </c>
      <c r="K125" s="1" t="s">
        <v>3287</v>
      </c>
      <c r="L125" s="1" t="s">
        <v>3288</v>
      </c>
    </row>
    <row r="126" spans="10:12">
      <c r="J126" s="3">
        <v>124</v>
      </c>
      <c r="K126" s="1" t="s">
        <v>3289</v>
      </c>
      <c r="L126" s="1" t="s">
        <v>3290</v>
      </c>
    </row>
    <row r="127" spans="10:12">
      <c r="J127" s="3">
        <v>125</v>
      </c>
      <c r="K127" s="1" t="s">
        <v>3291</v>
      </c>
      <c r="L127" s="1" t="s">
        <v>3292</v>
      </c>
    </row>
    <row r="128" spans="10:12">
      <c r="J128" s="3">
        <v>126</v>
      </c>
      <c r="K128" s="1" t="s">
        <v>3293</v>
      </c>
      <c r="L128" s="1" t="s">
        <v>3294</v>
      </c>
    </row>
    <row r="129" spans="10:12">
      <c r="J129" s="3">
        <v>127</v>
      </c>
      <c r="K129" s="1" t="s">
        <v>3295</v>
      </c>
      <c r="L129" s="1" t="s">
        <v>3296</v>
      </c>
    </row>
    <row r="130" spans="10:12">
      <c r="J130" s="3">
        <v>128</v>
      </c>
      <c r="K130" s="1" t="s">
        <v>3297</v>
      </c>
      <c r="L130" s="1" t="s">
        <v>3298</v>
      </c>
    </row>
    <row r="131" spans="10:12">
      <c r="J131" s="3">
        <v>129</v>
      </c>
      <c r="K131" s="1" t="s">
        <v>3299</v>
      </c>
      <c r="L131" s="1" t="s">
        <v>3300</v>
      </c>
    </row>
    <row r="132" spans="10:12">
      <c r="J132" s="3">
        <v>130</v>
      </c>
      <c r="K132" s="1" t="s">
        <v>3301</v>
      </c>
      <c r="L132" s="1" t="s">
        <v>3302</v>
      </c>
    </row>
    <row r="133" spans="10:12">
      <c r="J133" s="3">
        <v>131</v>
      </c>
      <c r="K133" s="1" t="s">
        <v>3303</v>
      </c>
      <c r="L133" s="1" t="s">
        <v>3304</v>
      </c>
    </row>
    <row r="134" spans="10:12">
      <c r="J134" s="3">
        <v>132</v>
      </c>
      <c r="K134" s="1" t="s">
        <v>3305</v>
      </c>
      <c r="L134" s="1" t="s">
        <v>3306</v>
      </c>
    </row>
    <row r="135" spans="10:12">
      <c r="J135" s="3">
        <v>133</v>
      </c>
      <c r="K135" s="1" t="s">
        <v>3307</v>
      </c>
      <c r="L135" s="1" t="s">
        <v>3308</v>
      </c>
    </row>
    <row r="136" spans="10:12">
      <c r="J136" s="3">
        <v>134</v>
      </c>
      <c r="K136" s="1" t="s">
        <v>3309</v>
      </c>
      <c r="L136" s="1" t="s">
        <v>3310</v>
      </c>
    </row>
    <row r="137" spans="10:12">
      <c r="J137" s="3">
        <v>135</v>
      </c>
      <c r="K137" s="1" t="s">
        <v>3311</v>
      </c>
      <c r="L137" s="1" t="s">
        <v>3312</v>
      </c>
    </row>
    <row r="138" spans="10:12">
      <c r="J138" s="3">
        <v>136</v>
      </c>
      <c r="K138" s="1" t="s">
        <v>3313</v>
      </c>
      <c r="L138" s="1" t="s">
        <v>3314</v>
      </c>
    </row>
    <row r="139" spans="10:12">
      <c r="J139" s="3">
        <v>137</v>
      </c>
      <c r="K139" s="1" t="s">
        <v>3315</v>
      </c>
      <c r="L139" s="1" t="s">
        <v>3316</v>
      </c>
    </row>
    <row r="140" spans="10:12">
      <c r="J140" s="3">
        <v>138</v>
      </c>
      <c r="K140" s="1" t="s">
        <v>3317</v>
      </c>
      <c r="L140" s="1" t="s">
        <v>3318</v>
      </c>
    </row>
    <row r="141" spans="10:12">
      <c r="J141" s="3">
        <v>139</v>
      </c>
      <c r="K141" s="1" t="s">
        <v>3319</v>
      </c>
      <c r="L141" s="1" t="s">
        <v>3320</v>
      </c>
    </row>
    <row r="142" spans="10:12">
      <c r="J142" s="3">
        <v>140</v>
      </c>
      <c r="K142" s="1" t="s">
        <v>3321</v>
      </c>
      <c r="L142" s="1" t="s">
        <v>3322</v>
      </c>
    </row>
    <row r="143" spans="10:12">
      <c r="J143" s="3">
        <v>141</v>
      </c>
      <c r="K143" s="1" t="s">
        <v>3323</v>
      </c>
      <c r="L143" s="1" t="s">
        <v>3324</v>
      </c>
    </row>
    <row r="144" spans="10:12">
      <c r="J144" s="3">
        <v>142</v>
      </c>
      <c r="K144" s="1" t="s">
        <v>3325</v>
      </c>
      <c r="L144" s="1" t="s">
        <v>3326</v>
      </c>
    </row>
    <row r="145" spans="10:12">
      <c r="J145" s="3">
        <v>143</v>
      </c>
      <c r="K145" s="1" t="s">
        <v>3327</v>
      </c>
      <c r="L145" s="1" t="s">
        <v>3328</v>
      </c>
    </row>
    <row r="146" spans="10:12">
      <c r="J146" s="3">
        <v>144</v>
      </c>
      <c r="K146" s="1" t="s">
        <v>3329</v>
      </c>
      <c r="L146" s="1" t="s">
        <v>3330</v>
      </c>
    </row>
    <row r="147" spans="10:12">
      <c r="J147" s="3">
        <v>145</v>
      </c>
      <c r="K147" s="1" t="s">
        <v>3331</v>
      </c>
      <c r="L147" s="1" t="s">
        <v>3332</v>
      </c>
    </row>
    <row r="148" spans="10:12">
      <c r="J148" s="3">
        <v>146</v>
      </c>
      <c r="K148" s="1" t="s">
        <v>3333</v>
      </c>
      <c r="L148" s="1" t="s">
        <v>3334</v>
      </c>
    </row>
    <row r="149" spans="10:12">
      <c r="J149" s="3">
        <v>147</v>
      </c>
      <c r="K149" s="1" t="s">
        <v>3335</v>
      </c>
      <c r="L149" s="1" t="s">
        <v>3336</v>
      </c>
    </row>
    <row r="150" spans="10:12">
      <c r="J150" s="3">
        <v>148</v>
      </c>
      <c r="K150" s="1" t="s">
        <v>3337</v>
      </c>
      <c r="L150" s="1" t="s">
        <v>3338</v>
      </c>
    </row>
    <row r="151" spans="10:12">
      <c r="J151" s="3">
        <v>149</v>
      </c>
      <c r="K151" s="1" t="s">
        <v>3339</v>
      </c>
      <c r="L151" s="1" t="s">
        <v>3340</v>
      </c>
    </row>
    <row r="152" spans="10:12">
      <c r="J152" s="3">
        <v>150</v>
      </c>
      <c r="K152" s="1" t="s">
        <v>3341</v>
      </c>
      <c r="L152" s="1" t="s">
        <v>3342</v>
      </c>
    </row>
    <row r="153" spans="10:12">
      <c r="J153" s="3">
        <v>151</v>
      </c>
      <c r="K153" s="1" t="s">
        <v>3343</v>
      </c>
      <c r="L153" s="1" t="s">
        <v>3344</v>
      </c>
    </row>
    <row r="154" spans="10:12">
      <c r="J154" s="3">
        <v>152</v>
      </c>
      <c r="K154" s="1" t="s">
        <v>3345</v>
      </c>
      <c r="L154" s="1" t="s">
        <v>3346</v>
      </c>
    </row>
    <row r="155" spans="10:12">
      <c r="J155" s="3">
        <v>153</v>
      </c>
      <c r="K155" s="1" t="s">
        <v>3347</v>
      </c>
      <c r="L155" s="1" t="s">
        <v>3348</v>
      </c>
    </row>
    <row r="156" spans="10:12">
      <c r="J156" s="3">
        <v>154</v>
      </c>
      <c r="K156" s="1" t="s">
        <v>3349</v>
      </c>
      <c r="L156" s="1" t="s">
        <v>3350</v>
      </c>
    </row>
    <row r="157" spans="10:12">
      <c r="J157" s="3">
        <v>155</v>
      </c>
      <c r="K157" s="1" t="s">
        <v>3351</v>
      </c>
      <c r="L157" s="1" t="s">
        <v>3352</v>
      </c>
    </row>
    <row r="158" spans="10:12">
      <c r="J158" s="3">
        <v>156</v>
      </c>
      <c r="K158" s="1" t="s">
        <v>3353</v>
      </c>
      <c r="L158" s="1" t="s">
        <v>3354</v>
      </c>
    </row>
    <row r="159" spans="10:12">
      <c r="J159" s="3">
        <v>157</v>
      </c>
      <c r="K159" s="1" t="s">
        <v>3355</v>
      </c>
      <c r="L159" s="1" t="s">
        <v>3356</v>
      </c>
    </row>
    <row r="160" spans="10:12">
      <c r="J160" s="3">
        <v>158</v>
      </c>
      <c r="K160" s="1" t="s">
        <v>3357</v>
      </c>
      <c r="L160" s="1" t="s">
        <v>3358</v>
      </c>
    </row>
    <row r="161" spans="10:12">
      <c r="J161" s="3">
        <v>159</v>
      </c>
      <c r="K161" s="1" t="s">
        <v>3359</v>
      </c>
      <c r="L161" s="1" t="s">
        <v>3360</v>
      </c>
    </row>
    <row r="162" spans="10:12">
      <c r="J162" s="3">
        <v>160</v>
      </c>
      <c r="K162" s="1" t="s">
        <v>3361</v>
      </c>
      <c r="L162" s="1" t="s">
        <v>3362</v>
      </c>
    </row>
    <row r="163" spans="10:12">
      <c r="J163" s="3">
        <v>161</v>
      </c>
      <c r="K163" s="1" t="s">
        <v>3363</v>
      </c>
      <c r="L163" s="1" t="s">
        <v>3364</v>
      </c>
    </row>
    <row r="164" spans="10:12">
      <c r="J164" s="3">
        <v>162</v>
      </c>
      <c r="K164" s="1" t="s">
        <v>3365</v>
      </c>
      <c r="L164" s="1" t="s">
        <v>3366</v>
      </c>
    </row>
    <row r="165" spans="10:12">
      <c r="J165" s="3">
        <v>163</v>
      </c>
      <c r="K165" s="1" t="s">
        <v>3367</v>
      </c>
      <c r="L165" s="1" t="s">
        <v>3368</v>
      </c>
    </row>
    <row r="166" spans="10:12">
      <c r="J166" s="3">
        <v>999</v>
      </c>
      <c r="K166" s="11" t="s">
        <v>3369</v>
      </c>
      <c r="L166" s="1" t="s">
        <v>3370</v>
      </c>
    </row>
  </sheetData>
  <sheetProtection algorithmName="SHA-512" hashValue="qy/MDn06aNTflaf7RgJNc7IdfOVPbgFYM4ytmPe09YnI+rHSXfBH0lmZ3d5E1Hr5WZgojWlHEAkoK9NZ38GnaA==" saltValue="z5xbhoMAI/U6XEcxg7eOtw==" spinCount="100000" sheet="1" objects="1" scenarios="1"/>
  <mergeCells count="2">
    <mergeCell ref="O1:Q1"/>
    <mergeCell ref="R1:T1"/>
  </mergeCells>
  <phoneticPr fontId="0" type="noConversion"/>
  <hyperlinks>
    <hyperlink ref="U2" r:id="rId1" xr:uid="{00000000-0004-0000-1900-000000000000}"/>
    <hyperlink ref="U8" r:id="rId2" display="http://www.sbs.gob.pe/app/stats/TC-Contable.asp" xr:uid="{00000000-0004-0000-1900-000001000000}"/>
    <hyperlink ref="U1" r:id="rId3" display="http://www.sbs.gob.pe/app/stats/TC-Contable.asp" xr:uid="{00000000-0004-0000-1900-000002000000}"/>
  </hyperlinks>
  <pageMargins left="0.75" right="0.75" top="1" bottom="1" header="0" footer="0"/>
  <pageSetup paperSize="9" orientation="portrait" r:id="rId4"/>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53">
    <tabColor theme="9" tint="-0.499984740745262"/>
  </sheetPr>
  <dimension ref="A1:S40"/>
  <sheetViews>
    <sheetView topLeftCell="C1" zoomScale="85" zoomScaleNormal="85" workbookViewId="0">
      <selection activeCell="P7" sqref="P7"/>
    </sheetView>
  </sheetViews>
  <sheetFormatPr baseColWidth="10" defaultColWidth="11.42578125" defaultRowHeight="12.75"/>
  <cols>
    <col min="1" max="1" width="11.42578125" style="96" hidden="1" customWidth="1"/>
    <col min="2" max="2" width="20.140625" style="96" hidden="1" customWidth="1"/>
    <col min="3" max="3" width="4.5703125" style="96" customWidth="1"/>
    <col min="4" max="4" width="66.140625" style="12" customWidth="1"/>
    <col min="5" max="5" width="17" customWidth="1"/>
    <col min="6" max="6" width="18.140625" customWidth="1"/>
    <col min="7" max="19" width="11.42578125" style="38"/>
  </cols>
  <sheetData>
    <row r="1" spans="1:19" ht="14.25" customHeight="1" thickBot="1">
      <c r="D1" s="184"/>
      <c r="E1" s="185"/>
      <c r="F1" s="186"/>
    </row>
    <row r="2" spans="1:19" ht="15" customHeight="1" thickTop="1">
      <c r="D2" s="1229"/>
      <c r="E2" s="1230"/>
      <c r="F2" s="1231"/>
    </row>
    <row r="3" spans="1:19" ht="38.25">
      <c r="B3" s="130" t="str">
        <f ca="1">RIGHT(CELL("nombrearchivo",A1),LEN(CELL("nombrearchivo",A1))-SEARCH("]",CELL("nombrearchivo",A1)))</f>
        <v>TCambioSalida</v>
      </c>
      <c r="C3" s="118"/>
      <c r="D3" s="1232" t="s">
        <v>3371</v>
      </c>
      <c r="E3" s="1227"/>
      <c r="F3" s="1233"/>
    </row>
    <row r="4" spans="1:19" ht="15" customHeight="1">
      <c r="C4" s="118"/>
      <c r="D4" s="1234"/>
      <c r="E4" s="1228"/>
      <c r="F4" s="1235"/>
    </row>
    <row r="5" spans="1:19" s="38" customFormat="1" ht="30" customHeight="1" thickBot="1">
      <c r="A5" s="96"/>
      <c r="B5" s="96"/>
      <c r="C5" s="96"/>
      <c r="D5" s="2542" t="s">
        <v>3372</v>
      </c>
      <c r="E5" s="2543"/>
      <c r="F5" s="2544"/>
    </row>
    <row r="6" spans="1:19" s="38" customFormat="1" ht="30.75" customHeight="1" thickTop="1" thickBot="1">
      <c r="A6" s="96"/>
      <c r="B6" s="96"/>
      <c r="C6" s="96"/>
      <c r="D6" s="1186"/>
      <c r="E6" s="1185" t="str">
        <f>CONCATENATE(IF(TRIM=1,CONCATENATE("4T",Menu!C3-1),CONCATENATE(TRIM-1,"T",Menu!C3)))</f>
        <v>2T2025</v>
      </c>
      <c r="F6" s="1183" t="str">
        <f>CONCATENATE(Menu!D3,"T",Menu!C3)</f>
        <v>3T2025</v>
      </c>
    </row>
    <row r="7" spans="1:19" s="51" customFormat="1" ht="33" customHeight="1" thickTop="1">
      <c r="A7" s="119"/>
      <c r="B7" s="119"/>
      <c r="C7" s="119"/>
      <c r="D7" s="1187" t="s">
        <v>3373</v>
      </c>
      <c r="E7" s="2136">
        <f>ROUND(1/VLOOKUP($E$6,TCambio!$D$4:$F$36,3,FALSE),6)</f>
        <v>0.28232600000000002</v>
      </c>
      <c r="F7" s="2137">
        <f>ROUND(1/VLOOKUP($F$6,TCambio!$D$4:$F$36,3,FALSE),6)</f>
        <v>0.288184</v>
      </c>
      <c r="G7" s="52"/>
      <c r="H7" s="1304"/>
      <c r="I7" s="1305"/>
      <c r="J7" s="52"/>
      <c r="K7" s="52"/>
      <c r="L7" s="52"/>
      <c r="M7" s="52"/>
      <c r="N7" s="52"/>
      <c r="O7" s="52"/>
      <c r="P7" s="52"/>
      <c r="Q7" s="52"/>
      <c r="R7" s="52"/>
      <c r="S7" s="52"/>
    </row>
    <row r="8" spans="1:19" s="51" customFormat="1" ht="33" customHeight="1" thickBot="1">
      <c r="A8" s="119"/>
      <c r="B8" s="96"/>
      <c r="C8" s="119"/>
      <c r="D8" s="1778" t="s">
        <v>3374</v>
      </c>
      <c r="E8" s="2138">
        <f>ROUND(1/VLOOKUP($E$6,TCambio!$D$4:$F$36,2,FALSE),6)</f>
        <v>0.27368999999999999</v>
      </c>
      <c r="F8" s="2139">
        <f>ROUND(1/VLOOKUP($F$6,TCambio!$D$4:$F$36,2,FALSE),6)</f>
        <v>0.28303299999999998</v>
      </c>
      <c r="G8" s="52"/>
      <c r="H8" s="1305"/>
      <c r="I8" s="1305"/>
      <c r="J8" s="52"/>
      <c r="K8" s="52"/>
      <c r="L8" s="52"/>
      <c r="M8" s="52"/>
      <c r="N8" s="52"/>
      <c r="O8" s="52"/>
      <c r="P8" s="52"/>
      <c r="Q8" s="52"/>
      <c r="R8" s="52"/>
      <c r="S8" s="52"/>
    </row>
    <row r="9" spans="1:19" ht="27.75" customHeight="1" thickTop="1" thickBot="1">
      <c r="D9" s="39"/>
      <c r="E9" s="38"/>
      <c r="F9" s="38"/>
    </row>
    <row r="10" spans="1:19" ht="15" customHeight="1" thickTop="1">
      <c r="D10" s="1229"/>
      <c r="E10" s="1230"/>
      <c r="F10" s="1231"/>
    </row>
    <row r="11" spans="1:19" ht="38.25">
      <c r="B11" s="38"/>
      <c r="C11" s="118"/>
      <c r="D11" s="1232" t="s">
        <v>3375</v>
      </c>
      <c r="E11" s="1227"/>
      <c r="F11" s="1233"/>
    </row>
    <row r="12" spans="1:19" ht="15" customHeight="1">
      <c r="C12" s="118"/>
      <c r="D12" s="1234"/>
      <c r="E12" s="1228"/>
      <c r="F12" s="1235"/>
    </row>
    <row r="13" spans="1:19" s="38" customFormat="1" ht="30" customHeight="1" thickBot="1">
      <c r="A13" s="96"/>
      <c r="B13" s="96"/>
      <c r="C13" s="96"/>
      <c r="D13" s="2542" t="s">
        <v>3376</v>
      </c>
      <c r="E13" s="2543"/>
      <c r="F13" s="2544"/>
    </row>
    <row r="14" spans="1:19" s="38" customFormat="1" ht="30.75" customHeight="1" thickTop="1" thickBot="1">
      <c r="A14" s="96"/>
      <c r="B14" s="96"/>
      <c r="C14" s="96"/>
      <c r="D14" s="251"/>
      <c r="E14" s="1184" t="str">
        <f>+E6</f>
        <v>2T2025</v>
      </c>
      <c r="F14" s="1183" t="str">
        <f>+F6</f>
        <v>3T2025</v>
      </c>
    </row>
    <row r="15" spans="1:19" s="51" customFormat="1" ht="33" customHeight="1" thickTop="1">
      <c r="A15" s="119"/>
      <c r="B15" s="119"/>
      <c r="C15" s="119"/>
      <c r="D15" s="1187" t="str">
        <f>+$D$7</f>
        <v xml:space="preserve">  1. TIPO DE CAMBIO DE FIN DE PERIODO (PARA SALDOS)</v>
      </c>
      <c r="E15" s="2136">
        <f>ROUND(VLOOKUP($E$14,TCambio!$J$4:$L$36,3,FALSE)/VLOOKUP($E$6,TCambio!$D$4:$F$36,3,FALSE),6)</f>
        <v>1.176609</v>
      </c>
      <c r="F15" s="2137">
        <f>ROUND(VLOOKUP($F$14,TCambio!$J$4:$L$36,3,FALSE)/VLOOKUP($F$6,TCambio!$D$4:$F$36,3,FALSE),6)</f>
        <v>1.1749499999999999</v>
      </c>
      <c r="G15" s="52"/>
      <c r="H15" s="1304"/>
      <c r="I15" s="1305"/>
      <c r="J15" s="52"/>
      <c r="K15" s="52"/>
      <c r="L15" s="52"/>
      <c r="M15" s="52"/>
      <c r="N15" s="52"/>
      <c r="O15" s="52"/>
      <c r="P15" s="52"/>
      <c r="Q15" s="52"/>
      <c r="R15" s="52"/>
      <c r="S15" s="52"/>
    </row>
    <row r="16" spans="1:19" s="51" customFormat="1" ht="33" customHeight="1" thickBot="1">
      <c r="A16" s="119"/>
      <c r="B16" s="96"/>
      <c r="C16" s="119"/>
      <c r="D16" s="1778" t="str">
        <f>+$D$8</f>
        <v xml:space="preserve">  2. TIPO DE  CAMBIO PROMEDIO (PARA FLUJOS)</v>
      </c>
      <c r="E16" s="2138">
        <f>ROUND(VLOOKUP($E$14,TCambio!$J$4:$L$36,2,FALSE)/VLOOKUP($E$6,TCambio!$D$4:$F$36,2,FALSE),6)</f>
        <v>1.1338280000000001</v>
      </c>
      <c r="F16" s="2139">
        <f>ROUND(VLOOKUP($F$14,TCambio!$J$4:$L$36,2,FALSE)/VLOOKUP($F$6,TCambio!$D$4:$F$36,2,FALSE),6)</f>
        <v>1.1689320000000001</v>
      </c>
      <c r="G16" s="52"/>
      <c r="H16" s="1305"/>
      <c r="I16" s="1305"/>
      <c r="J16" s="52"/>
      <c r="K16" s="52"/>
      <c r="L16" s="52"/>
      <c r="M16" s="52"/>
      <c r="N16" s="52"/>
      <c r="O16" s="52"/>
      <c r="P16" s="52"/>
      <c r="Q16" s="52"/>
      <c r="R16" s="52"/>
      <c r="S16" s="52"/>
    </row>
    <row r="17" spans="1:19" ht="27" customHeight="1" thickTop="1" thickBot="1">
      <c r="D17" s="39"/>
      <c r="E17" s="38"/>
      <c r="F17" s="38"/>
    </row>
    <row r="18" spans="1:19" ht="15" customHeight="1" thickTop="1">
      <c r="D18" s="1229"/>
      <c r="E18" s="1230"/>
      <c r="F18" s="1231"/>
    </row>
    <row r="19" spans="1:19" ht="38.25">
      <c r="B19" s="38"/>
      <c r="C19" s="118"/>
      <c r="D19" s="1232" t="s">
        <v>3377</v>
      </c>
      <c r="E19" s="1227"/>
      <c r="F19" s="1233"/>
    </row>
    <row r="20" spans="1:19" ht="15" customHeight="1">
      <c r="C20" s="118"/>
      <c r="D20" s="1234"/>
      <c r="E20" s="1228"/>
      <c r="F20" s="1235"/>
    </row>
    <row r="21" spans="1:19" s="38" customFormat="1" ht="30" customHeight="1" thickBot="1">
      <c r="A21" s="96"/>
      <c r="B21" s="96"/>
      <c r="C21" s="96"/>
      <c r="D21" s="2542" t="s">
        <v>3378</v>
      </c>
      <c r="E21" s="2543"/>
      <c r="F21" s="2544"/>
    </row>
    <row r="22" spans="1:19" s="38" customFormat="1" ht="30.75" customHeight="1" thickTop="1" thickBot="1">
      <c r="A22" s="96"/>
      <c r="B22" s="96"/>
      <c r="C22" s="96"/>
      <c r="D22" s="251"/>
      <c r="E22" s="1184" t="str">
        <f>+E6</f>
        <v>2T2025</v>
      </c>
      <c r="F22" s="1183" t="str">
        <f>+F6</f>
        <v>3T2025</v>
      </c>
    </row>
    <row r="23" spans="1:19" s="51" customFormat="1" ht="33" customHeight="1" thickTop="1">
      <c r="A23" s="119"/>
      <c r="B23" s="119"/>
      <c r="C23" s="119"/>
      <c r="D23" s="1187" t="str">
        <f>+$D$7</f>
        <v xml:space="preserve">  1. TIPO DE CAMBIO DE FIN DE PERIODO (PARA SALDOS)</v>
      </c>
      <c r="E23" s="2136">
        <f>ROUND(VLOOKUP($E$22,TCambio!$P$4:$R$36,3,FALSE)/VLOOKUP($E$6,TCambio!$D$4:$F$36,3,FALSE),6)</f>
        <v>6.9319999999999998E-3</v>
      </c>
      <c r="F23" s="2137">
        <f>ROUND(VLOOKUP($F$22,TCambio!$P$4:$R$36,3,FALSE)/VLOOKUP($F$6,TCambio!$D$4:$F$36,3,FALSE),6)</f>
        <v>6.7669999999999996E-3</v>
      </c>
      <c r="G23" s="52"/>
      <c r="H23" s="1304"/>
      <c r="I23" s="1305"/>
      <c r="J23" s="52"/>
      <c r="K23" s="52"/>
      <c r="L23" s="52"/>
      <c r="M23" s="52"/>
      <c r="N23" s="52"/>
      <c r="O23" s="52"/>
      <c r="P23" s="52"/>
      <c r="Q23" s="52"/>
      <c r="R23" s="52"/>
      <c r="S23" s="52"/>
    </row>
    <row r="24" spans="1:19" s="51" customFormat="1" ht="33" customHeight="1" thickBot="1">
      <c r="A24" s="119"/>
      <c r="B24" s="96"/>
      <c r="C24" s="119"/>
      <c r="D24" s="1778" t="str">
        <f>+$D$8</f>
        <v xml:space="preserve">  2. TIPO DE  CAMBIO PROMEDIO (PARA FLUJOS)</v>
      </c>
      <c r="E24" s="2138">
        <f>ROUND(VLOOKUP($E$22,TCambio!$P$4:$R$36,2,FALSE)/VLOOKUP($E$6,TCambio!$D$4:$F$36,2,FALSE),6)</f>
        <v>6.9170000000000004E-3</v>
      </c>
      <c r="F24" s="2139">
        <f>ROUND(VLOOKUP($F$22,TCambio!$P$4:$R$36,2,FALSE)/VLOOKUP($F$6,TCambio!$D$4:$F$36,2,FALSE),6)</f>
        <v>6.7840000000000001E-3</v>
      </c>
      <c r="G24" s="52"/>
      <c r="H24" s="1305"/>
      <c r="I24" s="1305"/>
      <c r="J24" s="52"/>
      <c r="K24" s="52"/>
      <c r="L24" s="52"/>
      <c r="M24" s="52"/>
      <c r="N24" s="52"/>
      <c r="O24" s="52"/>
      <c r="P24" s="52"/>
      <c r="Q24" s="52"/>
      <c r="R24" s="52"/>
      <c r="S24" s="52"/>
    </row>
    <row r="25" spans="1:19" s="38" customFormat="1" ht="13.5" thickTop="1">
      <c r="A25" s="96"/>
      <c r="B25" s="96"/>
      <c r="C25" s="96"/>
      <c r="D25" s="39"/>
    </row>
    <row r="26" spans="1:19" s="38" customFormat="1">
      <c r="A26" s="96"/>
      <c r="B26" s="96"/>
      <c r="C26" s="96"/>
      <c r="D26" s="39"/>
    </row>
    <row r="27" spans="1:19" s="38" customFormat="1">
      <c r="A27" s="96"/>
      <c r="B27" s="96"/>
      <c r="C27" s="96"/>
      <c r="D27" s="39"/>
    </row>
    <row r="28" spans="1:19" s="38" customFormat="1">
      <c r="A28" s="96"/>
      <c r="B28" s="96"/>
      <c r="C28" s="96"/>
      <c r="D28" s="39"/>
    </row>
    <row r="29" spans="1:19" s="38" customFormat="1">
      <c r="A29" s="96"/>
      <c r="B29" s="96"/>
      <c r="C29" s="96"/>
      <c r="D29" s="39"/>
    </row>
    <row r="30" spans="1:19" s="38" customFormat="1">
      <c r="A30" s="96"/>
      <c r="B30" s="96"/>
      <c r="C30" s="96"/>
      <c r="D30" s="39"/>
    </row>
    <row r="31" spans="1:19" s="38" customFormat="1">
      <c r="A31" s="96"/>
      <c r="B31" s="96"/>
      <c r="C31" s="96"/>
      <c r="D31" s="39"/>
    </row>
    <row r="32" spans="1:19" s="38" customFormat="1">
      <c r="A32" s="96"/>
      <c r="B32" s="96"/>
      <c r="C32" s="96"/>
      <c r="D32" s="39"/>
    </row>
    <row r="33" spans="1:4" s="38" customFormat="1">
      <c r="A33" s="96"/>
      <c r="B33" s="96"/>
      <c r="C33" s="96"/>
      <c r="D33" s="39"/>
    </row>
    <row r="34" spans="1:4" s="38" customFormat="1">
      <c r="A34" s="96"/>
      <c r="B34" s="96"/>
      <c r="C34" s="96"/>
      <c r="D34" s="39"/>
    </row>
    <row r="35" spans="1:4" s="38" customFormat="1">
      <c r="A35" s="96"/>
      <c r="B35" s="96"/>
      <c r="C35" s="96"/>
      <c r="D35" s="39"/>
    </row>
    <row r="36" spans="1:4" s="38" customFormat="1">
      <c r="A36" s="96"/>
      <c r="B36" s="96"/>
      <c r="C36" s="96"/>
      <c r="D36" s="39"/>
    </row>
    <row r="37" spans="1:4" s="38" customFormat="1">
      <c r="A37" s="96"/>
      <c r="B37" s="96"/>
      <c r="C37" s="96"/>
      <c r="D37" s="39"/>
    </row>
    <row r="38" spans="1:4" s="38" customFormat="1">
      <c r="A38" s="96"/>
      <c r="B38" s="96"/>
      <c r="C38" s="96"/>
      <c r="D38" s="39"/>
    </row>
    <row r="39" spans="1:4" s="38" customFormat="1">
      <c r="A39" s="96"/>
      <c r="B39" s="96"/>
      <c r="C39" s="96"/>
      <c r="D39" s="39"/>
    </row>
    <row r="40" spans="1:4" s="38" customFormat="1">
      <c r="A40" s="96"/>
      <c r="B40" s="96"/>
      <c r="C40" s="96"/>
      <c r="D40" s="39"/>
    </row>
  </sheetData>
  <sheetProtection algorithmName="SHA-512" hashValue="8T3K8aBlxL7nFWvziSJiewUuFpFZ9p/H6LeSJI2VV55AXLc6bNhiBgVbYdNK3egFW7ZE/c5M81wRn7rgPa2wJw==" saltValue="lLro/gVBjLwihGadophLvg==" spinCount="100000" sheet="1" objects="1" scenarios="1"/>
  <mergeCells count="3">
    <mergeCell ref="D5:F5"/>
    <mergeCell ref="D13:F13"/>
    <mergeCell ref="D21:F21"/>
  </mergeCells>
  <printOptions horizontalCentered="1"/>
  <pageMargins left="0.43307086614173229" right="0.35433070866141736" top="0.47244094488188981" bottom="0.47244094488188981" header="0.27559055118110237" footer="0"/>
  <pageSetup paperSize="9" scale="60" orientation="portrait" r:id="rId1"/>
  <headerFooter alignWithMargins="0">
    <oddFooter>&amp;L&amp;"Arial,Negrita"&amp;14&amp;D&amp;C&amp;"Arial,Negrita"&amp;12&amp;A&amp;R&amp;"Arial,Negrita"&amp;14&amp;F</oddFooter>
  </headerFooter>
  <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14">
    <tabColor theme="9" tint="-0.499984740745262"/>
  </sheetPr>
  <dimension ref="A1:T40"/>
  <sheetViews>
    <sheetView zoomScale="120" zoomScaleNormal="120" workbookViewId="0">
      <pane xSplit="1" ySplit="3" topLeftCell="B21" activePane="bottomRight" state="frozen"/>
      <selection activeCell="S38" sqref="S38"/>
      <selection pane="topRight" activeCell="S38" sqref="S38"/>
      <selection pane="bottomLeft" activeCell="S38" sqref="S38"/>
      <selection pane="bottomRight" activeCell="E35" sqref="E35"/>
    </sheetView>
  </sheetViews>
  <sheetFormatPr baseColWidth="10" defaultColWidth="11.42578125" defaultRowHeight="12.75"/>
  <cols>
    <col min="1" max="1" width="7.5703125" customWidth="1"/>
    <col min="5" max="5" width="11.85546875" bestFit="1" customWidth="1"/>
    <col min="6" max="6" width="13.28515625" bestFit="1" customWidth="1"/>
    <col min="7" max="7" width="4.140625" customWidth="1"/>
    <col min="11" max="11" width="11.85546875" bestFit="1" customWidth="1"/>
    <col min="12" max="12" width="12.28515625" bestFit="1" customWidth="1"/>
    <col min="13" max="13" width="4" customWidth="1"/>
    <col min="17" max="17" width="12.28515625" bestFit="1" customWidth="1"/>
    <col min="18" max="18" width="14.28515625" bestFit="1" customWidth="1"/>
  </cols>
  <sheetData>
    <row r="1" spans="2:20">
      <c r="B1" s="1198"/>
      <c r="C1" s="1198"/>
      <c r="D1" s="1198"/>
      <c r="E1" s="1198"/>
      <c r="F1" s="1198"/>
      <c r="G1" s="1198"/>
      <c r="H1" s="1198"/>
      <c r="I1" s="1198"/>
      <c r="J1" s="1198"/>
      <c r="K1" s="1198"/>
      <c r="L1" s="1198"/>
      <c r="M1" s="1198"/>
      <c r="N1" s="1198"/>
      <c r="O1" s="1198"/>
      <c r="P1" s="1198"/>
      <c r="Q1" s="1198"/>
      <c r="R1" s="1198"/>
    </row>
    <row r="2" spans="2:20" ht="15">
      <c r="B2" s="955" t="s">
        <v>3013</v>
      </c>
      <c r="H2" s="955" t="s">
        <v>3014</v>
      </c>
      <c r="N2" s="955" t="s">
        <v>3015</v>
      </c>
      <c r="S2" s="1343" t="s">
        <v>3016</v>
      </c>
      <c r="T2" s="1342" t="s">
        <v>2385</v>
      </c>
    </row>
    <row r="3" spans="2:20">
      <c r="B3" s="1179" t="s">
        <v>3017</v>
      </c>
      <c r="C3" s="1179" t="s">
        <v>3018</v>
      </c>
      <c r="D3" s="1179" t="s">
        <v>3019</v>
      </c>
      <c r="E3" s="1179" t="s">
        <v>3020</v>
      </c>
      <c r="F3" s="1179" t="s">
        <v>3021</v>
      </c>
      <c r="H3" s="1179" t="s">
        <v>3017</v>
      </c>
      <c r="I3" s="1179" t="s">
        <v>3018</v>
      </c>
      <c r="J3" s="1179" t="s">
        <v>3019</v>
      </c>
      <c r="K3" s="1179" t="s">
        <v>3020</v>
      </c>
      <c r="L3" s="1179" t="s">
        <v>3021</v>
      </c>
      <c r="N3" s="1179" t="s">
        <v>3017</v>
      </c>
      <c r="O3" s="1179" t="s">
        <v>3018</v>
      </c>
      <c r="P3" s="1179" t="s">
        <v>3019</v>
      </c>
      <c r="Q3" s="1179" t="s">
        <v>3020</v>
      </c>
      <c r="R3" s="1179" t="s">
        <v>3021</v>
      </c>
    </row>
    <row r="4" spans="2:20" ht="13.5" thickBot="1">
      <c r="B4" s="1337">
        <v>2017</v>
      </c>
      <c r="C4" s="1337">
        <v>4</v>
      </c>
      <c r="D4" s="1330" t="str">
        <f>C4&amp;"T"&amp;B4</f>
        <v>4T2017</v>
      </c>
      <c r="E4" s="1340"/>
      <c r="F4" s="1341">
        <v>3.3820000000000001</v>
      </c>
      <c r="G4" s="1338"/>
      <c r="H4" s="1337">
        <v>2017</v>
      </c>
      <c r="I4" s="1337">
        <v>4</v>
      </c>
      <c r="J4" s="1330" t="str">
        <f>I4&amp;"T"&amp;H4</f>
        <v>4T2017</v>
      </c>
      <c r="K4" s="1340"/>
      <c r="L4" s="1341">
        <v>3.8940000000000001</v>
      </c>
      <c r="M4" s="1338"/>
      <c r="N4" s="1337">
        <v>2017</v>
      </c>
      <c r="O4" s="1337">
        <v>4</v>
      </c>
      <c r="P4" s="1330" t="str">
        <f>O4&amp;"T"&amp;N4</f>
        <v>4T2017</v>
      </c>
      <c r="Q4" s="1341"/>
      <c r="R4" s="1777">
        <v>2.8777E-2</v>
      </c>
    </row>
    <row r="5" spans="2:20" s="1190" customFormat="1">
      <c r="B5" s="1191">
        <v>2018</v>
      </c>
      <c r="C5" s="1191">
        <v>1</v>
      </c>
      <c r="D5" s="1192" t="str">
        <f>C5&amp;"T"&amp;B5</f>
        <v>1T2018</v>
      </c>
      <c r="E5" s="1195">
        <v>3.238</v>
      </c>
      <c r="F5" s="1195">
        <v>3.2265000000000001</v>
      </c>
      <c r="H5" s="1191">
        <v>2018</v>
      </c>
      <c r="I5" s="1191">
        <v>1</v>
      </c>
      <c r="J5" s="1192" t="str">
        <f>I5&amp;"T"&amp;H5</f>
        <v>1T2018</v>
      </c>
      <c r="K5" s="1195">
        <v>3.9945000000000004</v>
      </c>
      <c r="L5" s="1195">
        <v>3.9740000000000002</v>
      </c>
      <c r="N5" s="1191">
        <v>2018</v>
      </c>
      <c r="O5" s="1191">
        <v>1</v>
      </c>
      <c r="P5" s="1192" t="str">
        <f>O5&amp;"T"&amp;N5</f>
        <v>1T2018</v>
      </c>
      <c r="Q5" s="1195">
        <v>3.0442105263157899E-2</v>
      </c>
      <c r="R5" s="1195">
        <v>3.0200999999999999E-2</v>
      </c>
    </row>
    <row r="6" spans="2:20" s="1190" customFormat="1">
      <c r="B6" s="1191">
        <v>2018</v>
      </c>
      <c r="C6" s="1191">
        <v>2</v>
      </c>
      <c r="D6" s="1192" t="str">
        <f t="shared" ref="D6:D12" si="0">C6&amp;"T"&amp;B6</f>
        <v>2T2018</v>
      </c>
      <c r="E6" s="1195">
        <v>3.258</v>
      </c>
      <c r="F6" s="1195">
        <v>3.2719999999999998</v>
      </c>
      <c r="H6" s="1191">
        <v>2018</v>
      </c>
      <c r="I6" s="1191">
        <v>2</v>
      </c>
      <c r="J6" s="1192" t="str">
        <f t="shared" ref="J6:J12" si="1">I6&amp;"T"&amp;H6</f>
        <v>2T2018</v>
      </c>
      <c r="K6" s="1195">
        <v>3.9006854838709684</v>
      </c>
      <c r="L6" s="1195">
        <v>3.790985</v>
      </c>
      <c r="N6" s="1191">
        <v>2018</v>
      </c>
      <c r="O6" s="1191">
        <v>2</v>
      </c>
      <c r="P6" s="1192" t="str">
        <f t="shared" ref="P6:P16" si="2">O6&amp;"T"&amp;N6</f>
        <v>2T2018</v>
      </c>
      <c r="Q6" s="1195">
        <v>2.9843137254901949E-2</v>
      </c>
      <c r="R6" s="1195">
        <v>2.9635000000000002E-2</v>
      </c>
    </row>
    <row r="7" spans="2:20" s="1190" customFormat="1">
      <c r="B7" s="1191">
        <v>2018</v>
      </c>
      <c r="C7" s="1191">
        <v>3</v>
      </c>
      <c r="D7" s="1192" t="str">
        <f t="shared" si="0"/>
        <v>3T2018</v>
      </c>
      <c r="E7" s="1195">
        <v>3.2919999999999998</v>
      </c>
      <c r="F7" s="1195">
        <v>3.3</v>
      </c>
      <c r="H7" s="1191">
        <v>2018</v>
      </c>
      <c r="I7" s="1191">
        <v>3</v>
      </c>
      <c r="J7" s="1192" t="str">
        <f t="shared" si="1"/>
        <v>3T2018</v>
      </c>
      <c r="K7" s="1195">
        <v>3.8518306451612903</v>
      </c>
      <c r="L7" s="1195">
        <v>3.8327520000000002</v>
      </c>
      <c r="N7" s="1191">
        <v>2018</v>
      </c>
      <c r="O7" s="1191">
        <v>3</v>
      </c>
      <c r="P7" s="1192" t="str">
        <f t="shared" si="2"/>
        <v>3T2018</v>
      </c>
      <c r="Q7" s="1195">
        <v>2.9825242718446582E-2</v>
      </c>
      <c r="R7" s="1195">
        <v>2.9052999999999999E-2</v>
      </c>
    </row>
    <row r="8" spans="2:20" s="1190" customFormat="1" ht="13.5" thickBot="1">
      <c r="B8" s="1333">
        <v>2018</v>
      </c>
      <c r="C8" s="1333">
        <v>4</v>
      </c>
      <c r="D8" s="1334" t="str">
        <f t="shared" si="0"/>
        <v>4T2018</v>
      </c>
      <c r="E8" s="1336">
        <v>3.3580000000000001</v>
      </c>
      <c r="F8" s="1336">
        <v>3.3740000000000001</v>
      </c>
      <c r="G8" s="1335"/>
      <c r="H8" s="1333">
        <v>2018</v>
      </c>
      <c r="I8" s="1333">
        <v>4</v>
      </c>
      <c r="J8" s="1334" t="str">
        <f t="shared" si="1"/>
        <v>4T2018</v>
      </c>
      <c r="K8" s="1336">
        <v>3.8672049180327859</v>
      </c>
      <c r="L8" s="1336">
        <v>3.8626230000000001</v>
      </c>
      <c r="M8" s="1335"/>
      <c r="N8" s="1333">
        <v>2018</v>
      </c>
      <c r="O8" s="1333">
        <v>4</v>
      </c>
      <c r="P8" s="1334" t="str">
        <f t="shared" si="2"/>
        <v>4T2018</v>
      </c>
      <c r="Q8" s="1336">
        <v>3.0261261261261233E-2</v>
      </c>
      <c r="R8" s="1336">
        <v>3.0525E-2</v>
      </c>
    </row>
    <row r="9" spans="2:20">
      <c r="B9" s="12">
        <v>2019</v>
      </c>
      <c r="C9" s="12">
        <v>1</v>
      </c>
      <c r="D9" s="1181" t="str">
        <f t="shared" si="0"/>
        <v>1T2019</v>
      </c>
      <c r="E9" s="1197">
        <v>3.3236984126984122</v>
      </c>
      <c r="F9" s="1197">
        <f>AVERAGE(3.316,3.321)</f>
        <v>3.3185000000000002</v>
      </c>
      <c r="H9" s="12">
        <v>2019</v>
      </c>
      <c r="I9" s="12">
        <v>1</v>
      </c>
      <c r="J9" s="1181" t="str">
        <f t="shared" si="1"/>
        <v>1T2019</v>
      </c>
      <c r="K9" s="1197">
        <v>3.8116031746031753</v>
      </c>
      <c r="L9" s="1197">
        <f>AVERAGE(3.68,3.89)</f>
        <v>3.7850000000000001</v>
      </c>
      <c r="N9" s="12">
        <v>2019</v>
      </c>
      <c r="O9" s="12">
        <v>1</v>
      </c>
      <c r="P9" s="1181" t="str">
        <f t="shared" si="2"/>
        <v>1T2019</v>
      </c>
      <c r="Q9" s="1197">
        <v>3.0729166666666644E-2</v>
      </c>
      <c r="R9" s="1197">
        <f>AVERAGE(0.03,0.031)</f>
        <v>3.0499999999999999E-2</v>
      </c>
    </row>
    <row r="10" spans="2:20">
      <c r="B10" s="12">
        <v>2019</v>
      </c>
      <c r="C10" s="12">
        <v>2</v>
      </c>
      <c r="D10" s="1181" t="str">
        <f t="shared" si="0"/>
        <v>2T2019</v>
      </c>
      <c r="E10" s="1197">
        <v>3.3206128787878786</v>
      </c>
      <c r="F10" s="1197">
        <v>3.2875000000000001</v>
      </c>
      <c r="H10" s="12">
        <v>2019</v>
      </c>
      <c r="I10" s="12">
        <v>2</v>
      </c>
      <c r="J10" s="1181" t="str">
        <f t="shared" si="1"/>
        <v>2T2019</v>
      </c>
      <c r="K10" s="1197">
        <v>3.7591129032258062</v>
      </c>
      <c r="L10" s="1197">
        <v>3.7690000000000001</v>
      </c>
      <c r="N10" s="12">
        <v>2019</v>
      </c>
      <c r="O10" s="12">
        <v>2</v>
      </c>
      <c r="P10" s="1181" t="str">
        <f t="shared" si="2"/>
        <v>2T2019</v>
      </c>
      <c r="Q10" s="1197">
        <v>3.0661515940143137E-2</v>
      </c>
      <c r="R10" s="1197">
        <v>3.1E-2</v>
      </c>
    </row>
    <row r="11" spans="2:20">
      <c r="B11" s="12">
        <v>2019</v>
      </c>
      <c r="C11" s="12">
        <v>3</v>
      </c>
      <c r="D11" s="1181" t="str">
        <f t="shared" si="0"/>
        <v>3T2019</v>
      </c>
      <c r="E11" s="1197">
        <v>3.3411290322580651</v>
      </c>
      <c r="F11" s="1197">
        <v>3.3834999999999997</v>
      </c>
      <c r="H11" s="12">
        <v>2019</v>
      </c>
      <c r="I11" s="12">
        <v>3</v>
      </c>
      <c r="J11" s="1181" t="str">
        <f t="shared" si="1"/>
        <v>3T2019</v>
      </c>
      <c r="K11" s="1197">
        <v>3.7412741935483869</v>
      </c>
      <c r="L11" s="1197">
        <f>AVERAGE(3.484,3.841)</f>
        <v>3.6625000000000001</v>
      </c>
      <c r="N11" s="12">
        <v>2019</v>
      </c>
      <c r="O11" s="12">
        <v>3</v>
      </c>
      <c r="P11" s="1181" t="str">
        <f t="shared" si="2"/>
        <v>3T2019</v>
      </c>
      <c r="Q11" s="1197">
        <v>3.1482638888888886E-2</v>
      </c>
      <c r="R11" s="1197">
        <v>3.3500000000000002E-2</v>
      </c>
    </row>
    <row r="12" spans="2:20" ht="13.5" thickBot="1">
      <c r="B12" s="1337">
        <v>2019</v>
      </c>
      <c r="C12" s="1337">
        <v>4</v>
      </c>
      <c r="D12" s="1330" t="str">
        <f t="shared" si="0"/>
        <v>4T2019</v>
      </c>
      <c r="E12" s="1332">
        <v>3.3607469879518068</v>
      </c>
      <c r="F12" s="1332">
        <v>3.3140000000000001</v>
      </c>
      <c r="G12" s="1338"/>
      <c r="H12" s="1337">
        <v>2019</v>
      </c>
      <c r="I12" s="1337">
        <v>4</v>
      </c>
      <c r="J12" s="1330" t="str">
        <f t="shared" si="1"/>
        <v>4T2019</v>
      </c>
      <c r="K12" s="1332">
        <v>3.7157048072289198</v>
      </c>
      <c r="L12" s="1332">
        <v>3.7194150000000001</v>
      </c>
      <c r="M12" s="1338"/>
      <c r="N12" s="1337">
        <v>2019</v>
      </c>
      <c r="O12" s="1337">
        <v>4</v>
      </c>
      <c r="P12" s="1330" t="str">
        <f t="shared" si="2"/>
        <v>4T2019</v>
      </c>
      <c r="Q12" s="1339">
        <v>3.09988313253012E-2</v>
      </c>
      <c r="R12" s="1339">
        <v>3.0509000000000001E-2</v>
      </c>
    </row>
    <row r="13" spans="2:20" s="1190" customFormat="1">
      <c r="B13" s="1191">
        <v>2020</v>
      </c>
      <c r="C13" s="1191">
        <v>1</v>
      </c>
      <c r="D13" s="1192" t="str">
        <f>C13&amp;"T"&amp;B13</f>
        <v>1T2020</v>
      </c>
      <c r="E13" s="1195">
        <v>3.4034062500000002</v>
      </c>
      <c r="F13" s="1195">
        <f>AVERAGE(3.442,3.443)</f>
        <v>3.4424999999999999</v>
      </c>
      <c r="H13" s="1191">
        <v>2020</v>
      </c>
      <c r="I13" s="1191">
        <v>1</v>
      </c>
      <c r="J13" s="1192" t="str">
        <f>I13&amp;"T"&amp;H13</f>
        <v>1T2020</v>
      </c>
      <c r="K13" s="1344">
        <v>3.7836718749999996</v>
      </c>
      <c r="L13" s="1195">
        <f>AVERAGE(3.736,3.841)</f>
        <v>3.7885</v>
      </c>
      <c r="N13" s="1191">
        <v>2020</v>
      </c>
      <c r="O13" s="1191">
        <v>1</v>
      </c>
      <c r="P13" s="1192" t="str">
        <f t="shared" si="2"/>
        <v>1T2020</v>
      </c>
      <c r="Q13" s="1195">
        <v>3.2059440559440565E-2</v>
      </c>
      <c r="R13" s="1195">
        <f>AVERAGE(0.032,0.032)</f>
        <v>3.2000000000000001E-2</v>
      </c>
    </row>
    <row r="14" spans="2:20" s="1190" customFormat="1">
      <c r="B14" s="1191">
        <v>2020</v>
      </c>
      <c r="C14" s="1191">
        <v>2</v>
      </c>
      <c r="D14" s="1192" t="str">
        <f t="shared" ref="D14:D18" si="3">C14&amp;"T"&amp;B14</f>
        <v>2T2020</v>
      </c>
      <c r="E14" s="1195">
        <f>ROUND(3.43032786885246,3)</f>
        <v>3.43</v>
      </c>
      <c r="F14" s="1195">
        <v>3.5379999999999998</v>
      </c>
      <c r="H14" s="1191">
        <v>2020</v>
      </c>
      <c r="I14" s="1191">
        <v>2</v>
      </c>
      <c r="J14" s="1192" t="str">
        <f t="shared" ref="J14:J18" si="4">I14&amp;"T"&amp;H14</f>
        <v>2T2020</v>
      </c>
      <c r="K14" s="1344">
        <v>3.7782158032786901</v>
      </c>
      <c r="L14" s="1195">
        <v>3.9761739999999999</v>
      </c>
      <c r="N14" s="1191">
        <v>2020</v>
      </c>
      <c r="O14" s="1191">
        <v>2</v>
      </c>
      <c r="P14" s="1192" t="str">
        <f t="shared" si="2"/>
        <v>2T2020</v>
      </c>
      <c r="Q14" s="1195">
        <v>3.1909262295082001E-2</v>
      </c>
      <c r="R14" s="1195">
        <v>3.2793999999999997E-2</v>
      </c>
    </row>
    <row r="15" spans="2:20" s="1190" customFormat="1">
      <c r="B15" s="1191">
        <v>2020</v>
      </c>
      <c r="C15" s="1191">
        <v>3</v>
      </c>
      <c r="D15" s="1192" t="str">
        <f t="shared" si="3"/>
        <v>3T2020</v>
      </c>
      <c r="E15" s="1195">
        <v>3.5448615384615385</v>
      </c>
      <c r="F15" s="1195">
        <v>3.597</v>
      </c>
      <c r="H15" s="1191">
        <v>2020</v>
      </c>
      <c r="I15" s="1191">
        <v>3</v>
      </c>
      <c r="J15" s="1192" t="str">
        <f t="shared" si="4"/>
        <v>3T2020</v>
      </c>
      <c r="K15" s="1344">
        <v>4.1451884153846148</v>
      </c>
      <c r="L15" s="1195">
        <v>4.216882</v>
      </c>
      <c r="N15" s="1191">
        <v>2020</v>
      </c>
      <c r="O15" s="1191">
        <v>3</v>
      </c>
      <c r="P15" s="1192" t="str">
        <f t="shared" si="2"/>
        <v>3T2020</v>
      </c>
      <c r="Q15" s="1195">
        <v>3.3397307692307691E-2</v>
      </c>
      <c r="R15" s="1195">
        <v>3.4091999999999997E-2</v>
      </c>
    </row>
    <row r="16" spans="2:20" s="1190" customFormat="1" ht="13.5" thickBot="1">
      <c r="B16" s="1333">
        <v>2020</v>
      </c>
      <c r="C16" s="1333">
        <v>4</v>
      </c>
      <c r="D16" s="1334" t="str">
        <f t="shared" si="3"/>
        <v>4T2020</v>
      </c>
      <c r="E16" s="1336">
        <v>3.6019999999999999</v>
      </c>
      <c r="F16" s="1336">
        <v>3.621</v>
      </c>
      <c r="G16" s="1335"/>
      <c r="H16" s="1333">
        <v>2020</v>
      </c>
      <c r="I16" s="1333">
        <v>4</v>
      </c>
      <c r="J16" s="1334" t="str">
        <f t="shared" si="4"/>
        <v>4T2020</v>
      </c>
      <c r="K16" s="1345">
        <v>4.2945245312500004</v>
      </c>
      <c r="L16" s="1336">
        <v>4.4239459999999999</v>
      </c>
      <c r="M16" s="1335"/>
      <c r="N16" s="1333">
        <v>2020</v>
      </c>
      <c r="O16" s="1333">
        <v>4</v>
      </c>
      <c r="P16" s="1334" t="str">
        <f t="shared" si="2"/>
        <v>4T2020</v>
      </c>
      <c r="Q16" s="1336">
        <v>3.4474046874999997E-2</v>
      </c>
      <c r="R16" s="1336">
        <v>3.5069000000000003E-2</v>
      </c>
    </row>
    <row r="17" spans="2:18" s="1190" customFormat="1">
      <c r="B17" s="12">
        <v>2021</v>
      </c>
      <c r="C17" s="12">
        <v>1</v>
      </c>
      <c r="D17" s="1181" t="str">
        <f t="shared" si="3"/>
        <v>1T2021</v>
      </c>
      <c r="E17" s="1197">
        <v>3.6616507936507952</v>
      </c>
      <c r="F17" s="1197">
        <v>3.7570000000000001</v>
      </c>
      <c r="G17"/>
      <c r="H17" s="12">
        <v>2021</v>
      </c>
      <c r="I17" s="12">
        <v>1</v>
      </c>
      <c r="J17" s="1181" t="str">
        <f t="shared" si="4"/>
        <v>1T2021</v>
      </c>
      <c r="K17" s="1346">
        <v>4.4110270952380954</v>
      </c>
      <c r="L17" s="1197">
        <v>4.4070400000000003</v>
      </c>
      <c r="M17"/>
      <c r="N17" s="12">
        <v>2021</v>
      </c>
      <c r="O17" s="12">
        <v>1</v>
      </c>
      <c r="P17" s="1181" t="str">
        <f t="shared" ref="P17:P18" si="5">O17&amp;"T"&amp;N17</f>
        <v>1T2021</v>
      </c>
      <c r="Q17" s="1197">
        <v>3.4523206349206359E-2</v>
      </c>
      <c r="R17" s="1197">
        <v>3.3932999999999998E-2</v>
      </c>
    </row>
    <row r="18" spans="2:18" s="1190" customFormat="1">
      <c r="B18" s="12">
        <v>2021</v>
      </c>
      <c r="C18" s="12">
        <v>2</v>
      </c>
      <c r="D18" s="1181" t="str">
        <f t="shared" si="3"/>
        <v>2T2021</v>
      </c>
      <c r="E18" s="1197">
        <v>3.7959000000000001</v>
      </c>
      <c r="F18" s="1197">
        <v>3.8580000000000001</v>
      </c>
      <c r="G18"/>
      <c r="H18" s="12">
        <v>2021</v>
      </c>
      <c r="I18" s="12">
        <v>2</v>
      </c>
      <c r="J18" s="1181" t="str">
        <f t="shared" si="4"/>
        <v>2T2021</v>
      </c>
      <c r="K18" s="1346">
        <v>4.5795000000000003</v>
      </c>
      <c r="L18" s="1197">
        <v>4.5711000000000004</v>
      </c>
      <c r="M18"/>
      <c r="N18" s="12">
        <v>2021</v>
      </c>
      <c r="O18" s="12">
        <v>2</v>
      </c>
      <c r="P18" s="1181" t="str">
        <f t="shared" si="5"/>
        <v>2T2021</v>
      </c>
      <c r="Q18" s="1197">
        <v>3.4699532258064533E-2</v>
      </c>
      <c r="R18" s="1197">
        <v>3.4729999999999997E-2</v>
      </c>
    </row>
    <row r="19" spans="2:18" s="1190" customFormat="1">
      <c r="B19" s="12">
        <v>2021</v>
      </c>
      <c r="C19" s="12">
        <v>3</v>
      </c>
      <c r="D19" s="1181" t="str">
        <f t="shared" ref="D19" si="6">C19&amp;"T"&amp;B19</f>
        <v>3T2021</v>
      </c>
      <c r="E19" s="1197">
        <v>4.0471746031746045</v>
      </c>
      <c r="F19" s="1197">
        <v>4.1340000000000003</v>
      </c>
      <c r="G19"/>
      <c r="H19" s="12">
        <v>2021</v>
      </c>
      <c r="I19" s="12">
        <v>3</v>
      </c>
      <c r="J19" s="1181" t="str">
        <f t="shared" ref="J19" si="7">I19&amp;"T"&amp;H19</f>
        <v>3T2021</v>
      </c>
      <c r="K19" s="1346">
        <v>4.768980793650794</v>
      </c>
      <c r="L19" s="1197">
        <v>4.7891560000000002</v>
      </c>
      <c r="M19"/>
      <c r="N19" s="12">
        <v>2021</v>
      </c>
      <c r="O19" s="12">
        <v>3</v>
      </c>
      <c r="P19" s="1181" t="str">
        <f t="shared" ref="P19" si="8">O19&amp;"T"&amp;N19</f>
        <v>3T2021</v>
      </c>
      <c r="Q19" s="1197">
        <v>3.6763238095238099E-2</v>
      </c>
      <c r="R19" s="1197">
        <v>3.7115000000000002E-2</v>
      </c>
    </row>
    <row r="20" spans="2:18" s="131" customFormat="1" ht="13.5" thickBot="1">
      <c r="B20" s="1329">
        <v>2021</v>
      </c>
      <c r="C20" s="1329">
        <v>4</v>
      </c>
      <c r="D20" s="1330" t="str">
        <f t="shared" ref="D20:D21" si="9">C20&amp;"T"&amp;B20</f>
        <v>4T2021</v>
      </c>
      <c r="E20" s="1332">
        <v>4.0244126984126991</v>
      </c>
      <c r="F20" s="1332">
        <v>3.9870000000000001</v>
      </c>
      <c r="G20" s="1331"/>
      <c r="H20" s="1329">
        <v>2021</v>
      </c>
      <c r="I20" s="1329">
        <v>4</v>
      </c>
      <c r="J20" s="1330" t="str">
        <f t="shared" ref="J20:J21" si="10">I20&amp;"T"&amp;H20</f>
        <v>4T2021</v>
      </c>
      <c r="K20" s="1347">
        <v>4.5995645873015869</v>
      </c>
      <c r="L20" s="1332">
        <v>4.5389359999999996</v>
      </c>
      <c r="M20" s="1331"/>
      <c r="N20" s="1329">
        <v>2021</v>
      </c>
      <c r="O20" s="1329">
        <v>4</v>
      </c>
      <c r="P20" s="1330" t="str">
        <f t="shared" ref="P20:P21" si="11">O20&amp;"T"&amp;N20</f>
        <v>4T2021</v>
      </c>
      <c r="Q20" s="1332">
        <v>3.5388650793650799E-2</v>
      </c>
      <c r="R20" s="1332">
        <v>3.4643E-2</v>
      </c>
    </row>
    <row r="21" spans="2:18" s="1190" customFormat="1">
      <c r="B21" s="1193">
        <v>2022</v>
      </c>
      <c r="C21" s="1193">
        <v>1</v>
      </c>
      <c r="D21" s="1194" t="str">
        <f t="shared" si="9"/>
        <v>1T2022</v>
      </c>
      <c r="E21" s="1196">
        <v>3.2046774621212122</v>
      </c>
      <c r="F21" s="1196">
        <v>3.698</v>
      </c>
      <c r="H21" s="1193">
        <v>2022</v>
      </c>
      <c r="I21" s="1193">
        <v>1</v>
      </c>
      <c r="J21" s="1194" t="str">
        <f t="shared" si="10"/>
        <v>1T2022</v>
      </c>
      <c r="K21" s="1348">
        <v>3.8711696770833357</v>
      </c>
      <c r="L21" s="1196">
        <v>4.0975060000000001</v>
      </c>
      <c r="N21" s="1193">
        <v>2022</v>
      </c>
      <c r="O21" s="1193">
        <v>1</v>
      </c>
      <c r="P21" s="1194" t="str">
        <f t="shared" si="11"/>
        <v>1T2022</v>
      </c>
      <c r="Q21" s="1196">
        <v>3.0526192992424265E-2</v>
      </c>
      <c r="R21" s="1196">
        <v>3.0419999999999999E-2</v>
      </c>
    </row>
    <row r="22" spans="2:18" s="1190" customFormat="1">
      <c r="B22" s="1193">
        <v>2022</v>
      </c>
      <c r="C22" s="1193">
        <v>2</v>
      </c>
      <c r="D22" s="1194" t="str">
        <f t="shared" ref="D22" si="12">C22&amp;"T"&amp;B22</f>
        <v>2T2022</v>
      </c>
      <c r="E22" s="1196">
        <v>3.7769047619047629</v>
      </c>
      <c r="F22" s="1196">
        <v>3.8250000000000002</v>
      </c>
      <c r="H22" s="1193">
        <v>2022</v>
      </c>
      <c r="I22" s="1193">
        <v>2</v>
      </c>
      <c r="J22" s="1194" t="str">
        <f t="shared" ref="J22" si="13">I22&amp;"T"&amp;H22</f>
        <v>2T2022</v>
      </c>
      <c r="K22" s="1348">
        <v>4.1314162936507923</v>
      </c>
      <c r="L22" s="1196">
        <v>4.0090130000000004</v>
      </c>
      <c r="N22" s="1193">
        <v>2022</v>
      </c>
      <c r="O22" s="1193">
        <v>2</v>
      </c>
      <c r="P22" s="1194" t="str">
        <f t="shared" ref="P22" si="14">O22&amp;"T"&amp;N22</f>
        <v>2T2022</v>
      </c>
      <c r="Q22" s="1196">
        <v>3.0840777777777779E-2</v>
      </c>
      <c r="R22" s="1196">
        <v>2.8198000000000001E-2</v>
      </c>
    </row>
    <row r="23" spans="2:18" s="1190" customFormat="1">
      <c r="B23" s="1193">
        <v>2022</v>
      </c>
      <c r="C23" s="1193">
        <v>3</v>
      </c>
      <c r="D23" s="1194" t="str">
        <f t="shared" ref="D23" si="15">C23&amp;"T"&amp;B23</f>
        <v>3T2022</v>
      </c>
      <c r="E23" s="1196">
        <v>3.8907780000000001</v>
      </c>
      <c r="F23" s="1196">
        <v>3.9809999999999999</v>
      </c>
      <c r="H23" s="1193">
        <v>2022</v>
      </c>
      <c r="I23" s="1193">
        <v>3</v>
      </c>
      <c r="J23" s="1194" t="str">
        <f t="shared" ref="J23" si="16">I23&amp;"T"&amp;H23</f>
        <v>3T2022</v>
      </c>
      <c r="K23" s="1348">
        <v>3.9148740000000002</v>
      </c>
      <c r="L23" s="1196">
        <v>3.899883</v>
      </c>
      <c r="N23" s="1193">
        <v>2022</v>
      </c>
      <c r="O23" s="1193">
        <v>3</v>
      </c>
      <c r="P23" s="1194" t="str">
        <f t="shared" ref="P23" si="17">O23&amp;"T"&amp;N23</f>
        <v>3T2022</v>
      </c>
      <c r="Q23" s="1196">
        <v>2.8108000000000001E-2</v>
      </c>
      <c r="R23" s="1196">
        <v>2.7508999999999999E-2</v>
      </c>
    </row>
    <row r="24" spans="2:18" s="1190" customFormat="1" ht="13.5" thickBot="1">
      <c r="B24" s="1333">
        <v>2022</v>
      </c>
      <c r="C24" s="1333">
        <v>4</v>
      </c>
      <c r="D24" s="1334" t="str">
        <f t="shared" ref="D24:D25" si="18">C24&amp;"T"&amp;B24</f>
        <v>4T2022</v>
      </c>
      <c r="E24" s="1336">
        <v>3.89669</v>
      </c>
      <c r="F24" s="1336">
        <v>3.8140000000000001</v>
      </c>
      <c r="G24" s="1335"/>
      <c r="H24" s="1333">
        <v>2022</v>
      </c>
      <c r="I24" s="1333">
        <v>4</v>
      </c>
      <c r="J24" s="1334" t="str">
        <f t="shared" ref="J24:J25" si="19">I24&amp;"T"&amp;H24</f>
        <v>4T2022</v>
      </c>
      <c r="K24" s="1345">
        <v>3.9462730000000001</v>
      </c>
      <c r="L24" s="1336">
        <v>4.0822000000000003</v>
      </c>
      <c r="M24" s="1335"/>
      <c r="N24" s="1333">
        <v>2022</v>
      </c>
      <c r="O24" s="1333">
        <v>4</v>
      </c>
      <c r="P24" s="1334" t="str">
        <f t="shared" ref="P24:P25" si="20">O24&amp;"T"&amp;N24</f>
        <v>4T2022</v>
      </c>
      <c r="Q24" s="1336">
        <v>2.7502107142857137E-2</v>
      </c>
      <c r="R24" s="1336">
        <v>2.9142999999999999E-2</v>
      </c>
    </row>
    <row r="25" spans="2:18" s="1190" customFormat="1">
      <c r="B25" s="12">
        <v>2023</v>
      </c>
      <c r="C25" s="12">
        <v>1</v>
      </c>
      <c r="D25" s="1181" t="str">
        <f t="shared" si="18"/>
        <v>1T2023</v>
      </c>
      <c r="E25" s="1197">
        <v>3.8161879999999999</v>
      </c>
      <c r="F25" s="1197">
        <v>3.762</v>
      </c>
      <c r="G25"/>
      <c r="H25" s="12">
        <v>2023</v>
      </c>
      <c r="I25" s="12">
        <v>1</v>
      </c>
      <c r="J25" s="1181" t="str">
        <f t="shared" si="19"/>
        <v>1T2023</v>
      </c>
      <c r="K25" s="1346">
        <v>4.0955950000000003</v>
      </c>
      <c r="L25" s="1197">
        <v>4.0829170000000001</v>
      </c>
      <c r="M25"/>
      <c r="N25" s="12">
        <v>2023</v>
      </c>
      <c r="O25" s="12">
        <v>1</v>
      </c>
      <c r="P25" s="1181" t="str">
        <f t="shared" si="20"/>
        <v>1T2023</v>
      </c>
      <c r="Q25" s="1197">
        <v>2.8836750000000001E-2</v>
      </c>
      <c r="R25" s="1197">
        <v>2.8302000000000001E-2</v>
      </c>
    </row>
    <row r="26" spans="2:18" s="1190" customFormat="1">
      <c r="B26" s="12">
        <v>2023</v>
      </c>
      <c r="C26" s="12">
        <v>2</v>
      </c>
      <c r="D26" s="1181" t="str">
        <f t="shared" ref="D26:D27" si="21">C26&amp;"T"&amp;B26</f>
        <v>2T2023</v>
      </c>
      <c r="E26" s="1197">
        <v>3.6983769999999998</v>
      </c>
      <c r="F26" s="1197">
        <v>3.6280000000000001</v>
      </c>
      <c r="G26"/>
      <c r="H26" s="12">
        <v>2023</v>
      </c>
      <c r="I26" s="12">
        <v>2</v>
      </c>
      <c r="J26" s="1181" t="str">
        <f t="shared" ref="J26:J27" si="22">I26&amp;"T"&amp;H26</f>
        <v>2T2023</v>
      </c>
      <c r="K26" s="1346">
        <v>4.026497</v>
      </c>
      <c r="L26" s="1197">
        <v>3.9589720000000002</v>
      </c>
      <c r="M26"/>
      <c r="N26" s="12">
        <v>2023</v>
      </c>
      <c r="O26" s="12">
        <v>2</v>
      </c>
      <c r="P26" s="1181" t="str">
        <f t="shared" ref="P26:P27" si="23">O26&amp;"T"&amp;N26</f>
        <v>2T2023</v>
      </c>
      <c r="Q26" s="1197">
        <v>2.6917E-2</v>
      </c>
      <c r="R26" s="1197">
        <v>2.5142000000000001E-2</v>
      </c>
    </row>
    <row r="27" spans="2:18" s="1190" customFormat="1">
      <c r="B27" s="12">
        <v>2023</v>
      </c>
      <c r="C27" s="12">
        <v>3</v>
      </c>
      <c r="D27" s="1181" t="str">
        <f t="shared" si="21"/>
        <v>3T2023</v>
      </c>
      <c r="E27" s="1346">
        <v>3.677254</v>
      </c>
      <c r="F27" s="1197">
        <v>3.7930000000000001</v>
      </c>
      <c r="G27"/>
      <c r="H27" s="12">
        <v>2023</v>
      </c>
      <c r="I27" s="12">
        <v>3</v>
      </c>
      <c r="J27" s="1181" t="str">
        <f t="shared" si="22"/>
        <v>3T2023</v>
      </c>
      <c r="K27" s="1346">
        <v>3.99926</v>
      </c>
      <c r="L27" s="1197">
        <v>4.0078199999999997</v>
      </c>
      <c r="M27"/>
      <c r="N27" s="12">
        <v>2023</v>
      </c>
      <c r="O27" s="12">
        <v>3</v>
      </c>
      <c r="P27" s="1181" t="str">
        <f t="shared" si="23"/>
        <v>3T2023</v>
      </c>
      <c r="Q27" s="1197">
        <v>2.5433000000000001E-2</v>
      </c>
      <c r="R27" s="1197">
        <v>2.5382999999999999E-2</v>
      </c>
    </row>
    <row r="28" spans="2:18" s="1190" customFormat="1" ht="13.5" thickBot="1">
      <c r="B28" s="1329">
        <v>2023</v>
      </c>
      <c r="C28" s="1329">
        <v>4</v>
      </c>
      <c r="D28" s="1330" t="s">
        <v>4479</v>
      </c>
      <c r="E28" s="1332">
        <v>3.7825319999999998</v>
      </c>
      <c r="F28" s="1332">
        <v>3.7090000000000001</v>
      </c>
      <c r="G28" s="1331"/>
      <c r="H28" s="1329">
        <v>2023</v>
      </c>
      <c r="I28" s="1329">
        <v>4</v>
      </c>
      <c r="J28" s="1330" t="s">
        <v>4479</v>
      </c>
      <c r="K28" s="1347">
        <v>4.0702829999999999</v>
      </c>
      <c r="L28" s="1332">
        <v>4.0997019999999997</v>
      </c>
      <c r="M28" s="1331"/>
      <c r="N28" s="1329">
        <v>2023</v>
      </c>
      <c r="O28" s="1329">
        <v>4</v>
      </c>
      <c r="P28" s="1330" t="s">
        <v>4479</v>
      </c>
      <c r="Q28" s="1332">
        <v>2.5581E-2</v>
      </c>
      <c r="R28" s="1332">
        <v>2.6322999999999999E-2</v>
      </c>
    </row>
    <row r="29" spans="2:18" s="1190" customFormat="1">
      <c r="B29" s="12">
        <v>2024</v>
      </c>
      <c r="C29" s="12">
        <v>1</v>
      </c>
      <c r="D29" s="1181" t="s">
        <v>4482</v>
      </c>
      <c r="E29" s="1197">
        <v>3.7605740000000001</v>
      </c>
      <c r="F29" s="1197">
        <v>3.718</v>
      </c>
      <c r="G29"/>
      <c r="H29" s="12">
        <v>2024</v>
      </c>
      <c r="I29" s="12">
        <v>1</v>
      </c>
      <c r="J29" s="1181" t="s">
        <v>4482</v>
      </c>
      <c r="K29" s="1346">
        <v>4.0817589999999999</v>
      </c>
      <c r="L29" s="1197">
        <v>4.0225039999999996</v>
      </c>
      <c r="M29"/>
      <c r="N29" s="12">
        <v>2024</v>
      </c>
      <c r="O29" s="12">
        <v>1</v>
      </c>
      <c r="P29" s="1181" t="s">
        <v>4482</v>
      </c>
      <c r="Q29" s="1197">
        <v>2.5315000000000001E-2</v>
      </c>
      <c r="R29" s="1197">
        <v>2.4560999999999999E-2</v>
      </c>
    </row>
    <row r="30" spans="2:18" s="1190" customFormat="1">
      <c r="B30" s="12">
        <v>2024</v>
      </c>
      <c r="C30" s="12">
        <v>2</v>
      </c>
      <c r="D30" s="1181" t="s">
        <v>4516</v>
      </c>
      <c r="E30" s="1197">
        <v>3.7408100000000002</v>
      </c>
      <c r="F30" s="1197">
        <v>3.831</v>
      </c>
      <c r="G30"/>
      <c r="H30" s="12">
        <v>2024</v>
      </c>
      <c r="I30" s="12">
        <v>2</v>
      </c>
      <c r="J30" s="1181" t="s">
        <v>4516</v>
      </c>
      <c r="K30" s="1346">
        <v>4.0283310000000006</v>
      </c>
      <c r="L30" s="1197">
        <v>4.1047900000000004</v>
      </c>
      <c r="M30"/>
      <c r="N30" s="12">
        <v>2024</v>
      </c>
      <c r="O30" s="12">
        <v>2</v>
      </c>
      <c r="P30" s="1181" t="s">
        <v>4516</v>
      </c>
      <c r="Q30" s="1197">
        <v>2.4015999999999999E-2</v>
      </c>
      <c r="R30" s="1197">
        <v>2.3824999999999999E-2</v>
      </c>
    </row>
    <row r="31" spans="2:18" s="1190" customFormat="1">
      <c r="B31" s="12">
        <v>2024</v>
      </c>
      <c r="C31" s="12">
        <v>3</v>
      </c>
      <c r="D31" s="1181" t="s">
        <v>4517</v>
      </c>
      <c r="E31" s="1197">
        <v>3.7581150000000001</v>
      </c>
      <c r="F31" s="1197">
        <v>3.7090000000000001</v>
      </c>
      <c r="G31"/>
      <c r="H31" s="12">
        <v>2024</v>
      </c>
      <c r="I31" s="12">
        <v>3</v>
      </c>
      <c r="J31" s="1181" t="s">
        <v>4517</v>
      </c>
      <c r="K31" s="1346">
        <v>4.1313680000000002</v>
      </c>
      <c r="L31" s="1197">
        <v>4.1367399999999996</v>
      </c>
      <c r="M31"/>
      <c r="N31" s="12">
        <v>2024</v>
      </c>
      <c r="O31" s="12">
        <v>3</v>
      </c>
      <c r="P31" s="1181" t="s">
        <v>4517</v>
      </c>
      <c r="Q31" s="1197">
        <v>2.5257999999999999E-2</v>
      </c>
      <c r="R31" s="1197">
        <v>2.5918E-2</v>
      </c>
    </row>
    <row r="32" spans="2:18" s="1190" customFormat="1" ht="13.5" thickBot="1">
      <c r="B32" s="1329">
        <v>2024</v>
      </c>
      <c r="C32" s="1329">
        <v>4</v>
      </c>
      <c r="D32" s="1330" t="s">
        <v>4518</v>
      </c>
      <c r="E32" s="1332">
        <v>3.7560159999999998</v>
      </c>
      <c r="F32" s="1332">
        <v>3.7639999999999998</v>
      </c>
      <c r="G32" s="1331"/>
      <c r="H32" s="1329">
        <v>2024</v>
      </c>
      <c r="I32" s="1329">
        <v>4</v>
      </c>
      <c r="J32" s="1330" t="s">
        <v>4518</v>
      </c>
      <c r="K32" s="1347">
        <v>4.0392999999999999</v>
      </c>
      <c r="L32" s="1332">
        <v>3.8809999999999998</v>
      </c>
      <c r="M32" s="1331"/>
      <c r="N32" s="1329">
        <v>2024</v>
      </c>
      <c r="O32" s="1329">
        <v>4</v>
      </c>
      <c r="P32" s="1330" t="s">
        <v>4518</v>
      </c>
      <c r="Q32" s="1332">
        <v>2.3900000000000001E-2</v>
      </c>
      <c r="R32" s="1332">
        <v>2.5918E-2</v>
      </c>
    </row>
    <row r="33" spans="1:18" s="1190" customFormat="1">
      <c r="B33" s="12">
        <v>2025</v>
      </c>
      <c r="C33" s="12">
        <v>1</v>
      </c>
      <c r="D33" s="1181" t="s">
        <v>4519</v>
      </c>
      <c r="E33" s="1197">
        <v>3.7000950000000001</v>
      </c>
      <c r="F33" s="1197">
        <v>3.6680000000000001</v>
      </c>
      <c r="G33"/>
      <c r="H33" s="12">
        <v>2025</v>
      </c>
      <c r="I33" s="12">
        <v>1</v>
      </c>
      <c r="J33" s="1181" t="s">
        <v>4519</v>
      </c>
      <c r="K33" s="1346">
        <v>3.8943400000000001</v>
      </c>
      <c r="L33" s="1197">
        <v>3.9671219999999998</v>
      </c>
      <c r="M33"/>
      <c r="N33" s="12">
        <v>2025</v>
      </c>
      <c r="O33" s="12">
        <v>1</v>
      </c>
      <c r="P33" s="1181" t="s">
        <v>4519</v>
      </c>
      <c r="Q33" s="1197">
        <v>2.4278999999999998E-2</v>
      </c>
      <c r="R33" s="1197">
        <v>2.4447E-2</v>
      </c>
    </row>
    <row r="34" spans="1:18" s="1190" customFormat="1">
      <c r="B34" s="12">
        <v>2025</v>
      </c>
      <c r="C34" s="12">
        <v>2</v>
      </c>
      <c r="D34" s="1181" t="s">
        <v>4520</v>
      </c>
      <c r="E34" s="1197">
        <v>3.6537739999999999</v>
      </c>
      <c r="F34" s="1197">
        <v>3.5419999999999998</v>
      </c>
      <c r="G34"/>
      <c r="H34" s="12">
        <v>2025</v>
      </c>
      <c r="I34" s="12">
        <v>2</v>
      </c>
      <c r="J34" s="1181" t="s">
        <v>4520</v>
      </c>
      <c r="K34" s="1346">
        <v>4.1427519999999998</v>
      </c>
      <c r="L34" s="1197">
        <v>4.1675490000000002</v>
      </c>
      <c r="M34"/>
      <c r="N34" s="12">
        <v>2025</v>
      </c>
      <c r="O34" s="12">
        <v>2</v>
      </c>
      <c r="P34" s="1181" t="s">
        <v>4520</v>
      </c>
      <c r="Q34" s="1197">
        <v>2.5271999999999999E-2</v>
      </c>
      <c r="R34" s="1197">
        <v>2.4552999999999998E-2</v>
      </c>
    </row>
    <row r="35" spans="1:18" s="1190" customFormat="1">
      <c r="B35" s="12">
        <v>2025</v>
      </c>
      <c r="C35" s="12">
        <v>3</v>
      </c>
      <c r="D35" s="1181" t="str">
        <f t="shared" ref="D35" si="24">C35&amp;"T"&amp;B35</f>
        <v>3T2025</v>
      </c>
      <c r="E35" s="1197">
        <f>ROUND(dolar!$B$68,6)</f>
        <v>3.5331610000000002</v>
      </c>
      <c r="F35" s="1197">
        <f>ROUND(dolar!$B$69,6)</f>
        <v>3.47</v>
      </c>
      <c r="G35"/>
      <c r="H35" s="12">
        <v>2025</v>
      </c>
      <c r="I35" s="12">
        <v>3</v>
      </c>
      <c r="J35" s="1181" t="str">
        <f t="shared" ref="J35" si="25">I35&amp;"T"&amp;H35</f>
        <v>3T2025</v>
      </c>
      <c r="K35" s="1346">
        <f>ROUNDUP(euro!$B$68,6)</f>
        <v>4.130026</v>
      </c>
      <c r="L35" s="1197">
        <f>ROUNDUP(euro!$B$69,6)</f>
        <v>4.0770770000000001</v>
      </c>
      <c r="M35"/>
      <c r="N35" s="12">
        <v>2025</v>
      </c>
      <c r="O35" s="12">
        <v>3</v>
      </c>
      <c r="P35" s="1181" t="str">
        <f t="shared" ref="P35" si="26">O35&amp;"T"&amp;N35</f>
        <v>3T2025</v>
      </c>
      <c r="Q35" s="1197">
        <f>ROUND(yen!$B$68,6)</f>
        <v>2.3968E-2</v>
      </c>
      <c r="R35" s="1197">
        <f>ROUND(yen!$B$69,6)</f>
        <v>2.3480999999999998E-2</v>
      </c>
    </row>
    <row r="36" spans="1:18">
      <c r="A36" s="1180" t="s">
        <v>3022</v>
      </c>
      <c r="B36" s="1182"/>
      <c r="C36" s="1182"/>
      <c r="D36" s="1182"/>
      <c r="E36" s="1182"/>
      <c r="F36" s="1182"/>
      <c r="H36" s="1182"/>
      <c r="I36" s="1182"/>
      <c r="J36" s="1182"/>
      <c r="K36" s="1182"/>
      <c r="L36" s="1182"/>
      <c r="N36" s="1182"/>
      <c r="O36" s="1182"/>
      <c r="P36" s="1182"/>
      <c r="Q36" s="1182"/>
      <c r="R36" s="1188"/>
    </row>
    <row r="40" spans="1:18">
      <c r="B40" s="1306" t="s">
        <v>3023</v>
      </c>
      <c r="C40" s="1307" t="s">
        <v>3016</v>
      </c>
      <c r="D40" s="1308"/>
      <c r="E40" s="1308"/>
      <c r="F40" s="1309"/>
    </row>
  </sheetData>
  <sheetProtection algorithmName="SHA-512" hashValue="KROTeaQV2KXaWNPhsEgrri0a/9cmEtIAZDLq/OFJRgCyNxDvOcw1AcJ1rWvhqHUHbRw2J80vmPAgn7V2YCGQHQ==" saltValue="hd7G+aD9LqxEvKjqQr+t6Q==" spinCount="100000" sheet="1" objects="1" scenarios="1"/>
  <phoneticPr fontId="0" type="noConversion"/>
  <hyperlinks>
    <hyperlink ref="C40" r:id="rId1" xr:uid="{00000000-0004-0000-1800-000000000000}"/>
    <hyperlink ref="S2" r:id="rId2" xr:uid="{82DE43B4-770C-4071-BE4C-F6AFCCB3DDCA}"/>
  </hyperlinks>
  <pageMargins left="0.75" right="0.75" top="1" bottom="1" header="0" footer="0"/>
  <pageSetup orientation="portrait" verticalDpi="4294967295" r:id="rId3"/>
  <headerFooter alignWithMargins="0"/>
  <legacyDrawing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74755-7F29-4CF9-823D-16714FD4060B}">
  <sheetPr codeName="Hoja19"/>
  <dimension ref="A1:C69"/>
  <sheetViews>
    <sheetView zoomScale="115" zoomScaleNormal="115" workbookViewId="0">
      <pane xSplit="1" ySplit="1" topLeftCell="B38" activePane="bottomRight" state="frozen"/>
      <selection activeCell="D72" sqref="D72"/>
      <selection pane="topRight" activeCell="D72" sqref="D72"/>
      <selection pane="bottomLeft" activeCell="D72" sqref="D72"/>
      <selection pane="bottomRight" activeCell="D72" sqref="D72"/>
    </sheetView>
  </sheetViews>
  <sheetFormatPr baseColWidth="10" defaultColWidth="11.42578125" defaultRowHeight="12.75"/>
  <cols>
    <col min="1" max="1" width="10.5703125" bestFit="1" customWidth="1"/>
    <col min="2" max="2" width="16" bestFit="1" customWidth="1"/>
    <col min="3" max="3" width="12.28515625" bestFit="1" customWidth="1"/>
    <col min="5" max="5" width="9.140625" bestFit="1" customWidth="1"/>
  </cols>
  <sheetData>
    <row r="1" spans="1:3" ht="15">
      <c r="A1" s="1349" t="s">
        <v>3379</v>
      </c>
      <c r="B1" s="1349" t="s">
        <v>4480</v>
      </c>
      <c r="C1" s="1349" t="s">
        <v>3380</v>
      </c>
    </row>
    <row r="2" spans="1:3">
      <c r="A2" s="1350" t="s">
        <v>4521</v>
      </c>
      <c r="B2" s="1350">
        <v>3.552</v>
      </c>
      <c r="C2" s="1350" t="s">
        <v>4481</v>
      </c>
    </row>
    <row r="3" spans="1:3">
      <c r="A3" s="1350" t="s">
        <v>4522</v>
      </c>
      <c r="B3" s="1350">
        <v>3.5550000000000002</v>
      </c>
      <c r="C3" s="1350" t="s">
        <v>4481</v>
      </c>
    </row>
    <row r="4" spans="1:3">
      <c r="A4" s="1350" t="s">
        <v>4523</v>
      </c>
      <c r="B4" s="1350">
        <v>3.5430000000000001</v>
      </c>
      <c r="C4" s="1350" t="s">
        <v>4481</v>
      </c>
    </row>
    <row r="5" spans="1:3">
      <c r="A5" s="1350" t="s">
        <v>4524</v>
      </c>
      <c r="B5" s="1350">
        <v>3.5470000000000002</v>
      </c>
      <c r="C5" s="1350" t="s">
        <v>4481</v>
      </c>
    </row>
    <row r="6" spans="1:3">
      <c r="A6" s="1350" t="s">
        <v>4525</v>
      </c>
      <c r="B6" s="1350">
        <v>3.5590000000000002</v>
      </c>
      <c r="C6" s="1350" t="s">
        <v>4481</v>
      </c>
    </row>
    <row r="7" spans="1:3">
      <c r="A7" s="1350" t="s">
        <v>4526</v>
      </c>
      <c r="B7" s="1350">
        <v>3.56</v>
      </c>
      <c r="C7" s="1350" t="s">
        <v>4481</v>
      </c>
    </row>
    <row r="8" spans="1:3">
      <c r="A8" s="1350" t="s">
        <v>4527</v>
      </c>
      <c r="B8" s="1350">
        <v>3.55</v>
      </c>
      <c r="C8" s="1350" t="s">
        <v>4481</v>
      </c>
    </row>
    <row r="9" spans="1:3">
      <c r="A9" s="1350" t="s">
        <v>4528</v>
      </c>
      <c r="B9" s="1350">
        <v>3.552</v>
      </c>
      <c r="C9" s="1350" t="s">
        <v>4481</v>
      </c>
    </row>
    <row r="10" spans="1:3">
      <c r="A10" s="1350" t="s">
        <v>4529</v>
      </c>
      <c r="B10" s="1350">
        <v>3.552</v>
      </c>
      <c r="C10" s="1350" t="s">
        <v>4481</v>
      </c>
    </row>
    <row r="11" spans="1:3">
      <c r="A11" s="1350" t="s">
        <v>4530</v>
      </c>
      <c r="B11" s="1350">
        <v>3.5619999999999998</v>
      </c>
      <c r="C11" s="1350" t="s">
        <v>4481</v>
      </c>
    </row>
    <row r="12" spans="1:3">
      <c r="A12" s="1350" t="s">
        <v>4531</v>
      </c>
      <c r="B12" s="1350">
        <v>3.5649999999999999</v>
      </c>
      <c r="C12" s="1350" t="s">
        <v>4481</v>
      </c>
    </row>
    <row r="13" spans="1:3">
      <c r="A13" s="1350" t="s">
        <v>4532</v>
      </c>
      <c r="B13" s="1350">
        <v>3.5539999999999998</v>
      </c>
      <c r="C13" s="1350" t="s">
        <v>4481</v>
      </c>
    </row>
    <row r="14" spans="1:3">
      <c r="A14" s="1350" t="s">
        <v>4533</v>
      </c>
      <c r="B14" s="1350">
        <v>3.552</v>
      </c>
      <c r="C14" s="1350" t="s">
        <v>4481</v>
      </c>
    </row>
    <row r="15" spans="1:3">
      <c r="A15" s="1350" t="s">
        <v>4534</v>
      </c>
      <c r="B15" s="1350">
        <v>3.5619999999999998</v>
      </c>
      <c r="C15" s="1350" t="s">
        <v>4481</v>
      </c>
    </row>
    <row r="16" spans="1:3">
      <c r="A16" s="1350" t="s">
        <v>4535</v>
      </c>
      <c r="B16" s="1350">
        <v>3.5609999999999999</v>
      </c>
      <c r="C16" s="1350" t="s">
        <v>4481</v>
      </c>
    </row>
    <row r="17" spans="1:3">
      <c r="A17" s="1350" t="s">
        <v>4536</v>
      </c>
      <c r="B17" s="1350">
        <v>3.5579999999999998</v>
      </c>
      <c r="C17" s="1350" t="s">
        <v>4481</v>
      </c>
    </row>
    <row r="18" spans="1:3">
      <c r="A18" s="1350" t="s">
        <v>4537</v>
      </c>
      <c r="B18" s="1350">
        <v>3.5489999999999999</v>
      </c>
      <c r="C18" s="1350" t="s">
        <v>4481</v>
      </c>
    </row>
    <row r="19" spans="1:3">
      <c r="A19" s="1350" t="s">
        <v>4538</v>
      </c>
      <c r="B19" s="1350">
        <v>3.5459999999999998</v>
      </c>
      <c r="C19" s="1350" t="s">
        <v>4481</v>
      </c>
    </row>
    <row r="20" spans="1:3">
      <c r="A20" s="1350" t="s">
        <v>4539</v>
      </c>
      <c r="B20" s="1350">
        <v>3.5630000000000002</v>
      </c>
      <c r="C20" s="1350" t="s">
        <v>4481</v>
      </c>
    </row>
    <row r="21" spans="1:3">
      <c r="A21" s="1350" t="s">
        <v>4540</v>
      </c>
      <c r="B21" s="1350">
        <v>3.581</v>
      </c>
      <c r="C21" s="1350" t="s">
        <v>4481</v>
      </c>
    </row>
    <row r="22" spans="1:3">
      <c r="A22" s="1350" t="s">
        <v>4541</v>
      </c>
      <c r="B22" s="1350">
        <v>3.5819999999999999</v>
      </c>
      <c r="C22" s="1350" t="s">
        <v>4481</v>
      </c>
    </row>
    <row r="23" spans="1:3">
      <c r="A23" s="1350" t="s">
        <v>4542</v>
      </c>
      <c r="B23" s="1350">
        <v>3.5720000000000001</v>
      </c>
      <c r="C23" s="1350" t="s">
        <v>4481</v>
      </c>
    </row>
    <row r="24" spans="1:3">
      <c r="A24" s="1350" t="s">
        <v>4543</v>
      </c>
      <c r="B24" s="1350">
        <v>3.5590000000000002</v>
      </c>
      <c r="C24" s="1350" t="s">
        <v>4481</v>
      </c>
    </row>
    <row r="25" spans="1:3">
      <c r="A25" s="1350" t="s">
        <v>4544</v>
      </c>
      <c r="B25" s="1350">
        <v>3.544</v>
      </c>
      <c r="C25" s="1350" t="s">
        <v>4481</v>
      </c>
    </row>
    <row r="26" spans="1:3">
      <c r="A26" s="1350" t="s">
        <v>4545</v>
      </c>
      <c r="B26" s="2159">
        <v>3.5310000000000001</v>
      </c>
      <c r="C26" s="1350" t="s">
        <v>4481</v>
      </c>
    </row>
    <row r="27" spans="1:3">
      <c r="A27" s="1350" t="s">
        <v>4546</v>
      </c>
      <c r="B27" s="2159">
        <v>3.5310000000000001</v>
      </c>
      <c r="C27" s="1350" t="s">
        <v>4481</v>
      </c>
    </row>
    <row r="28" spans="1:3">
      <c r="A28" s="1350" t="s">
        <v>4547</v>
      </c>
      <c r="B28" s="2159">
        <v>3.5209999999999999</v>
      </c>
      <c r="C28" s="1350" t="s">
        <v>4481</v>
      </c>
    </row>
    <row r="29" spans="1:3">
      <c r="A29" s="1350" t="s">
        <v>4548</v>
      </c>
      <c r="B29" s="2159">
        <v>3.5350000000000001</v>
      </c>
      <c r="C29" s="1350" t="s">
        <v>4481</v>
      </c>
    </row>
    <row r="30" spans="1:3">
      <c r="A30" s="1350" t="s">
        <v>4549</v>
      </c>
      <c r="B30" s="2159">
        <v>3.5550000000000002</v>
      </c>
      <c r="C30" s="1350" t="s">
        <v>4481</v>
      </c>
    </row>
    <row r="31" spans="1:3">
      <c r="A31" s="1350" t="s">
        <v>4550</v>
      </c>
      <c r="B31" s="2159">
        <v>3.56</v>
      </c>
      <c r="C31" s="1350" t="s">
        <v>4481</v>
      </c>
    </row>
    <row r="32" spans="1:3">
      <c r="A32" s="1350" t="s">
        <v>4551</v>
      </c>
      <c r="B32" s="2159">
        <v>3.5550000000000002</v>
      </c>
      <c r="C32" s="1350" t="s">
        <v>4481</v>
      </c>
    </row>
    <row r="33" spans="1:3">
      <c r="A33" s="1350" t="s">
        <v>4552</v>
      </c>
      <c r="B33" s="2159">
        <v>3.5339999999999998</v>
      </c>
      <c r="C33" s="1350" t="s">
        <v>4481</v>
      </c>
    </row>
    <row r="34" spans="1:3">
      <c r="A34" s="1350" t="s">
        <v>4553</v>
      </c>
      <c r="B34" s="2159">
        <v>3.5329999999999999</v>
      </c>
      <c r="C34" s="1350" t="s">
        <v>4481</v>
      </c>
    </row>
    <row r="35" spans="1:3">
      <c r="A35" s="1350" t="s">
        <v>4554</v>
      </c>
      <c r="B35" s="2159">
        <v>3.5369999999999999</v>
      </c>
      <c r="C35" s="1350" t="s">
        <v>4481</v>
      </c>
    </row>
    <row r="36" spans="1:3">
      <c r="A36" s="1350" t="s">
        <v>4555</v>
      </c>
      <c r="B36" s="2159">
        <v>3.5230000000000001</v>
      </c>
      <c r="C36" s="1350" t="s">
        <v>4481</v>
      </c>
    </row>
    <row r="37" spans="1:3">
      <c r="A37" s="1350" t="s">
        <v>4556</v>
      </c>
      <c r="B37" s="2159">
        <v>3.524</v>
      </c>
      <c r="C37" s="1350" t="s">
        <v>4481</v>
      </c>
    </row>
    <row r="38" spans="1:3">
      <c r="A38" s="1350" t="s">
        <v>4557</v>
      </c>
      <c r="B38" s="2159">
        <v>3.5339999999999998</v>
      </c>
      <c r="C38" s="1350" t="s">
        <v>4481</v>
      </c>
    </row>
    <row r="39" spans="1:3">
      <c r="A39" s="1350" t="s">
        <v>4558</v>
      </c>
      <c r="B39" s="2159">
        <v>3.5550000000000002</v>
      </c>
      <c r="C39" s="1350" t="s">
        <v>4481</v>
      </c>
    </row>
    <row r="40" spans="1:3">
      <c r="A40" s="1350" t="s">
        <v>4559</v>
      </c>
      <c r="B40" s="2159">
        <v>3.544</v>
      </c>
      <c r="C40" s="1350" t="s">
        <v>4481</v>
      </c>
    </row>
    <row r="41" spans="1:3">
      <c r="A41" s="1350" t="s">
        <v>4560</v>
      </c>
      <c r="B41" s="2159">
        <v>3.5350000000000001</v>
      </c>
      <c r="C41" s="1350" t="s">
        <v>4481</v>
      </c>
    </row>
    <row r="42" spans="1:3">
      <c r="A42" s="1350" t="s">
        <v>4561</v>
      </c>
      <c r="B42" s="2159">
        <v>3.5329999999999999</v>
      </c>
      <c r="C42" s="1350" t="s">
        <v>4481</v>
      </c>
    </row>
    <row r="43" spans="1:3">
      <c r="A43" s="1350" t="s">
        <v>4562</v>
      </c>
      <c r="B43" s="2159">
        <v>3.5409999999999999</v>
      </c>
      <c r="C43" s="1350" t="s">
        <v>4481</v>
      </c>
    </row>
    <row r="44" spans="1:3">
      <c r="A44" s="1350" t="s">
        <v>4563</v>
      </c>
      <c r="B44" s="2159">
        <v>3.5310000000000001</v>
      </c>
      <c r="C44" s="1350" t="s">
        <v>4481</v>
      </c>
    </row>
    <row r="45" spans="1:3">
      <c r="A45" s="1350" t="s">
        <v>4564</v>
      </c>
      <c r="B45" s="2159">
        <v>3.5350000000000001</v>
      </c>
      <c r="C45" s="1350" t="s">
        <v>4481</v>
      </c>
    </row>
    <row r="46" spans="1:3">
      <c r="A46" s="1350" t="s">
        <v>4565</v>
      </c>
      <c r="B46" s="2159">
        <v>3.5230000000000001</v>
      </c>
      <c r="C46" s="1350" t="s">
        <v>4481</v>
      </c>
    </row>
    <row r="47" spans="1:3">
      <c r="A47" s="1350" t="s">
        <v>4566</v>
      </c>
      <c r="B47" s="2159">
        <v>3.5169999999999999</v>
      </c>
      <c r="C47" s="1350" t="s">
        <v>4481</v>
      </c>
    </row>
    <row r="48" spans="1:3">
      <c r="A48" s="1350" t="s">
        <v>4567</v>
      </c>
      <c r="B48" s="2159">
        <v>3.5059999999999998</v>
      </c>
      <c r="C48" s="1350" t="s">
        <v>4481</v>
      </c>
    </row>
    <row r="49" spans="1:3">
      <c r="A49" s="1350" t="s">
        <v>4568</v>
      </c>
      <c r="B49" s="2159">
        <v>3.49</v>
      </c>
      <c r="C49" s="1350" t="s">
        <v>4481</v>
      </c>
    </row>
    <row r="50" spans="1:3">
      <c r="A50" s="1350" t="s">
        <v>4569</v>
      </c>
      <c r="B50" s="2159">
        <v>3.4809999999999999</v>
      </c>
      <c r="C50" s="1350" t="s">
        <v>4481</v>
      </c>
    </row>
    <row r="51" spans="1:3">
      <c r="A51" s="1350" t="s">
        <v>4570</v>
      </c>
      <c r="B51" s="2159">
        <v>3.4940000000000002</v>
      </c>
      <c r="C51" s="1350" t="s">
        <v>4481</v>
      </c>
    </row>
    <row r="52" spans="1:3">
      <c r="A52" s="1350" t="s">
        <v>4571</v>
      </c>
      <c r="B52" s="2159">
        <v>3.4950000000000001</v>
      </c>
      <c r="C52" s="1350" t="s">
        <v>4481</v>
      </c>
    </row>
    <row r="53" spans="1:3">
      <c r="A53" s="1350" t="s">
        <v>4572</v>
      </c>
      <c r="B53" s="2159">
        <v>3.4870000000000001</v>
      </c>
      <c r="C53" s="1350" t="s">
        <v>4481</v>
      </c>
    </row>
    <row r="54" spans="1:3">
      <c r="A54" s="1350" t="s">
        <v>4573</v>
      </c>
      <c r="B54" s="2159">
        <v>3.484</v>
      </c>
      <c r="C54" s="1350" t="s">
        <v>4481</v>
      </c>
    </row>
    <row r="55" spans="1:3">
      <c r="A55" s="1350" t="s">
        <v>4574</v>
      </c>
      <c r="B55" s="2159">
        <v>3.4860000000000002</v>
      </c>
      <c r="C55" s="1350" t="s">
        <v>4481</v>
      </c>
    </row>
    <row r="56" spans="1:3">
      <c r="A56" s="1350" t="s">
        <v>4575</v>
      </c>
      <c r="B56" s="2159">
        <v>3.4910000000000001</v>
      </c>
      <c r="C56" s="1350" t="s">
        <v>4481</v>
      </c>
    </row>
    <row r="57" spans="1:3">
      <c r="A57" s="1350" t="s">
        <v>4576</v>
      </c>
      <c r="B57" s="2159">
        <v>3.504</v>
      </c>
      <c r="C57" s="1350" t="s">
        <v>4481</v>
      </c>
    </row>
    <row r="58" spans="1:3">
      <c r="A58" s="1350" t="s">
        <v>4577</v>
      </c>
      <c r="B58" s="2159">
        <v>3.5030000000000001</v>
      </c>
      <c r="C58" s="1350" t="s">
        <v>4481</v>
      </c>
    </row>
    <row r="59" spans="1:3">
      <c r="A59" s="1350" t="s">
        <v>4578</v>
      </c>
      <c r="B59" s="2159">
        <v>3.5070000000000001</v>
      </c>
      <c r="C59" s="1350" t="s">
        <v>4481</v>
      </c>
    </row>
    <row r="60" spans="1:3">
      <c r="A60" s="1350" t="s">
        <v>4579</v>
      </c>
      <c r="B60" s="2159">
        <v>3.5059999999999998</v>
      </c>
      <c r="C60" s="1350" t="s">
        <v>4481</v>
      </c>
    </row>
    <row r="61" spans="1:3">
      <c r="A61" s="1350" t="s">
        <v>4580</v>
      </c>
      <c r="B61" s="2159">
        <v>3.4980000000000002</v>
      </c>
      <c r="C61" s="1350" t="s">
        <v>4481</v>
      </c>
    </row>
    <row r="62" spans="1:3">
      <c r="A62" s="1350" t="s">
        <v>4581</v>
      </c>
      <c r="B62" s="2159">
        <v>3.4870000000000001</v>
      </c>
      <c r="C62" s="1350" t="s">
        <v>4481</v>
      </c>
    </row>
    <row r="63" spans="1:3">
      <c r="A63" s="1350" t="s">
        <v>4582</v>
      </c>
      <c r="B63" s="2159">
        <v>3.47</v>
      </c>
      <c r="C63" s="1350" t="s">
        <v>4481</v>
      </c>
    </row>
    <row r="64" spans="1:3">
      <c r="A64" s="1350"/>
      <c r="B64" s="1350"/>
      <c r="C64" s="1350"/>
    </row>
    <row r="65" spans="1:3" ht="15">
      <c r="A65" s="1518"/>
      <c r="B65" s="1518"/>
      <c r="C65" s="1518"/>
    </row>
    <row r="68" spans="1:3">
      <c r="A68" s="1351" t="s">
        <v>3020</v>
      </c>
      <c r="B68" s="2140">
        <f>AVERAGE(B2:B63)</f>
        <v>3.5331612903225809</v>
      </c>
    </row>
    <row r="69" spans="1:3" ht="25.5">
      <c r="A69" s="1351" t="s">
        <v>3381</v>
      </c>
      <c r="B69" s="2160">
        <f>+B63</f>
        <v>3.47</v>
      </c>
    </row>
  </sheetData>
  <sheetProtection algorithmName="SHA-512" hashValue="if5qFNv/Z4eeaIAIsBnhAp3+rf4k4hZrNNx+P6QYSxv4fs9M7FHeCd+bOtz1Gy6I/LLP0qQ7Rx3ZJkFJ5Tlm1A==" saltValue="O+6vO6562ZxNGhjqUl7fTQ==" spinCount="100000" sheet="1" objects="1" scenarios="1"/>
  <phoneticPr fontId="221"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86408-25BA-49D7-8D4F-1056578A6129}">
  <sheetPr codeName="Hoja20"/>
  <dimension ref="A1:C69"/>
  <sheetViews>
    <sheetView zoomScale="130" zoomScaleNormal="130" workbookViewId="0">
      <pane xSplit="1" ySplit="1" topLeftCell="B41" activePane="bottomRight" state="frozen"/>
      <selection activeCell="D72" sqref="D72"/>
      <selection pane="topRight" activeCell="D72" sqref="D72"/>
      <selection pane="bottomLeft" activeCell="D72" sqref="D72"/>
      <selection pane="bottomRight" activeCell="D72" sqref="D72"/>
    </sheetView>
  </sheetViews>
  <sheetFormatPr baseColWidth="10" defaultColWidth="11.42578125" defaultRowHeight="12.75"/>
  <cols>
    <col min="1" max="1" width="10.5703125" bestFit="1" customWidth="1"/>
    <col min="2" max="2" width="16" bestFit="1" customWidth="1"/>
    <col min="3" max="3" width="11.28515625" bestFit="1" customWidth="1"/>
  </cols>
  <sheetData>
    <row r="1" spans="1:3" ht="15">
      <c r="A1" s="1349" t="s">
        <v>3379</v>
      </c>
      <c r="B1" s="1349" t="s">
        <v>4480</v>
      </c>
      <c r="C1" s="1349" t="s">
        <v>3380</v>
      </c>
    </row>
    <row r="2" spans="1:3">
      <c r="A2" s="1350" t="s">
        <v>4521</v>
      </c>
      <c r="B2" s="1350">
        <v>2.4729000000000001E-2</v>
      </c>
      <c r="C2" s="1350" t="s">
        <v>3382</v>
      </c>
    </row>
    <row r="3" spans="1:3">
      <c r="A3" s="1350" t="s">
        <v>4522</v>
      </c>
      <c r="B3" s="1350">
        <v>2.4736000000000001E-2</v>
      </c>
      <c r="C3" s="1350" t="s">
        <v>3382</v>
      </c>
    </row>
    <row r="4" spans="1:3">
      <c r="A4" s="1350" t="s">
        <v>4523</v>
      </c>
      <c r="B4" s="1350">
        <v>2.4417999999999999E-2</v>
      </c>
      <c r="C4" s="1350" t="s">
        <v>3382</v>
      </c>
    </row>
    <row r="5" spans="1:3">
      <c r="A5" s="1350" t="s">
        <v>4524</v>
      </c>
      <c r="B5" s="1350">
        <v>2.4552000000000001E-2</v>
      </c>
      <c r="C5" s="1350" t="s">
        <v>3382</v>
      </c>
    </row>
    <row r="6" spans="1:3">
      <c r="A6" s="1350" t="s">
        <v>4525</v>
      </c>
      <c r="B6" s="1350">
        <v>2.4368000000000001E-2</v>
      </c>
      <c r="C6" s="1350" t="s">
        <v>3382</v>
      </c>
    </row>
    <row r="7" spans="1:3">
      <c r="A7" s="1350" t="s">
        <v>4526</v>
      </c>
      <c r="B7" s="1350">
        <v>2.4264999999999998E-2</v>
      </c>
      <c r="C7" s="1350" t="s">
        <v>3382</v>
      </c>
    </row>
    <row r="8" spans="1:3">
      <c r="A8" s="1350" t="s">
        <v>4527</v>
      </c>
      <c r="B8" s="1350">
        <v>2.4257000000000001E-2</v>
      </c>
      <c r="C8" s="1350" t="s">
        <v>3382</v>
      </c>
    </row>
    <row r="9" spans="1:3">
      <c r="A9" s="1350" t="s">
        <v>4528</v>
      </c>
      <c r="B9" s="1350">
        <v>2.4274E-2</v>
      </c>
      <c r="C9" s="1350" t="s">
        <v>3382</v>
      </c>
    </row>
    <row r="10" spans="1:3">
      <c r="A10" s="1350" t="s">
        <v>4529</v>
      </c>
      <c r="B10" s="1350">
        <v>2.41E-2</v>
      </c>
      <c r="C10" s="1350" t="s">
        <v>3382</v>
      </c>
    </row>
    <row r="11" spans="1:3">
      <c r="A11" s="1350" t="s">
        <v>4530</v>
      </c>
      <c r="B11" s="1350">
        <v>2.4115000000000001E-2</v>
      </c>
      <c r="C11" s="1350" t="s">
        <v>3382</v>
      </c>
    </row>
    <row r="12" spans="1:3">
      <c r="A12" s="1350" t="s">
        <v>4531</v>
      </c>
      <c r="B12" s="1350">
        <v>2.3935000000000001E-2</v>
      </c>
      <c r="C12" s="1350" t="s">
        <v>3382</v>
      </c>
    </row>
    <row r="13" spans="1:3">
      <c r="A13" s="1350" t="s">
        <v>4532</v>
      </c>
      <c r="B13" s="1350">
        <v>2.4063999999999999E-2</v>
      </c>
      <c r="C13" s="1350" t="s">
        <v>3382</v>
      </c>
    </row>
    <row r="14" spans="1:3">
      <c r="A14" s="1350" t="s">
        <v>4533</v>
      </c>
      <c r="B14" s="1350">
        <v>2.3893999999999999E-2</v>
      </c>
      <c r="C14" s="1350" t="s">
        <v>3382</v>
      </c>
    </row>
    <row r="15" spans="1:3">
      <c r="A15" s="1350" t="s">
        <v>4534</v>
      </c>
      <c r="B15" s="1350">
        <v>2.3951E-2</v>
      </c>
      <c r="C15" s="1350" t="s">
        <v>3382</v>
      </c>
    </row>
    <row r="16" spans="1:3">
      <c r="A16" s="1350" t="s">
        <v>4535</v>
      </c>
      <c r="B16" s="1350">
        <v>2.4183E-2</v>
      </c>
      <c r="C16" s="1350" t="s">
        <v>3382</v>
      </c>
    </row>
    <row r="17" spans="1:3">
      <c r="A17" s="1350" t="s">
        <v>4536</v>
      </c>
      <c r="B17" s="1350">
        <v>2.4275999999999999E-2</v>
      </c>
      <c r="C17" s="1350" t="s">
        <v>3382</v>
      </c>
    </row>
    <row r="18" spans="1:3">
      <c r="A18" s="1350" t="s">
        <v>4537</v>
      </c>
      <c r="B18" s="1350">
        <v>2.4176E-2</v>
      </c>
      <c r="C18" s="1350" t="s">
        <v>3382</v>
      </c>
    </row>
    <row r="19" spans="1:3">
      <c r="A19" s="1350" t="s">
        <v>4538</v>
      </c>
      <c r="B19" s="1350">
        <v>2.401E-2</v>
      </c>
      <c r="C19" s="1350" t="s">
        <v>3382</v>
      </c>
    </row>
    <row r="20" spans="1:3">
      <c r="A20" s="1350" t="s">
        <v>4539</v>
      </c>
      <c r="B20" s="1350">
        <v>2.3954E-2</v>
      </c>
      <c r="C20" s="1350" t="s">
        <v>3382</v>
      </c>
    </row>
    <row r="21" spans="1:3">
      <c r="A21" s="1350" t="s">
        <v>4540</v>
      </c>
      <c r="B21" s="1350">
        <v>2.3767E-2</v>
      </c>
      <c r="C21" s="1350" t="s">
        <v>3382</v>
      </c>
    </row>
    <row r="22" spans="1:3">
      <c r="A22" s="1350" t="s">
        <v>4541</v>
      </c>
      <c r="B22" s="1350">
        <v>2.4225E-2</v>
      </c>
      <c r="C22" s="1350" t="s">
        <v>3382</v>
      </c>
    </row>
    <row r="23" spans="1:3">
      <c r="A23" s="1350" t="s">
        <v>4542</v>
      </c>
      <c r="B23" s="1350">
        <v>2.4306999999999999E-2</v>
      </c>
      <c r="C23" s="1350" t="s">
        <v>3382</v>
      </c>
    </row>
    <row r="24" spans="1:3">
      <c r="A24" s="1350" t="s">
        <v>4543</v>
      </c>
      <c r="B24" s="1350">
        <v>2.4108999999999998E-2</v>
      </c>
      <c r="C24" s="1350" t="s">
        <v>3382</v>
      </c>
    </row>
    <row r="25" spans="1:3">
      <c r="A25" s="1350" t="s">
        <v>4544</v>
      </c>
      <c r="B25" s="1350">
        <v>2.4039000000000001E-2</v>
      </c>
      <c r="C25" s="1350" t="s">
        <v>3382</v>
      </c>
    </row>
    <row r="26" spans="1:3">
      <c r="A26" s="1350" t="s">
        <v>4545</v>
      </c>
      <c r="B26" s="1350">
        <v>2.3904999999999999E-2</v>
      </c>
      <c r="C26" s="1350" t="s">
        <v>3382</v>
      </c>
    </row>
    <row r="27" spans="1:3">
      <c r="A27" s="1350" t="s">
        <v>4546</v>
      </c>
      <c r="B27" s="1350">
        <v>2.3859000000000002E-2</v>
      </c>
      <c r="C27" s="1350" t="s">
        <v>3382</v>
      </c>
    </row>
    <row r="28" spans="1:3">
      <c r="A28" s="1350" t="s">
        <v>4547</v>
      </c>
      <c r="B28" s="1350">
        <v>2.3823E-2</v>
      </c>
      <c r="C28" s="1350" t="s">
        <v>3382</v>
      </c>
    </row>
    <row r="29" spans="1:3">
      <c r="A29" s="1350" t="s">
        <v>4548</v>
      </c>
      <c r="B29" s="1350">
        <v>2.3980999999999999E-2</v>
      </c>
      <c r="C29" s="1350" t="s">
        <v>3382</v>
      </c>
    </row>
    <row r="30" spans="1:3">
      <c r="A30" s="1350" t="s">
        <v>4549</v>
      </c>
      <c r="B30" s="1350">
        <v>2.4042000000000001E-2</v>
      </c>
      <c r="C30" s="1350" t="s">
        <v>3382</v>
      </c>
    </row>
    <row r="31" spans="1:3">
      <c r="A31" s="1350" t="s">
        <v>4550</v>
      </c>
      <c r="B31" s="1350">
        <v>2.418E-2</v>
      </c>
      <c r="C31" s="1350" t="s">
        <v>3382</v>
      </c>
    </row>
    <row r="32" spans="1:3">
      <c r="A32" s="1350" t="s">
        <v>4551</v>
      </c>
      <c r="B32" s="1350">
        <v>2.4053000000000001E-2</v>
      </c>
      <c r="C32" s="1350" t="s">
        <v>3382</v>
      </c>
    </row>
    <row r="33" spans="1:3">
      <c r="A33" s="1350" t="s">
        <v>4552</v>
      </c>
      <c r="B33" s="1350">
        <v>2.3968E-2</v>
      </c>
      <c r="C33" s="1350" t="s">
        <v>3382</v>
      </c>
    </row>
    <row r="34" spans="1:3">
      <c r="A34" s="1350" t="s">
        <v>4553</v>
      </c>
      <c r="B34" s="1350">
        <v>2.4021000000000001E-2</v>
      </c>
      <c r="C34" s="1350" t="s">
        <v>3382</v>
      </c>
    </row>
    <row r="35" spans="1:3">
      <c r="A35" s="1350" t="s">
        <v>4554</v>
      </c>
      <c r="B35" s="1350">
        <v>2.3854E-2</v>
      </c>
      <c r="C35" s="1350" t="s">
        <v>3382</v>
      </c>
    </row>
    <row r="36" spans="1:3">
      <c r="A36" s="1350" t="s">
        <v>4555</v>
      </c>
      <c r="B36" s="1350">
        <v>2.4027E-2</v>
      </c>
      <c r="C36" s="1350" t="s">
        <v>3382</v>
      </c>
    </row>
    <row r="37" spans="1:3">
      <c r="A37" s="1350" t="s">
        <v>4556</v>
      </c>
      <c r="B37" s="1350">
        <v>2.3882E-2</v>
      </c>
      <c r="C37" s="1350" t="s">
        <v>3382</v>
      </c>
    </row>
    <row r="38" spans="1:3">
      <c r="A38" s="1350" t="s">
        <v>4557</v>
      </c>
      <c r="B38" s="1350">
        <v>2.3977999999999999E-2</v>
      </c>
      <c r="C38" s="1350" t="s">
        <v>3382</v>
      </c>
    </row>
    <row r="39" spans="1:3">
      <c r="A39" s="1350" t="s">
        <v>4558</v>
      </c>
      <c r="B39" s="1350">
        <v>2.4124E-2</v>
      </c>
      <c r="C39" s="1350" t="s">
        <v>3382</v>
      </c>
    </row>
    <row r="40" spans="1:3">
      <c r="A40" s="1350" t="s">
        <v>4559</v>
      </c>
      <c r="B40" s="1350">
        <v>2.4142E-2</v>
      </c>
      <c r="C40" s="1350" t="s">
        <v>3382</v>
      </c>
    </row>
    <row r="41" spans="1:3">
      <c r="A41" s="1350" t="s">
        <v>4560</v>
      </c>
      <c r="B41" s="1350">
        <v>2.4052E-2</v>
      </c>
      <c r="C41" s="1350" t="s">
        <v>3382</v>
      </c>
    </row>
    <row r="42" spans="1:3">
      <c r="A42" s="1350" t="s">
        <v>4561</v>
      </c>
      <c r="B42" s="1350">
        <v>2.4E-2</v>
      </c>
      <c r="C42" s="1350" t="s">
        <v>3382</v>
      </c>
    </row>
    <row r="43" spans="1:3">
      <c r="A43" s="1350" t="s">
        <v>4562</v>
      </c>
      <c r="B43" s="1350">
        <v>2.3862999999999999E-2</v>
      </c>
      <c r="C43" s="1350" t="s">
        <v>3382</v>
      </c>
    </row>
    <row r="44" spans="1:3">
      <c r="A44" s="1350" t="s">
        <v>4563</v>
      </c>
      <c r="B44" s="1350">
        <v>2.3852000000000002E-2</v>
      </c>
      <c r="C44" s="1350" t="s">
        <v>3382</v>
      </c>
    </row>
    <row r="45" spans="1:3">
      <c r="A45" s="1350" t="s">
        <v>4564</v>
      </c>
      <c r="B45" s="1350">
        <v>2.3782999999999999E-2</v>
      </c>
      <c r="C45" s="1350" t="s">
        <v>3382</v>
      </c>
    </row>
    <row r="46" spans="1:3">
      <c r="A46" s="1350" t="s">
        <v>4565</v>
      </c>
      <c r="B46" s="1350">
        <v>2.3921000000000001E-2</v>
      </c>
      <c r="C46" s="1350" t="s">
        <v>3382</v>
      </c>
    </row>
    <row r="47" spans="1:3">
      <c r="A47" s="1350" t="s">
        <v>4566</v>
      </c>
      <c r="B47" s="1350">
        <v>2.3810000000000001E-2</v>
      </c>
      <c r="C47" s="1350" t="s">
        <v>3382</v>
      </c>
    </row>
    <row r="48" spans="1:3">
      <c r="A48" s="1350" t="s">
        <v>4567</v>
      </c>
      <c r="B48" s="1350">
        <v>2.3792000000000001E-2</v>
      </c>
      <c r="C48" s="1350" t="s">
        <v>3382</v>
      </c>
    </row>
    <row r="49" spans="1:3">
      <c r="A49" s="1350" t="s">
        <v>4568</v>
      </c>
      <c r="B49" s="1350">
        <v>2.3687E-2</v>
      </c>
      <c r="C49" s="1350" t="s">
        <v>3382</v>
      </c>
    </row>
    <row r="50" spans="1:3">
      <c r="A50" s="1350" t="s">
        <v>4569</v>
      </c>
      <c r="B50" s="1350">
        <v>2.3633000000000001E-2</v>
      </c>
      <c r="C50" s="1350" t="s">
        <v>3382</v>
      </c>
    </row>
    <row r="51" spans="1:3">
      <c r="A51" s="1350" t="s">
        <v>4570</v>
      </c>
      <c r="B51" s="1350">
        <v>2.3678999999999999E-2</v>
      </c>
      <c r="C51" s="1350" t="s">
        <v>3382</v>
      </c>
    </row>
    <row r="52" spans="1:3">
      <c r="A52" s="1350" t="s">
        <v>4571</v>
      </c>
      <c r="B52" s="1350">
        <v>2.3737999999999999E-2</v>
      </c>
      <c r="C52" s="1350" t="s">
        <v>3382</v>
      </c>
    </row>
    <row r="53" spans="1:3">
      <c r="A53" s="1350" t="s">
        <v>4572</v>
      </c>
      <c r="B53" s="1350">
        <v>2.3823E-2</v>
      </c>
      <c r="C53" s="1350" t="s">
        <v>3382</v>
      </c>
    </row>
    <row r="54" spans="1:3">
      <c r="A54" s="1350" t="s">
        <v>4573</v>
      </c>
      <c r="B54" s="1350">
        <v>2.3862000000000001E-2</v>
      </c>
      <c r="C54" s="1350" t="s">
        <v>3382</v>
      </c>
    </row>
    <row r="55" spans="1:3">
      <c r="A55" s="1350" t="s">
        <v>4574</v>
      </c>
      <c r="B55" s="1350">
        <v>2.3571999999999999E-2</v>
      </c>
      <c r="C55" s="1350" t="s">
        <v>3382</v>
      </c>
    </row>
    <row r="56" spans="1:3">
      <c r="A56" s="1350" t="s">
        <v>4575</v>
      </c>
      <c r="B56" s="1350">
        <v>2.3595999999999999E-2</v>
      </c>
      <c r="C56" s="1350" t="s">
        <v>3382</v>
      </c>
    </row>
    <row r="57" spans="1:3">
      <c r="A57" s="1350" t="s">
        <v>4576</v>
      </c>
      <c r="B57" s="1350">
        <v>2.3726000000000001E-2</v>
      </c>
      <c r="C57" s="1350" t="s">
        <v>3382</v>
      </c>
    </row>
    <row r="58" spans="1:3">
      <c r="A58" s="1350" t="s">
        <v>4577</v>
      </c>
      <c r="B58" s="1350">
        <v>2.3736E-2</v>
      </c>
      <c r="C58" s="1350" t="s">
        <v>3382</v>
      </c>
    </row>
    <row r="59" spans="1:3">
      <c r="A59" s="1350" t="s">
        <v>4578</v>
      </c>
      <c r="B59" s="1350">
        <v>2.3578000000000002E-2</v>
      </c>
      <c r="C59" s="1350" t="s">
        <v>3382</v>
      </c>
    </row>
    <row r="60" spans="1:3">
      <c r="A60" s="1350" t="s">
        <v>4579</v>
      </c>
      <c r="B60" s="1350">
        <v>2.3406E-2</v>
      </c>
      <c r="C60" s="1350" t="s">
        <v>3382</v>
      </c>
    </row>
    <row r="61" spans="1:3">
      <c r="A61" s="1350" t="s">
        <v>4580</v>
      </c>
      <c r="B61" s="1350">
        <v>2.3397999999999999E-2</v>
      </c>
      <c r="C61" s="1350" t="s">
        <v>3382</v>
      </c>
    </row>
    <row r="62" spans="1:3">
      <c r="A62" s="1350" t="s">
        <v>4581</v>
      </c>
      <c r="B62" s="1350">
        <v>2.3467999999999999E-2</v>
      </c>
      <c r="C62" s="1350" t="s">
        <v>3382</v>
      </c>
    </row>
    <row r="63" spans="1:3">
      <c r="A63" s="1350" t="s">
        <v>4582</v>
      </c>
      <c r="B63" s="1350">
        <v>2.3480999999999998E-2</v>
      </c>
      <c r="C63" s="1350" t="s">
        <v>3382</v>
      </c>
    </row>
    <row r="64" spans="1:3">
      <c r="A64" s="1350"/>
      <c r="B64" s="1350"/>
      <c r="C64" s="1350"/>
    </row>
    <row r="65" spans="1:3">
      <c r="A65" s="1350"/>
      <c r="B65" s="1350"/>
      <c r="C65" s="1350"/>
    </row>
    <row r="66" spans="1:3">
      <c r="A66" s="1351"/>
      <c r="B66" s="1351"/>
      <c r="C66" s="1351"/>
    </row>
    <row r="68" spans="1:3">
      <c r="A68" s="1351" t="s">
        <v>3020</v>
      </c>
      <c r="B68">
        <f>+AVERAGE(B2:B63)</f>
        <v>2.396772580645162E-2</v>
      </c>
    </row>
    <row r="69" spans="1:3" ht="25.5">
      <c r="A69" s="1351" t="s">
        <v>3381</v>
      </c>
      <c r="B69">
        <f>B63</f>
        <v>2.3480999999999998E-2</v>
      </c>
    </row>
  </sheetData>
  <sheetProtection algorithmName="SHA-512" hashValue="Nt+y/ilXp4Om+C0hMIjNF2gnrugDhQST929GeM/VEkIvt/WyBgBJg2FasDakUe+X67kHG9j9ixfGWTA8HlsAEw==" saltValue="QqXMF7NPym952Iz2UA13fQ==" spinCount="100000" sheet="1" objects="1" scenarios="1"/>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CCB1F-53DC-46CA-A8A1-DB2A2740C9A7}">
  <sheetPr codeName="Hoja21"/>
  <dimension ref="A1:C69"/>
  <sheetViews>
    <sheetView zoomScale="115" zoomScaleNormal="115" workbookViewId="0">
      <pane xSplit="1" ySplit="1" topLeftCell="B41" activePane="bottomRight" state="frozen"/>
      <selection activeCell="D72" sqref="D72"/>
      <selection pane="topRight" activeCell="D72" sqref="D72"/>
      <selection pane="bottomLeft" activeCell="D72" sqref="D72"/>
      <selection pane="bottomRight" activeCell="D72" sqref="D72"/>
    </sheetView>
  </sheetViews>
  <sheetFormatPr baseColWidth="10" defaultColWidth="11.42578125" defaultRowHeight="12.75"/>
  <cols>
    <col min="1" max="1" width="10.5703125" bestFit="1" customWidth="1"/>
    <col min="2" max="2" width="16" bestFit="1" customWidth="1"/>
    <col min="3" max="3" width="9.42578125" bestFit="1" customWidth="1"/>
  </cols>
  <sheetData>
    <row r="1" spans="1:3" ht="15">
      <c r="A1" s="1349" t="s">
        <v>3379</v>
      </c>
      <c r="B1" s="1349" t="s">
        <v>4480</v>
      </c>
      <c r="C1" s="1349" t="s">
        <v>3380</v>
      </c>
    </row>
    <row r="2" spans="1:3">
      <c r="A2" s="1350" t="s">
        <v>4521</v>
      </c>
      <c r="B2" s="1350">
        <v>4.1852260000000001</v>
      </c>
      <c r="C2" s="1350" t="s">
        <v>3383</v>
      </c>
    </row>
    <row r="3" spans="1:3">
      <c r="A3" s="1350" t="s">
        <v>4522</v>
      </c>
      <c r="B3" s="1350">
        <v>4.1927099999999999</v>
      </c>
      <c r="C3" s="1350" t="s">
        <v>3383</v>
      </c>
    </row>
    <row r="4" spans="1:3">
      <c r="A4" s="1350" t="s">
        <v>4523</v>
      </c>
      <c r="B4" s="1350">
        <v>4.1638260000000002</v>
      </c>
      <c r="C4" s="1350" t="s">
        <v>3383</v>
      </c>
    </row>
    <row r="5" spans="1:3">
      <c r="A5" s="1350" t="s">
        <v>4524</v>
      </c>
      <c r="B5" s="1350">
        <v>4.1768729999999996</v>
      </c>
      <c r="C5" s="1350" t="s">
        <v>3383</v>
      </c>
    </row>
    <row r="6" spans="1:3">
      <c r="A6" s="1350" t="s">
        <v>4525</v>
      </c>
      <c r="B6" s="1350">
        <v>4.1664709999999996</v>
      </c>
      <c r="C6" s="1350" t="s">
        <v>3383</v>
      </c>
    </row>
    <row r="7" spans="1:3">
      <c r="A7" s="1350" t="s">
        <v>4526</v>
      </c>
      <c r="B7" s="1350">
        <v>4.1735049999999996</v>
      </c>
      <c r="C7" s="1350" t="s">
        <v>3383</v>
      </c>
    </row>
    <row r="8" spans="1:3">
      <c r="A8" s="1350" t="s">
        <v>4527</v>
      </c>
      <c r="B8" s="1350">
        <v>4.157394</v>
      </c>
      <c r="C8" s="1350" t="s">
        <v>3383</v>
      </c>
    </row>
    <row r="9" spans="1:3">
      <c r="A9" s="1350" t="s">
        <v>4528</v>
      </c>
      <c r="B9" s="1350">
        <v>4.1519579999999996</v>
      </c>
      <c r="C9" s="1350" t="s">
        <v>3383</v>
      </c>
    </row>
    <row r="10" spans="1:3">
      <c r="A10" s="1350" t="s">
        <v>4529</v>
      </c>
      <c r="B10" s="1350">
        <v>4.1539010000000003</v>
      </c>
      <c r="C10" s="1350" t="s">
        <v>3383</v>
      </c>
    </row>
    <row r="11" spans="1:3">
      <c r="A11" s="1350" t="s">
        <v>4530</v>
      </c>
      <c r="B11" s="1350">
        <v>4.1544210000000001</v>
      </c>
      <c r="C11" s="1350" t="s">
        <v>3383</v>
      </c>
    </row>
    <row r="12" spans="1:3">
      <c r="A12" s="1350" t="s">
        <v>4531</v>
      </c>
      <c r="B12" s="1350">
        <v>4.1338140000000001</v>
      </c>
      <c r="C12" s="1350" t="s">
        <v>3383</v>
      </c>
    </row>
    <row r="13" spans="1:3">
      <c r="A13" s="1350" t="s">
        <v>4532</v>
      </c>
      <c r="B13" s="1350">
        <v>4.1373680000000004</v>
      </c>
      <c r="C13" s="1350" t="s">
        <v>3383</v>
      </c>
    </row>
    <row r="14" spans="1:3">
      <c r="A14" s="1350" t="s">
        <v>4533</v>
      </c>
      <c r="B14" s="1350">
        <v>4.1149209999999998</v>
      </c>
      <c r="C14" s="1350" t="s">
        <v>3383</v>
      </c>
    </row>
    <row r="15" spans="1:3">
      <c r="A15" s="1350" t="s">
        <v>4534</v>
      </c>
      <c r="B15" s="1350">
        <v>4.1418619999999997</v>
      </c>
      <c r="C15" s="1350" t="s">
        <v>3383</v>
      </c>
    </row>
    <row r="16" spans="1:3">
      <c r="A16" s="1350" t="s">
        <v>4535</v>
      </c>
      <c r="B16" s="1350">
        <v>4.1629659999999999</v>
      </c>
      <c r="C16" s="1350" t="s">
        <v>3383</v>
      </c>
    </row>
    <row r="17" spans="1:3">
      <c r="A17" s="1350" t="s">
        <v>4536</v>
      </c>
      <c r="B17" s="1350">
        <v>4.1789990000000001</v>
      </c>
      <c r="C17" s="1350" t="s">
        <v>3383</v>
      </c>
    </row>
    <row r="18" spans="1:3">
      <c r="A18" s="1350" t="s">
        <v>4537</v>
      </c>
      <c r="B18" s="1350">
        <v>4.1772580000000001</v>
      </c>
      <c r="C18" s="1350" t="s">
        <v>3383</v>
      </c>
    </row>
    <row r="19" spans="1:3">
      <c r="A19" s="1350" t="s">
        <v>4538</v>
      </c>
      <c r="B19" s="1350">
        <v>4.1619719999999996</v>
      </c>
      <c r="C19" s="1350" t="s">
        <v>3383</v>
      </c>
    </row>
    <row r="20" spans="1:3">
      <c r="A20" s="1350" t="s">
        <v>4539</v>
      </c>
      <c r="B20" s="1350">
        <v>4.0930499999999999</v>
      </c>
      <c r="C20" s="1350" t="s">
        <v>3383</v>
      </c>
    </row>
    <row r="21" spans="1:3">
      <c r="A21" s="1350" t="s">
        <v>4540</v>
      </c>
      <c r="B21" s="1350">
        <v>4.0893009999999999</v>
      </c>
      <c r="C21" s="1350" t="s">
        <v>3383</v>
      </c>
    </row>
    <row r="22" spans="1:3">
      <c r="A22" s="1350" t="s">
        <v>4541</v>
      </c>
      <c r="B22" s="1350">
        <v>4.1291079999999996</v>
      </c>
      <c r="C22" s="1350" t="s">
        <v>3383</v>
      </c>
    </row>
    <row r="23" spans="1:3">
      <c r="A23" s="1350" t="s">
        <v>4542</v>
      </c>
      <c r="B23" s="1350">
        <v>4.134258</v>
      </c>
      <c r="C23" s="1350" t="s">
        <v>3383</v>
      </c>
    </row>
    <row r="24" spans="1:3">
      <c r="A24" s="1350" t="s">
        <v>4543</v>
      </c>
      <c r="B24" s="1350">
        <v>4.1211190000000002</v>
      </c>
      <c r="C24" s="1350" t="s">
        <v>3383</v>
      </c>
    </row>
    <row r="25" spans="1:3">
      <c r="A25" s="1350" t="s">
        <v>4544</v>
      </c>
      <c r="B25" s="1350">
        <v>4.1228490000000004</v>
      </c>
      <c r="C25" s="1350" t="s">
        <v>3383</v>
      </c>
    </row>
    <row r="26" spans="1:3">
      <c r="A26" s="1350" t="s">
        <v>4545</v>
      </c>
      <c r="B26" s="1350">
        <v>4.1168250000000004</v>
      </c>
      <c r="C26" s="1350" t="s">
        <v>3383</v>
      </c>
    </row>
    <row r="27" spans="1:3">
      <c r="A27" s="1350" t="s">
        <v>4546</v>
      </c>
      <c r="B27" s="1350">
        <v>4.0996180000000004</v>
      </c>
      <c r="C27" s="1350" t="s">
        <v>3383</v>
      </c>
    </row>
    <row r="28" spans="1:3">
      <c r="A28" s="1350" t="s">
        <v>4547</v>
      </c>
      <c r="B28" s="1350">
        <v>4.1094790000000003</v>
      </c>
      <c r="C28" s="1350" t="s">
        <v>3383</v>
      </c>
    </row>
    <row r="29" spans="1:3">
      <c r="A29" s="1350" t="s">
        <v>4548</v>
      </c>
      <c r="B29" s="1350">
        <v>4.1374060000000004</v>
      </c>
      <c r="C29" s="1350" t="s">
        <v>3383</v>
      </c>
    </row>
    <row r="30" spans="1:3">
      <c r="A30" s="1350" t="s">
        <v>4549</v>
      </c>
      <c r="B30" s="1350">
        <v>4.1370889999999996</v>
      </c>
      <c r="C30" s="1350" t="s">
        <v>3383</v>
      </c>
    </row>
    <row r="31" spans="1:3">
      <c r="A31" s="1350" t="s">
        <v>4550</v>
      </c>
      <c r="B31" s="1350">
        <v>4.1666670000000003</v>
      </c>
      <c r="C31" s="1350" t="s">
        <v>3383</v>
      </c>
    </row>
    <row r="32" spans="1:3">
      <c r="A32" s="1350" t="s">
        <v>4551</v>
      </c>
      <c r="B32" s="1350">
        <v>4.1462570000000003</v>
      </c>
      <c r="C32" s="1350" t="s">
        <v>3383</v>
      </c>
    </row>
    <row r="33" spans="1:3">
      <c r="A33" s="1350" t="s">
        <v>4552</v>
      </c>
      <c r="B33" s="1350">
        <v>4.118881</v>
      </c>
      <c r="C33" s="1350" t="s">
        <v>3383</v>
      </c>
    </row>
    <row r="34" spans="1:3">
      <c r="A34" s="1350" t="s">
        <v>4553</v>
      </c>
      <c r="B34" s="1350">
        <v>4.1215590000000004</v>
      </c>
      <c r="C34" s="1350" t="s">
        <v>3383</v>
      </c>
    </row>
    <row r="35" spans="1:3">
      <c r="A35" s="1350" t="s">
        <v>4554</v>
      </c>
      <c r="B35" s="1350">
        <v>4.1080129999999997</v>
      </c>
      <c r="C35" s="1350" t="s">
        <v>3383</v>
      </c>
    </row>
    <row r="36" spans="1:3">
      <c r="A36" s="1350" t="s">
        <v>4555</v>
      </c>
      <c r="B36" s="1350">
        <v>4.1344909999999997</v>
      </c>
      <c r="C36" s="1350" t="s">
        <v>3383</v>
      </c>
    </row>
    <row r="37" spans="1:3">
      <c r="A37" s="1350" t="s">
        <v>4556</v>
      </c>
      <c r="B37" s="1350">
        <v>4.1043570000000003</v>
      </c>
      <c r="C37" s="1350" t="s">
        <v>3383</v>
      </c>
    </row>
    <row r="38" spans="1:3">
      <c r="A38" s="1350" t="s">
        <v>4557</v>
      </c>
      <c r="B38" s="1350">
        <v>4.1131270000000004</v>
      </c>
      <c r="C38" s="1350" t="s">
        <v>3383</v>
      </c>
    </row>
    <row r="39" spans="1:3">
      <c r="A39" s="1350" t="s">
        <v>4558</v>
      </c>
      <c r="B39" s="1350">
        <v>4.1370889999999996</v>
      </c>
      <c r="C39" s="1350" t="s">
        <v>3383</v>
      </c>
    </row>
    <row r="40" spans="1:3">
      <c r="A40" s="1350" t="s">
        <v>4559</v>
      </c>
      <c r="B40" s="1350">
        <v>4.1426059999999998</v>
      </c>
      <c r="C40" s="1350" t="s">
        <v>3383</v>
      </c>
    </row>
    <row r="41" spans="1:3">
      <c r="A41" s="1350" t="s">
        <v>4560</v>
      </c>
      <c r="B41" s="1350">
        <v>4.1349850000000004</v>
      </c>
      <c r="C41" s="1350" t="s">
        <v>3383</v>
      </c>
    </row>
    <row r="42" spans="1:3">
      <c r="A42" s="1350" t="s">
        <v>4561</v>
      </c>
      <c r="B42" s="1350">
        <v>4.1350660000000001</v>
      </c>
      <c r="C42" s="1350" t="s">
        <v>3383</v>
      </c>
    </row>
    <row r="43" spans="1:3">
      <c r="A43" s="1350" t="s">
        <v>4562</v>
      </c>
      <c r="B43" s="1350">
        <v>4.1227150000000004</v>
      </c>
      <c r="C43" s="1350" t="s">
        <v>3383</v>
      </c>
    </row>
    <row r="44" spans="1:3">
      <c r="A44" s="1350" t="s">
        <v>4563</v>
      </c>
      <c r="B44" s="1350">
        <v>4.1168250000000004</v>
      </c>
      <c r="C44" s="1350" t="s">
        <v>3383</v>
      </c>
    </row>
    <row r="45" spans="1:3">
      <c r="A45" s="1350" t="s">
        <v>4564</v>
      </c>
      <c r="B45" s="1350">
        <v>4.1142909999999997</v>
      </c>
      <c r="C45" s="1350" t="s">
        <v>3383</v>
      </c>
    </row>
    <row r="46" spans="1:3">
      <c r="A46" s="1350" t="s">
        <v>4565</v>
      </c>
      <c r="B46" s="1350">
        <v>4.1310979999999997</v>
      </c>
      <c r="C46" s="1350" t="s">
        <v>3383</v>
      </c>
    </row>
    <row r="47" spans="1:3">
      <c r="A47" s="1350" t="s">
        <v>4566</v>
      </c>
      <c r="B47" s="1350">
        <v>4.1293870000000004</v>
      </c>
      <c r="C47" s="1350" t="s">
        <v>3383</v>
      </c>
    </row>
    <row r="48" spans="1:3">
      <c r="A48" s="1350" t="s">
        <v>4567</v>
      </c>
      <c r="B48" s="1350">
        <v>4.1053860000000002</v>
      </c>
      <c r="C48" s="1350" t="s">
        <v>3383</v>
      </c>
    </row>
    <row r="49" spans="1:3">
      <c r="A49" s="1350" t="s">
        <v>4568</v>
      </c>
      <c r="B49" s="1350">
        <v>4.085216</v>
      </c>
      <c r="C49" s="1350" t="s">
        <v>3383</v>
      </c>
    </row>
    <row r="50" spans="1:3">
      <c r="A50" s="1350" t="s">
        <v>4569</v>
      </c>
      <c r="B50" s="1350">
        <v>4.0837630000000003</v>
      </c>
      <c r="C50" s="1350" t="s">
        <v>3383</v>
      </c>
    </row>
    <row r="51" spans="1:3">
      <c r="A51" s="1350" t="s">
        <v>4570</v>
      </c>
      <c r="B51" s="1350">
        <v>4.0994960000000003</v>
      </c>
      <c r="C51" s="1350" t="s">
        <v>3383</v>
      </c>
    </row>
    <row r="52" spans="1:3">
      <c r="A52" s="1350" t="s">
        <v>4571</v>
      </c>
      <c r="B52" s="1350">
        <v>4.114185</v>
      </c>
      <c r="C52" s="1350" t="s">
        <v>3383</v>
      </c>
    </row>
    <row r="53" spans="1:3">
      <c r="A53" s="1350" t="s">
        <v>4572</v>
      </c>
      <c r="B53" s="1350">
        <v>4.1378899999999996</v>
      </c>
      <c r="C53" s="1350" t="s">
        <v>3383</v>
      </c>
    </row>
    <row r="54" spans="1:3">
      <c r="A54" s="1350" t="s">
        <v>4573</v>
      </c>
      <c r="B54" s="1350">
        <v>4.1382599999999998</v>
      </c>
      <c r="C54" s="1350" t="s">
        <v>3383</v>
      </c>
    </row>
    <row r="55" spans="1:3">
      <c r="A55" s="1350" t="s">
        <v>4574</v>
      </c>
      <c r="B55" s="1350">
        <v>4.109394</v>
      </c>
      <c r="C55" s="1350" t="s">
        <v>3383</v>
      </c>
    </row>
    <row r="56" spans="1:3">
      <c r="A56" s="1350" t="s">
        <v>4575</v>
      </c>
      <c r="B56" s="1350">
        <v>4.1022319999999999</v>
      </c>
      <c r="C56" s="1350" t="s">
        <v>3383</v>
      </c>
    </row>
    <row r="57" spans="1:3">
      <c r="A57" s="1350" t="s">
        <v>4576</v>
      </c>
      <c r="B57" s="1350">
        <v>4.1335389999999999</v>
      </c>
      <c r="C57" s="1350" t="s">
        <v>3383</v>
      </c>
    </row>
    <row r="58" spans="1:3">
      <c r="A58" s="1350" t="s">
        <v>4577</v>
      </c>
      <c r="B58" s="1350">
        <v>4.1377259999999998</v>
      </c>
      <c r="C58" s="1350" t="s">
        <v>3383</v>
      </c>
    </row>
    <row r="59" spans="1:3">
      <c r="A59" s="1350" t="s">
        <v>4578</v>
      </c>
      <c r="B59" s="1350">
        <v>4.1161969999999997</v>
      </c>
      <c r="C59" s="1350" t="s">
        <v>3383</v>
      </c>
    </row>
    <row r="60" spans="1:3">
      <c r="A60" s="1350" t="s">
        <v>4579</v>
      </c>
      <c r="B60" s="1350">
        <v>4.0876770000000002</v>
      </c>
      <c r="C60" s="1350" t="s">
        <v>3383</v>
      </c>
    </row>
    <row r="61" spans="1:3">
      <c r="A61" s="1350" t="s">
        <v>4580</v>
      </c>
      <c r="B61" s="1350">
        <v>4.0931430000000004</v>
      </c>
      <c r="C61" s="1350" t="s">
        <v>3383</v>
      </c>
    </row>
    <row r="62" spans="1:3">
      <c r="A62" s="1350" t="s">
        <v>4581</v>
      </c>
      <c r="B62" s="1350">
        <v>4.0874470000000001</v>
      </c>
      <c r="C62" s="1350" t="s">
        <v>3383</v>
      </c>
    </row>
    <row r="63" spans="1:3">
      <c r="A63" s="1350" t="s">
        <v>4582</v>
      </c>
      <c r="B63" s="1350">
        <v>4.0770770000000001</v>
      </c>
      <c r="C63" s="1350" t="s">
        <v>3383</v>
      </c>
    </row>
    <row r="64" spans="1:3">
      <c r="A64" s="1350"/>
      <c r="B64" s="1350"/>
      <c r="C64" s="1350"/>
    </row>
    <row r="65" spans="1:3">
      <c r="A65" s="1350"/>
      <c r="B65" s="1350"/>
      <c r="C65" s="1350"/>
    </row>
    <row r="66" spans="1:3">
      <c r="A66" s="1351"/>
      <c r="B66" s="1351"/>
      <c r="C66" s="1351"/>
    </row>
    <row r="68" spans="1:3">
      <c r="A68" s="1351" t="s">
        <v>3020</v>
      </c>
      <c r="B68">
        <f>+AVERAGE(B2:B63)</f>
        <v>4.1300256290322581</v>
      </c>
    </row>
    <row r="69" spans="1:3" ht="25.5">
      <c r="A69" s="1351" t="s">
        <v>3381</v>
      </c>
      <c r="B69">
        <f>+B63</f>
        <v>4.0770770000000001</v>
      </c>
    </row>
  </sheetData>
  <sheetProtection algorithmName="SHA-512" hashValue="iBB/3mJJw/tf1FqHk/iKZcPeTMuaLQqOMlUt1eWkIpQrxDv2ORJw/PnlFMZVQ11bWVa8kG8ZGu8gIJGLLuAL6A==" saltValue="vK22oXdfg5AM+XbdaGA2Rg==" spinCount="100000" sheet="1" objects="1" scenarios="1"/>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
    <tabColor theme="9" tint="-0.499984740745262"/>
  </sheetPr>
  <dimension ref="A1:P59"/>
  <sheetViews>
    <sheetView workbookViewId="0">
      <pane ySplit="1" topLeftCell="A2" activePane="bottomLeft" state="frozen"/>
      <selection pane="bottomLeft"/>
    </sheetView>
  </sheetViews>
  <sheetFormatPr baseColWidth="10" defaultColWidth="11.42578125" defaultRowHeight="15.75"/>
  <cols>
    <col min="1" max="1" width="11.5703125" style="188" bestFit="1" customWidth="1"/>
    <col min="2" max="2" width="11.42578125" style="188"/>
    <col min="3" max="3" width="19.140625" style="188" customWidth="1"/>
    <col min="4" max="4" width="18.7109375" style="188" bestFit="1" customWidth="1"/>
    <col min="5" max="6" width="11.5703125" style="188" bestFit="1" customWidth="1"/>
    <col min="7" max="7" width="35.5703125" style="485" customWidth="1"/>
    <col min="8" max="14" width="11.42578125" style="188"/>
    <col min="15" max="15" width="18.140625" style="188" customWidth="1"/>
    <col min="16" max="16384" width="11.42578125" style="188"/>
  </cols>
  <sheetData>
    <row r="1" spans="1:16" ht="18" customHeight="1">
      <c r="A1" s="490" t="s">
        <v>2927</v>
      </c>
      <c r="B1" s="490" t="s">
        <v>2940</v>
      </c>
      <c r="C1" s="490" t="s">
        <v>3384</v>
      </c>
      <c r="D1" s="490" t="s">
        <v>67</v>
      </c>
      <c r="E1" s="490" t="s">
        <v>3385</v>
      </c>
      <c r="F1" s="490" t="s">
        <v>3386</v>
      </c>
      <c r="G1" s="490" t="s">
        <v>3387</v>
      </c>
      <c r="H1" s="490"/>
      <c r="O1" s="489" t="s">
        <v>3388</v>
      </c>
    </row>
    <row r="2" spans="1:16" ht="15.75" customHeight="1">
      <c r="A2" s="485" t="str">
        <f t="shared" ref="A2:A33" si="0">PERIODO</f>
        <v>202503</v>
      </c>
      <c r="B2" s="485" t="s">
        <v>2945</v>
      </c>
      <c r="C2" s="486" t="s">
        <v>3389</v>
      </c>
      <c r="D2" s="485">
        <f t="shared" ref="D2:D33" si="1">RUC</f>
        <v>0</v>
      </c>
      <c r="E2" s="485">
        <f>+'Tabla I.'!F6</f>
        <v>0</v>
      </c>
      <c r="F2" s="485">
        <f>+'Tabla I.'!G6</f>
        <v>0</v>
      </c>
      <c r="G2" s="485" t="s">
        <v>3390</v>
      </c>
      <c r="O2" s="488" t="s">
        <v>2405</v>
      </c>
    </row>
    <row r="3" spans="1:16" ht="15.75" customHeight="1">
      <c r="A3" s="485" t="str">
        <f t="shared" si="0"/>
        <v>202503</v>
      </c>
      <c r="B3" s="485" t="s">
        <v>2945</v>
      </c>
      <c r="C3" s="486" t="s">
        <v>3391</v>
      </c>
      <c r="D3" s="485">
        <f t="shared" si="1"/>
        <v>0</v>
      </c>
      <c r="E3" s="485">
        <f>+'Tabla I.'!F7</f>
        <v>0</v>
      </c>
      <c r="F3" s="485">
        <f>+'Tabla I.'!G7</f>
        <v>0</v>
      </c>
      <c r="G3" s="485" t="s">
        <v>3390</v>
      </c>
      <c r="O3" s="488" t="s">
        <v>3392</v>
      </c>
      <c r="P3" s="188">
        <v>1</v>
      </c>
    </row>
    <row r="4" spans="1:16" ht="15.75" customHeight="1">
      <c r="A4" s="485" t="str">
        <f t="shared" si="0"/>
        <v>202503</v>
      </c>
      <c r="B4" s="485" t="s">
        <v>2945</v>
      </c>
      <c r="C4" s="486" t="s">
        <v>3393</v>
      </c>
      <c r="D4" s="485">
        <f t="shared" si="1"/>
        <v>0</v>
      </c>
      <c r="E4" s="485">
        <f>+'Tabla I.'!F8</f>
        <v>0</v>
      </c>
      <c r="F4" s="485">
        <f>+'Tabla I.'!G8</f>
        <v>0</v>
      </c>
      <c r="G4" s="485" t="s">
        <v>3390</v>
      </c>
      <c r="O4" s="488" t="s">
        <v>3394</v>
      </c>
      <c r="P4" s="188">
        <v>0</v>
      </c>
    </row>
    <row r="5" spans="1:16" ht="15.75" customHeight="1">
      <c r="A5" s="485" t="str">
        <f t="shared" si="0"/>
        <v>202503</v>
      </c>
      <c r="B5" s="485" t="s">
        <v>2945</v>
      </c>
      <c r="C5" s="486" t="s">
        <v>3395</v>
      </c>
      <c r="D5" s="485">
        <f t="shared" si="1"/>
        <v>0</v>
      </c>
      <c r="E5" s="485">
        <f>+'Tabla I.'!F9</f>
        <v>0</v>
      </c>
      <c r="F5" s="485">
        <f>+'Tabla I.'!G9</f>
        <v>0</v>
      </c>
      <c r="G5" s="485" t="s">
        <v>3390</v>
      </c>
    </row>
    <row r="6" spans="1:16" ht="15.75" customHeight="1">
      <c r="A6" s="485" t="str">
        <f t="shared" si="0"/>
        <v>202503</v>
      </c>
      <c r="B6" s="485" t="s">
        <v>2945</v>
      </c>
      <c r="C6" s="486" t="s">
        <v>3396</v>
      </c>
      <c r="D6" s="485">
        <f t="shared" si="1"/>
        <v>0</v>
      </c>
      <c r="E6" s="485">
        <f>+'Tabla I.'!F10</f>
        <v>0</v>
      </c>
      <c r="F6" s="485">
        <f>+'Tabla I.'!G10</f>
        <v>0</v>
      </c>
      <c r="G6" s="485" t="s">
        <v>3390</v>
      </c>
    </row>
    <row r="7" spans="1:16" ht="15.75" customHeight="1">
      <c r="A7" s="485" t="str">
        <f t="shared" si="0"/>
        <v>202503</v>
      </c>
      <c r="B7" s="485" t="s">
        <v>2945</v>
      </c>
      <c r="C7" s="486" t="s">
        <v>3397</v>
      </c>
      <c r="D7" s="485">
        <f t="shared" si="1"/>
        <v>0</v>
      </c>
      <c r="E7" s="485">
        <f>+'Tabla I.'!F11</f>
        <v>0</v>
      </c>
      <c r="F7" s="485">
        <f>+'Tabla I.'!G11</f>
        <v>0</v>
      </c>
      <c r="G7" s="485" t="s">
        <v>3390</v>
      </c>
    </row>
    <row r="8" spans="1:16" ht="15.75" customHeight="1">
      <c r="A8" s="485" t="str">
        <f t="shared" si="0"/>
        <v>202503</v>
      </c>
      <c r="B8" s="485" t="s">
        <v>2945</v>
      </c>
      <c r="C8" s="486" t="s">
        <v>3398</v>
      </c>
      <c r="D8" s="485">
        <f t="shared" si="1"/>
        <v>0</v>
      </c>
      <c r="E8" s="485">
        <f>+'Tabla I.'!F12</f>
        <v>0</v>
      </c>
      <c r="F8" s="485">
        <f>+'Tabla I.'!G12</f>
        <v>0</v>
      </c>
      <c r="G8" s="485" t="s">
        <v>3390</v>
      </c>
    </row>
    <row r="9" spans="1:16">
      <c r="A9" s="485" t="str">
        <f t="shared" si="0"/>
        <v>202503</v>
      </c>
      <c r="B9" s="485" t="s">
        <v>2945</v>
      </c>
      <c r="C9" s="486" t="s">
        <v>3399</v>
      </c>
      <c r="D9" s="485">
        <f t="shared" si="1"/>
        <v>0</v>
      </c>
      <c r="E9" s="485">
        <f>+'Tabla I.'!F13</f>
        <v>0</v>
      </c>
      <c r="F9" s="485">
        <f>+'Tabla I.'!G13</f>
        <v>0</v>
      </c>
      <c r="G9" s="485" t="s">
        <v>3390</v>
      </c>
    </row>
    <row r="10" spans="1:16">
      <c r="A10" s="485" t="str">
        <f t="shared" si="0"/>
        <v>202503</v>
      </c>
      <c r="B10" s="485" t="s">
        <v>2945</v>
      </c>
      <c r="C10" s="486" t="s">
        <v>3400</v>
      </c>
      <c r="D10" s="485">
        <f t="shared" si="1"/>
        <v>0</v>
      </c>
      <c r="E10" s="485">
        <f>+'Tabla I.'!F14</f>
        <v>0</v>
      </c>
      <c r="F10" s="485">
        <f>+'Tabla I.'!G14</f>
        <v>0</v>
      </c>
      <c r="G10" s="485" t="s">
        <v>3390</v>
      </c>
    </row>
    <row r="11" spans="1:16">
      <c r="A11" s="485" t="str">
        <f t="shared" si="0"/>
        <v>202503</v>
      </c>
      <c r="B11" s="485" t="s">
        <v>2945</v>
      </c>
      <c r="C11" s="486" t="s">
        <v>3401</v>
      </c>
      <c r="D11" s="485">
        <f t="shared" si="1"/>
        <v>0</v>
      </c>
      <c r="E11" s="485">
        <f>+'Tabla I.'!F15</f>
        <v>0</v>
      </c>
      <c r="F11" s="485">
        <f>+'Tabla I.'!G15</f>
        <v>0</v>
      </c>
      <c r="G11" s="485" t="s">
        <v>3390</v>
      </c>
    </row>
    <row r="12" spans="1:16">
      <c r="A12" s="485" t="str">
        <f t="shared" si="0"/>
        <v>202503</v>
      </c>
      <c r="B12" s="485" t="s">
        <v>2945</v>
      </c>
      <c r="C12" s="486" t="s">
        <v>3402</v>
      </c>
      <c r="D12" s="485">
        <f t="shared" si="1"/>
        <v>0</v>
      </c>
      <c r="E12" s="485">
        <f>+'Tabla I.'!F16</f>
        <v>0</v>
      </c>
      <c r="F12" s="485">
        <f>+'Tabla I.'!G16</f>
        <v>0</v>
      </c>
      <c r="G12" s="485" t="s">
        <v>3390</v>
      </c>
    </row>
    <row r="13" spans="1:16">
      <c r="A13" s="485" t="str">
        <f t="shared" si="0"/>
        <v>202503</v>
      </c>
      <c r="B13" s="485" t="s">
        <v>2945</v>
      </c>
      <c r="C13" s="486" t="s">
        <v>3403</v>
      </c>
      <c r="D13" s="485">
        <f t="shared" si="1"/>
        <v>0</v>
      </c>
      <c r="E13" s="485">
        <f>+'Tabla I.'!F17</f>
        <v>0</v>
      </c>
      <c r="F13" s="485">
        <f>+'Tabla I.'!G17</f>
        <v>0</v>
      </c>
      <c r="G13" s="485" t="s">
        <v>3390</v>
      </c>
    </row>
    <row r="14" spans="1:16">
      <c r="A14" s="485" t="str">
        <f t="shared" si="0"/>
        <v>202503</v>
      </c>
      <c r="B14" s="485" t="s">
        <v>2945</v>
      </c>
      <c r="C14" s="486" t="s">
        <v>3404</v>
      </c>
      <c r="D14" s="485">
        <f t="shared" si="1"/>
        <v>0</v>
      </c>
      <c r="E14" s="485">
        <f>+'Tabla I.'!F18</f>
        <v>0</v>
      </c>
      <c r="F14" s="485">
        <f>+'Tabla I.'!G18</f>
        <v>0</v>
      </c>
      <c r="G14" s="485" t="s">
        <v>3390</v>
      </c>
    </row>
    <row r="15" spans="1:16">
      <c r="A15" s="485" t="str">
        <f t="shared" si="0"/>
        <v>202503</v>
      </c>
      <c r="B15" s="485" t="s">
        <v>2945</v>
      </c>
      <c r="C15" s="486" t="s">
        <v>3405</v>
      </c>
      <c r="D15" s="485">
        <f t="shared" si="1"/>
        <v>0</v>
      </c>
      <c r="E15" s="485">
        <f>+'Tabla I.'!F19</f>
        <v>0</v>
      </c>
      <c r="F15" s="485">
        <f>+'Tabla I.'!G19</f>
        <v>0</v>
      </c>
      <c r="G15" s="485" t="s">
        <v>3390</v>
      </c>
    </row>
    <row r="16" spans="1:16">
      <c r="A16" s="485" t="str">
        <f t="shared" si="0"/>
        <v>202503</v>
      </c>
      <c r="B16" s="485" t="s">
        <v>2945</v>
      </c>
      <c r="C16" s="486" t="s">
        <v>3406</v>
      </c>
      <c r="D16" s="485">
        <f t="shared" si="1"/>
        <v>0</v>
      </c>
      <c r="E16" s="485">
        <f>+'Tabla I.'!F20</f>
        <v>0</v>
      </c>
      <c r="F16" s="485">
        <f>+'Tabla I.'!G20</f>
        <v>0</v>
      </c>
      <c r="G16" s="485" t="s">
        <v>3390</v>
      </c>
    </row>
    <row r="17" spans="1:7">
      <c r="A17" s="485" t="str">
        <f t="shared" si="0"/>
        <v>202503</v>
      </c>
      <c r="B17" s="485" t="s">
        <v>2945</v>
      </c>
      <c r="C17" s="486" t="s">
        <v>3407</v>
      </c>
      <c r="D17" s="485">
        <f t="shared" si="1"/>
        <v>0</v>
      </c>
      <c r="E17" s="485">
        <f>+'Tabla I.'!F21</f>
        <v>0</v>
      </c>
      <c r="F17" s="485">
        <f>+'Tabla I.'!G21</f>
        <v>0</v>
      </c>
      <c r="G17" s="485" t="s">
        <v>3390</v>
      </c>
    </row>
    <row r="18" spans="1:7">
      <c r="A18" s="485" t="str">
        <f t="shared" si="0"/>
        <v>202503</v>
      </c>
      <c r="B18" s="485" t="s">
        <v>2945</v>
      </c>
      <c r="C18" s="486" t="s">
        <v>3408</v>
      </c>
      <c r="D18" s="485">
        <f t="shared" si="1"/>
        <v>0</v>
      </c>
      <c r="E18" s="485">
        <f>+'Tabla I.'!F22</f>
        <v>0</v>
      </c>
      <c r="F18" s="485">
        <f>+'Tabla I.'!G22</f>
        <v>0</v>
      </c>
      <c r="G18" s="485" t="s">
        <v>3390</v>
      </c>
    </row>
    <row r="19" spans="1:7">
      <c r="A19" s="485" t="str">
        <f t="shared" si="0"/>
        <v>202503</v>
      </c>
      <c r="B19" s="485" t="s">
        <v>2945</v>
      </c>
      <c r="C19" s="486" t="s">
        <v>3409</v>
      </c>
      <c r="D19" s="485">
        <f t="shared" si="1"/>
        <v>0</v>
      </c>
      <c r="E19" s="485">
        <f>+'Tabla I.'!F23</f>
        <v>0</v>
      </c>
      <c r="F19" s="485">
        <f>+'Tabla I.'!G23</f>
        <v>0</v>
      </c>
      <c r="G19" s="485" t="s">
        <v>3390</v>
      </c>
    </row>
    <row r="20" spans="1:7">
      <c r="A20" s="485" t="str">
        <f t="shared" si="0"/>
        <v>202503</v>
      </c>
      <c r="B20" s="485" t="s">
        <v>2945</v>
      </c>
      <c r="C20" s="486" t="s">
        <v>3410</v>
      </c>
      <c r="D20" s="485">
        <f t="shared" si="1"/>
        <v>0</v>
      </c>
      <c r="E20" s="485">
        <f>+'Tabla I.'!F24</f>
        <v>0</v>
      </c>
      <c r="F20" s="485">
        <f>+'Tabla I.'!G24</f>
        <v>0</v>
      </c>
      <c r="G20" s="485" t="s">
        <v>3390</v>
      </c>
    </row>
    <row r="21" spans="1:7">
      <c r="A21" s="485" t="str">
        <f t="shared" si="0"/>
        <v>202503</v>
      </c>
      <c r="B21" s="485" t="s">
        <v>2945</v>
      </c>
      <c r="C21" s="486" t="s">
        <v>3411</v>
      </c>
      <c r="D21" s="485">
        <f t="shared" si="1"/>
        <v>0</v>
      </c>
      <c r="E21" s="485">
        <f>+'Tabla I.'!F25</f>
        <v>0</v>
      </c>
      <c r="F21" s="485">
        <f>+'Tabla I.'!G25</f>
        <v>0</v>
      </c>
      <c r="G21" s="485" t="s">
        <v>3390</v>
      </c>
    </row>
    <row r="22" spans="1:7">
      <c r="A22" s="485" t="str">
        <f t="shared" si="0"/>
        <v>202503</v>
      </c>
      <c r="B22" s="485" t="s">
        <v>2945</v>
      </c>
      <c r="C22" s="486" t="s">
        <v>3412</v>
      </c>
      <c r="D22" s="485">
        <f t="shared" si="1"/>
        <v>0</v>
      </c>
      <c r="E22" s="485">
        <f>+'Tabla I.'!F26</f>
        <v>0</v>
      </c>
      <c r="F22" s="485">
        <f>+'Tabla I.'!G26</f>
        <v>0</v>
      </c>
      <c r="G22" s="485" t="s">
        <v>3390</v>
      </c>
    </row>
    <row r="23" spans="1:7">
      <c r="A23" s="485" t="str">
        <f t="shared" si="0"/>
        <v>202503</v>
      </c>
      <c r="B23" s="485" t="s">
        <v>2945</v>
      </c>
      <c r="C23" s="486" t="s">
        <v>3413</v>
      </c>
      <c r="D23" s="485">
        <f t="shared" si="1"/>
        <v>0</v>
      </c>
      <c r="E23" s="485">
        <f>+'Tabla I.'!F27</f>
        <v>0</v>
      </c>
      <c r="F23" s="485">
        <f>+'Tabla I.'!G27</f>
        <v>0</v>
      </c>
      <c r="G23" s="485" t="s">
        <v>3390</v>
      </c>
    </row>
    <row r="24" spans="1:7">
      <c r="A24" s="485" t="str">
        <f t="shared" si="0"/>
        <v>202503</v>
      </c>
      <c r="B24" s="485" t="s">
        <v>2945</v>
      </c>
      <c r="C24" s="486" t="s">
        <v>3414</v>
      </c>
      <c r="D24" s="485">
        <f t="shared" si="1"/>
        <v>0</v>
      </c>
      <c r="E24" s="485">
        <f>+'Tabla I.'!F28</f>
        <v>0</v>
      </c>
      <c r="F24" s="485">
        <f>+'Tabla I.'!G28</f>
        <v>0</v>
      </c>
      <c r="G24" s="485" t="s">
        <v>3390</v>
      </c>
    </row>
    <row r="25" spans="1:7">
      <c r="A25" s="485" t="str">
        <f t="shared" si="0"/>
        <v>202503</v>
      </c>
      <c r="B25" s="485" t="s">
        <v>2945</v>
      </c>
      <c r="C25" s="486" t="s">
        <v>3415</v>
      </c>
      <c r="D25" s="485">
        <f t="shared" si="1"/>
        <v>0</v>
      </c>
      <c r="E25" s="485">
        <f>+'Tabla I.'!F29</f>
        <v>0</v>
      </c>
      <c r="F25" s="485">
        <f>+'Tabla I.'!G29</f>
        <v>0</v>
      </c>
      <c r="G25" s="485" t="s">
        <v>3390</v>
      </c>
    </row>
    <row r="26" spans="1:7">
      <c r="A26" s="485" t="str">
        <f t="shared" si="0"/>
        <v>202503</v>
      </c>
      <c r="B26" s="485" t="s">
        <v>2945</v>
      </c>
      <c r="C26" s="486" t="s">
        <v>3416</v>
      </c>
      <c r="D26" s="485">
        <f t="shared" si="1"/>
        <v>0</v>
      </c>
      <c r="E26" s="485">
        <f>+'Tabla I.'!F30</f>
        <v>0</v>
      </c>
      <c r="F26" s="485">
        <f>+'Tabla I.'!G30</f>
        <v>0</v>
      </c>
      <c r="G26" s="485" t="s">
        <v>3390</v>
      </c>
    </row>
    <row r="27" spans="1:7">
      <c r="A27" s="485" t="str">
        <f t="shared" si="0"/>
        <v>202503</v>
      </c>
      <c r="B27" s="485" t="s">
        <v>2945</v>
      </c>
      <c r="C27" s="486" t="s">
        <v>3417</v>
      </c>
      <c r="D27" s="485">
        <f t="shared" si="1"/>
        <v>0</v>
      </c>
      <c r="E27" s="485">
        <f>+'Tabla I.'!F31</f>
        <v>0</v>
      </c>
      <c r="F27" s="485">
        <f>+'Tabla I.'!G31</f>
        <v>0</v>
      </c>
      <c r="G27" s="485" t="s">
        <v>3390</v>
      </c>
    </row>
    <row r="28" spans="1:7">
      <c r="A28" s="485" t="str">
        <f t="shared" si="0"/>
        <v>202503</v>
      </c>
      <c r="B28" s="485" t="s">
        <v>2945</v>
      </c>
      <c r="C28" s="486" t="s">
        <v>3418</v>
      </c>
      <c r="D28" s="485">
        <f t="shared" si="1"/>
        <v>0</v>
      </c>
      <c r="E28" s="485">
        <f>+'Tabla I.'!F32</f>
        <v>0</v>
      </c>
      <c r="F28" s="485">
        <f>+'Tabla I.'!G32</f>
        <v>0</v>
      </c>
      <c r="G28" s="485" t="s">
        <v>3390</v>
      </c>
    </row>
    <row r="29" spans="1:7">
      <c r="A29" s="485" t="str">
        <f t="shared" si="0"/>
        <v>202503</v>
      </c>
      <c r="B29" s="485" t="s">
        <v>2945</v>
      </c>
      <c r="C29" s="486" t="s">
        <v>3419</v>
      </c>
      <c r="D29" s="485">
        <f t="shared" si="1"/>
        <v>0</v>
      </c>
      <c r="E29" s="485">
        <f>+'Tabla I.'!F33</f>
        <v>0</v>
      </c>
      <c r="F29" s="485">
        <f>+'Tabla I.'!G33</f>
        <v>0</v>
      </c>
      <c r="G29" s="485" t="s">
        <v>3390</v>
      </c>
    </row>
    <row r="30" spans="1:7">
      <c r="A30" s="485" t="str">
        <f t="shared" si="0"/>
        <v>202503</v>
      </c>
      <c r="B30" s="485" t="s">
        <v>2945</v>
      </c>
      <c r="C30" s="486" t="s">
        <v>3420</v>
      </c>
      <c r="D30" s="485">
        <f t="shared" si="1"/>
        <v>0</v>
      </c>
      <c r="E30" s="485">
        <f>+'Tabla I.'!F34</f>
        <v>0</v>
      </c>
      <c r="F30" s="485">
        <f>+'Tabla I.'!G34</f>
        <v>0</v>
      </c>
      <c r="G30" s="485" t="s">
        <v>3390</v>
      </c>
    </row>
    <row r="31" spans="1:7">
      <c r="A31" s="485" t="str">
        <f t="shared" si="0"/>
        <v>202503</v>
      </c>
      <c r="B31" s="485" t="s">
        <v>2945</v>
      </c>
      <c r="C31" s="486" t="s">
        <v>3421</v>
      </c>
      <c r="D31" s="485">
        <f t="shared" si="1"/>
        <v>0</v>
      </c>
      <c r="E31" s="485">
        <f>+'Tabla I.'!F35</f>
        <v>0</v>
      </c>
      <c r="F31" s="485">
        <f>+'Tabla I.'!G35</f>
        <v>0</v>
      </c>
      <c r="G31" s="485" t="s">
        <v>3390</v>
      </c>
    </row>
    <row r="32" spans="1:7">
      <c r="A32" s="485" t="str">
        <f t="shared" si="0"/>
        <v>202503</v>
      </c>
      <c r="B32" s="485" t="s">
        <v>2945</v>
      </c>
      <c r="C32" s="486" t="s">
        <v>3422</v>
      </c>
      <c r="D32" s="485">
        <f t="shared" si="1"/>
        <v>0</v>
      </c>
      <c r="E32" s="485">
        <f>+'Tabla I.'!F36</f>
        <v>0</v>
      </c>
      <c r="F32" s="485">
        <f>+'Tabla I.'!G36</f>
        <v>0</v>
      </c>
      <c r="G32" s="485" t="s">
        <v>3390</v>
      </c>
    </row>
    <row r="33" spans="1:7">
      <c r="A33" s="485" t="str">
        <f t="shared" si="0"/>
        <v>202503</v>
      </c>
      <c r="B33" s="485" t="s">
        <v>2945</v>
      </c>
      <c r="C33" s="486" t="s">
        <v>3423</v>
      </c>
      <c r="D33" s="485">
        <f t="shared" si="1"/>
        <v>0</v>
      </c>
      <c r="E33" s="485">
        <f>+'Tabla I.'!F37</f>
        <v>0</v>
      </c>
      <c r="F33" s="485">
        <f>+'Tabla I.'!G37</f>
        <v>0</v>
      </c>
      <c r="G33" s="485" t="s">
        <v>3390</v>
      </c>
    </row>
    <row r="34" spans="1:7">
      <c r="A34" s="485" t="str">
        <f t="shared" ref="A34:A59" si="2">PERIODO</f>
        <v>202503</v>
      </c>
      <c r="B34" s="485" t="s">
        <v>2945</v>
      </c>
      <c r="C34" s="486" t="s">
        <v>3424</v>
      </c>
      <c r="D34" s="485">
        <f t="shared" ref="D34:D59" si="3">RUC</f>
        <v>0</v>
      </c>
      <c r="E34" s="485">
        <f>+'Tabla I.'!F38</f>
        <v>0</v>
      </c>
      <c r="F34" s="485">
        <f>+'Tabla I.'!G38</f>
        <v>0</v>
      </c>
      <c r="G34" s="485" t="s">
        <v>3390</v>
      </c>
    </row>
    <row r="35" spans="1:7">
      <c r="A35" s="485" t="str">
        <f t="shared" si="2"/>
        <v>202503</v>
      </c>
      <c r="B35" s="485" t="s">
        <v>2945</v>
      </c>
      <c r="C35" s="486" t="s">
        <v>3425</v>
      </c>
      <c r="D35" s="485">
        <f t="shared" si="3"/>
        <v>0</v>
      </c>
      <c r="E35" s="485">
        <f>+'Tabla I.'!F39</f>
        <v>0</v>
      </c>
      <c r="F35" s="485">
        <f>+'Tabla I.'!G39</f>
        <v>0</v>
      </c>
      <c r="G35" s="485" t="s">
        <v>3390</v>
      </c>
    </row>
    <row r="36" spans="1:7">
      <c r="A36" s="485" t="str">
        <f t="shared" si="2"/>
        <v>202503</v>
      </c>
      <c r="B36" s="485" t="s">
        <v>2945</v>
      </c>
      <c r="C36" s="486" t="s">
        <v>3426</v>
      </c>
      <c r="D36" s="485">
        <f t="shared" si="3"/>
        <v>0</v>
      </c>
      <c r="E36" s="485">
        <f>+'Tabla I.'!F40</f>
        <v>0</v>
      </c>
      <c r="F36" s="485">
        <f>+'Tabla I.'!G40</f>
        <v>0</v>
      </c>
      <c r="G36" s="485" t="s">
        <v>3390</v>
      </c>
    </row>
    <row r="37" spans="1:7">
      <c r="A37" s="485" t="str">
        <f t="shared" si="2"/>
        <v>202503</v>
      </c>
      <c r="B37" s="485" t="s">
        <v>2945</v>
      </c>
      <c r="C37" s="486" t="s">
        <v>3427</v>
      </c>
      <c r="D37" s="485">
        <f t="shared" si="3"/>
        <v>0</v>
      </c>
      <c r="E37" s="485">
        <f>+'Tabla I.'!F41</f>
        <v>0</v>
      </c>
      <c r="F37" s="485">
        <f>+'Tabla I.'!G41</f>
        <v>0</v>
      </c>
      <c r="G37" s="487" t="s">
        <v>2385</v>
      </c>
    </row>
    <row r="38" spans="1:7">
      <c r="A38" s="485" t="str">
        <f t="shared" si="2"/>
        <v>202503</v>
      </c>
      <c r="B38" s="485" t="s">
        <v>2945</v>
      </c>
      <c r="C38" s="486" t="s">
        <v>3428</v>
      </c>
      <c r="D38" s="485">
        <f t="shared" si="3"/>
        <v>0</v>
      </c>
      <c r="E38" s="485">
        <f>+'Tabla I.'!F42</f>
        <v>0</v>
      </c>
      <c r="F38" s="485">
        <f>+'Tabla I.'!G42</f>
        <v>0</v>
      </c>
      <c r="G38" s="485" t="s">
        <v>3390</v>
      </c>
    </row>
    <row r="39" spans="1:7">
      <c r="A39" s="485" t="str">
        <f t="shared" si="2"/>
        <v>202503</v>
      </c>
      <c r="B39" s="485" t="s">
        <v>2945</v>
      </c>
      <c r="C39" s="486" t="s">
        <v>3429</v>
      </c>
      <c r="D39" s="485">
        <f t="shared" si="3"/>
        <v>0</v>
      </c>
      <c r="E39" s="485">
        <f>+'Tabla I.'!F43</f>
        <v>0</v>
      </c>
      <c r="F39" s="485">
        <f>+'Tabla I.'!G43</f>
        <v>0</v>
      </c>
      <c r="G39" s="485" t="s">
        <v>3390</v>
      </c>
    </row>
    <row r="40" spans="1:7">
      <c r="A40" s="485" t="str">
        <f t="shared" si="2"/>
        <v>202503</v>
      </c>
      <c r="B40" s="485" t="s">
        <v>2945</v>
      </c>
      <c r="C40" s="486" t="s">
        <v>3430</v>
      </c>
      <c r="D40" s="485">
        <f t="shared" si="3"/>
        <v>0</v>
      </c>
      <c r="E40" s="485">
        <f>+'Tabla I.'!F44</f>
        <v>0</v>
      </c>
      <c r="F40" s="485">
        <f>+'Tabla I.'!G44</f>
        <v>0</v>
      </c>
      <c r="G40" s="485" t="s">
        <v>3390</v>
      </c>
    </row>
    <row r="41" spans="1:7">
      <c r="A41" s="485" t="str">
        <f t="shared" si="2"/>
        <v>202503</v>
      </c>
      <c r="B41" s="485" t="s">
        <v>2945</v>
      </c>
      <c r="C41" s="486" t="s">
        <v>3431</v>
      </c>
      <c r="D41" s="485">
        <f t="shared" si="3"/>
        <v>0</v>
      </c>
      <c r="E41" s="485">
        <f>+'Tabla I.'!F45</f>
        <v>0</v>
      </c>
      <c r="F41" s="485">
        <f>+'Tabla I.'!G45</f>
        <v>0</v>
      </c>
      <c r="G41" s="485" t="s">
        <v>3390</v>
      </c>
    </row>
    <row r="42" spans="1:7">
      <c r="A42" s="485" t="str">
        <f t="shared" si="2"/>
        <v>202503</v>
      </c>
      <c r="B42" s="485" t="s">
        <v>2945</v>
      </c>
      <c r="C42" s="486" t="s">
        <v>3432</v>
      </c>
      <c r="D42" s="485">
        <f t="shared" si="3"/>
        <v>0</v>
      </c>
      <c r="E42" s="485">
        <f>+'Tabla I.'!F46</f>
        <v>0</v>
      </c>
      <c r="F42" s="485">
        <f>+'Tabla I.'!G46</f>
        <v>0</v>
      </c>
      <c r="G42" s="485" t="s">
        <v>3390</v>
      </c>
    </row>
    <row r="43" spans="1:7">
      <c r="A43" s="485" t="str">
        <f t="shared" si="2"/>
        <v>202503</v>
      </c>
      <c r="B43" s="485" t="s">
        <v>2945</v>
      </c>
      <c r="C43" s="486" t="s">
        <v>3433</v>
      </c>
      <c r="D43" s="485">
        <f t="shared" si="3"/>
        <v>0</v>
      </c>
      <c r="E43" s="485">
        <f>+'Tabla I.'!F47</f>
        <v>0</v>
      </c>
      <c r="F43" s="485">
        <f>+'Tabla I.'!G47</f>
        <v>0</v>
      </c>
      <c r="G43" s="485" t="s">
        <v>3390</v>
      </c>
    </row>
    <row r="44" spans="1:7">
      <c r="A44" s="485" t="str">
        <f t="shared" si="2"/>
        <v>202503</v>
      </c>
      <c r="B44" s="485" t="s">
        <v>2945</v>
      </c>
      <c r="C44" s="486" t="s">
        <v>3434</v>
      </c>
      <c r="D44" s="485">
        <f t="shared" si="3"/>
        <v>0</v>
      </c>
      <c r="E44" s="485">
        <f>+'Tabla I.'!F48</f>
        <v>0</v>
      </c>
      <c r="F44" s="485">
        <f>+'Tabla I.'!G48</f>
        <v>0</v>
      </c>
      <c r="G44" s="485" t="s">
        <v>3390</v>
      </c>
    </row>
    <row r="45" spans="1:7">
      <c r="A45" s="485" t="str">
        <f t="shared" si="2"/>
        <v>202503</v>
      </c>
      <c r="B45" s="485" t="s">
        <v>2945</v>
      </c>
      <c r="C45" s="486" t="s">
        <v>3435</v>
      </c>
      <c r="D45" s="485">
        <f t="shared" si="3"/>
        <v>0</v>
      </c>
      <c r="E45" s="485">
        <f>+'Tabla I.'!F49</f>
        <v>0</v>
      </c>
      <c r="F45" s="485">
        <f>+'Tabla I.'!G49</f>
        <v>0</v>
      </c>
      <c r="G45" s="485" t="s">
        <v>3390</v>
      </c>
    </row>
    <row r="46" spans="1:7">
      <c r="A46" s="485" t="str">
        <f t="shared" si="2"/>
        <v>202503</v>
      </c>
      <c r="B46" s="485" t="s">
        <v>2945</v>
      </c>
      <c r="C46" s="486" t="s">
        <v>3436</v>
      </c>
      <c r="D46" s="485">
        <f t="shared" si="3"/>
        <v>0</v>
      </c>
      <c r="E46" s="485">
        <f>+'Tabla I.'!F50</f>
        <v>0</v>
      </c>
      <c r="F46" s="485">
        <f>+'Tabla I.'!G50</f>
        <v>0</v>
      </c>
      <c r="G46" s="485" t="s">
        <v>3390</v>
      </c>
    </row>
    <row r="47" spans="1:7">
      <c r="A47" s="485" t="str">
        <f t="shared" si="2"/>
        <v>202503</v>
      </c>
      <c r="B47" s="485" t="s">
        <v>2945</v>
      </c>
      <c r="C47" s="486" t="s">
        <v>3437</v>
      </c>
      <c r="D47" s="485">
        <f t="shared" si="3"/>
        <v>0</v>
      </c>
      <c r="E47" s="485">
        <f>+'Tabla I.'!F51</f>
        <v>0</v>
      </c>
      <c r="F47" s="485">
        <f>+'Tabla I.'!G51</f>
        <v>0</v>
      </c>
      <c r="G47" s="485" t="s">
        <v>3390</v>
      </c>
    </row>
    <row r="48" spans="1:7">
      <c r="A48" s="485" t="str">
        <f t="shared" si="2"/>
        <v>202503</v>
      </c>
      <c r="B48" s="485" t="s">
        <v>2945</v>
      </c>
      <c r="C48" s="486" t="s">
        <v>3438</v>
      </c>
      <c r="D48" s="485">
        <f t="shared" si="3"/>
        <v>0</v>
      </c>
      <c r="E48" s="485">
        <f>+'Tabla I.'!F52</f>
        <v>0</v>
      </c>
      <c r="F48" s="485">
        <f>+'Tabla I.'!G52</f>
        <v>0</v>
      </c>
      <c r="G48" s="485" t="s">
        <v>3390</v>
      </c>
    </row>
    <row r="49" spans="1:7">
      <c r="A49" s="485" t="str">
        <f t="shared" si="2"/>
        <v>202503</v>
      </c>
      <c r="B49" s="485" t="s">
        <v>2945</v>
      </c>
      <c r="C49" s="486" t="s">
        <v>3439</v>
      </c>
      <c r="D49" s="485">
        <f t="shared" si="3"/>
        <v>0</v>
      </c>
      <c r="E49" s="485">
        <f>+'Tabla I.'!F53</f>
        <v>0</v>
      </c>
      <c r="F49" s="485">
        <f>+'Tabla I.'!G53</f>
        <v>0</v>
      </c>
      <c r="G49" s="485" t="s">
        <v>3390</v>
      </c>
    </row>
    <row r="50" spans="1:7">
      <c r="A50" s="485" t="str">
        <f t="shared" si="2"/>
        <v>202503</v>
      </c>
      <c r="B50" s="485" t="s">
        <v>2945</v>
      </c>
      <c r="C50" s="486" t="s">
        <v>3440</v>
      </c>
      <c r="D50" s="485">
        <f t="shared" si="3"/>
        <v>0</v>
      </c>
      <c r="E50" s="485">
        <f>+'Tabla I.'!F54</f>
        <v>0</v>
      </c>
      <c r="F50" s="485">
        <f>+'Tabla I.'!G54</f>
        <v>0</v>
      </c>
      <c r="G50" s="485" t="s">
        <v>3390</v>
      </c>
    </row>
    <row r="51" spans="1:7">
      <c r="A51" s="485" t="str">
        <f t="shared" si="2"/>
        <v>202503</v>
      </c>
      <c r="B51" s="485" t="s">
        <v>2945</v>
      </c>
      <c r="C51" s="486" t="s">
        <v>3441</v>
      </c>
      <c r="D51" s="485">
        <f t="shared" si="3"/>
        <v>0</v>
      </c>
      <c r="E51" s="485">
        <f>+'Tabla I.'!F55</f>
        <v>0</v>
      </c>
      <c r="F51" s="485">
        <f>+'Tabla I.'!G55</f>
        <v>0</v>
      </c>
      <c r="G51" s="485" t="s">
        <v>3390</v>
      </c>
    </row>
    <row r="52" spans="1:7">
      <c r="A52" s="485" t="str">
        <f t="shared" si="2"/>
        <v>202503</v>
      </c>
      <c r="B52" s="485" t="s">
        <v>2945</v>
      </c>
      <c r="C52" s="486" t="s">
        <v>3442</v>
      </c>
      <c r="D52" s="485">
        <f t="shared" si="3"/>
        <v>0</v>
      </c>
      <c r="E52" s="485">
        <f>+'Tabla I.'!F56</f>
        <v>0</v>
      </c>
      <c r="F52" s="485">
        <f>+'Tabla I.'!G56</f>
        <v>0</v>
      </c>
      <c r="G52" s="485" t="s">
        <v>3390</v>
      </c>
    </row>
    <row r="53" spans="1:7">
      <c r="A53" s="485" t="str">
        <f t="shared" si="2"/>
        <v>202503</v>
      </c>
      <c r="B53" s="485" t="s">
        <v>2945</v>
      </c>
      <c r="C53" s="486" t="s">
        <v>3443</v>
      </c>
      <c r="D53" s="485">
        <f t="shared" si="3"/>
        <v>0</v>
      </c>
      <c r="E53" s="485" t="s">
        <v>3390</v>
      </c>
      <c r="F53" s="485" t="s">
        <v>3390</v>
      </c>
      <c r="G53" s="485" t="str">
        <f>IF('Tabla I.'!F59="Si",1,IF('Tabla I.'!F59="No",0,""))</f>
        <v/>
      </c>
    </row>
    <row r="54" spans="1:7">
      <c r="A54" s="485" t="str">
        <f t="shared" si="2"/>
        <v>202503</v>
      </c>
      <c r="B54" s="485" t="s">
        <v>2945</v>
      </c>
      <c r="C54" s="486" t="s">
        <v>3444</v>
      </c>
      <c r="D54" s="485">
        <f t="shared" si="3"/>
        <v>0</v>
      </c>
      <c r="E54" s="485" t="s">
        <v>3390</v>
      </c>
      <c r="F54" s="485" t="s">
        <v>3390</v>
      </c>
      <c r="G54" s="485" t="str">
        <f>IF('Tabla I.'!F60="Si",1,IF('Tabla I.'!F60="No",0,""))</f>
        <v/>
      </c>
    </row>
    <row r="55" spans="1:7">
      <c r="A55" s="485" t="str">
        <f t="shared" si="2"/>
        <v>202503</v>
      </c>
      <c r="B55" s="485" t="s">
        <v>2945</v>
      </c>
      <c r="C55" s="486" t="s">
        <v>3445</v>
      </c>
      <c r="D55" s="485">
        <f t="shared" si="3"/>
        <v>0</v>
      </c>
      <c r="E55" s="485" t="s">
        <v>3390</v>
      </c>
      <c r="F55" s="485" t="s">
        <v>3390</v>
      </c>
      <c r="G55" s="485" t="str">
        <f>IF('Tabla I.'!F61="Si",1,IF('Tabla I.'!F61="No",0,""))</f>
        <v/>
      </c>
    </row>
    <row r="56" spans="1:7">
      <c r="A56" s="485" t="str">
        <f t="shared" si="2"/>
        <v>202503</v>
      </c>
      <c r="B56" s="485" t="s">
        <v>2945</v>
      </c>
      <c r="C56" s="486" t="s">
        <v>3446</v>
      </c>
      <c r="D56" s="485">
        <f t="shared" si="3"/>
        <v>0</v>
      </c>
      <c r="E56" s="485">
        <f>+'Tabla I.'!F67</f>
        <v>0</v>
      </c>
      <c r="F56" s="485">
        <f>+'Tabla I.'!G67</f>
        <v>0</v>
      </c>
      <c r="G56" s="485" t="s">
        <v>3390</v>
      </c>
    </row>
    <row r="57" spans="1:7">
      <c r="A57" s="485" t="str">
        <f t="shared" si="2"/>
        <v>202503</v>
      </c>
      <c r="B57" s="485" t="s">
        <v>2945</v>
      </c>
      <c r="C57" s="486" t="s">
        <v>3447</v>
      </c>
      <c r="D57" s="485">
        <f t="shared" si="3"/>
        <v>0</v>
      </c>
      <c r="E57" s="485">
        <f>+'Tabla I.'!F68</f>
        <v>0</v>
      </c>
      <c r="F57" s="485">
        <f>+'Tabla I.'!G68</f>
        <v>0</v>
      </c>
      <c r="G57" s="485" t="s">
        <v>3390</v>
      </c>
    </row>
    <row r="58" spans="1:7">
      <c r="A58" s="485" t="str">
        <f t="shared" si="2"/>
        <v>202503</v>
      </c>
      <c r="B58" s="485" t="s">
        <v>2945</v>
      </c>
      <c r="C58" s="486" t="s">
        <v>3448</v>
      </c>
      <c r="D58" s="485">
        <f t="shared" si="3"/>
        <v>0</v>
      </c>
      <c r="E58" s="485">
        <f>+'Tabla I.'!F69</f>
        <v>0</v>
      </c>
      <c r="F58" s="485">
        <f>+'Tabla I.'!G69</f>
        <v>0</v>
      </c>
      <c r="G58" s="485" t="s">
        <v>3390</v>
      </c>
    </row>
    <row r="59" spans="1:7">
      <c r="A59" s="485" t="str">
        <f t="shared" si="2"/>
        <v>202503</v>
      </c>
      <c r="B59" s="485" t="s">
        <v>2945</v>
      </c>
      <c r="C59" s="486" t="s">
        <v>3449</v>
      </c>
      <c r="D59" s="485">
        <f t="shared" si="3"/>
        <v>0</v>
      </c>
      <c r="E59" s="485">
        <f>+'Tabla I.'!F70</f>
        <v>0</v>
      </c>
      <c r="F59" s="485">
        <f>+'Tabla I.'!G70</f>
        <v>0</v>
      </c>
      <c r="G59" s="485" t="s">
        <v>3390</v>
      </c>
    </row>
  </sheetData>
  <autoFilter ref="A1:G59" xr:uid="{00000000-0001-0000-1C00-000000000000}"/>
  <pageMargins left="0.7" right="0.7" top="0.75" bottom="0.75" header="0.3" footer="0.3"/>
  <pageSetup paperSize="9" orientation="portrait" horizontalDpi="4294967295" verticalDpi="4294967295"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
    <tabColor theme="9" tint="-0.499984740745262"/>
  </sheetPr>
  <dimension ref="A1:N241"/>
  <sheetViews>
    <sheetView workbookViewId="0">
      <pane ySplit="1" topLeftCell="A2" activePane="bottomLeft" state="frozen"/>
      <selection pane="bottomLeft" activeCell="F1" sqref="F1"/>
    </sheetView>
  </sheetViews>
  <sheetFormatPr baseColWidth="10" defaultColWidth="11.42578125" defaultRowHeight="12.75"/>
  <cols>
    <col min="4" max="4" width="13" bestFit="1" customWidth="1"/>
    <col min="5" max="5" width="12" bestFit="1" customWidth="1"/>
    <col min="6" max="6" width="12" customWidth="1"/>
    <col min="11" max="11" width="20.7109375" customWidth="1"/>
  </cols>
  <sheetData>
    <row r="1" spans="1:13" s="1" customFormat="1" ht="15.75">
      <c r="A1" s="40" t="s">
        <v>2926</v>
      </c>
      <c r="B1" s="40" t="s">
        <v>2927</v>
      </c>
      <c r="C1" s="40" t="s">
        <v>2940</v>
      </c>
      <c r="D1" s="66" t="s">
        <v>2928</v>
      </c>
      <c r="E1" s="40" t="s">
        <v>67</v>
      </c>
      <c r="F1" s="40" t="s">
        <v>2932</v>
      </c>
      <c r="G1" s="105" t="s">
        <v>2933</v>
      </c>
      <c r="H1" s="40" t="s">
        <v>2941</v>
      </c>
      <c r="I1" s="40" t="s">
        <v>2942</v>
      </c>
      <c r="J1" s="43" t="s">
        <v>2943</v>
      </c>
      <c r="K1" s="43" t="s">
        <v>2934</v>
      </c>
      <c r="L1" s="43" t="s">
        <v>2935</v>
      </c>
      <c r="M1" s="43" t="s">
        <v>2126</v>
      </c>
    </row>
    <row r="2" spans="1:13" ht="15.75">
      <c r="A2" s="107" t="s">
        <v>3450</v>
      </c>
      <c r="B2" s="107" t="str">
        <f t="shared" ref="B2:B65" si="0">PERIODO</f>
        <v>202503</v>
      </c>
      <c r="C2" s="107" t="s">
        <v>2945</v>
      </c>
      <c r="D2" s="399" t="str">
        <f ca="1">OFFSET('Tabla VII.1.'!$G$14,I2-1,0)</f>
        <v>01.01.01.</v>
      </c>
      <c r="E2" s="107">
        <f t="shared" ref="E2:E65" si="1">RUC</f>
        <v>0</v>
      </c>
      <c r="F2" s="462" t="s">
        <v>3451</v>
      </c>
      <c r="G2" s="108">
        <f ca="1">OFFSET('Tabla VII.1.'!$I$14,I2-1,J2-1)</f>
        <v>0</v>
      </c>
      <c r="H2" s="107" t="str">
        <f ca="1">OFFSET('Tabla VII.1.'!$I$1,0,J2-1)</f>
        <v>01</v>
      </c>
      <c r="I2" s="110">
        <v>1</v>
      </c>
      <c r="J2" s="110">
        <v>1</v>
      </c>
      <c r="K2" s="110" t="str">
        <f ca="1">'Tabla VII.1.'!$B$10</f>
        <v>Tabla VII.1.</v>
      </c>
      <c r="L2" s="110" t="s">
        <v>2937</v>
      </c>
      <c r="M2" s="107">
        <v>1</v>
      </c>
    </row>
    <row r="3" spans="1:13" ht="15.75">
      <c r="A3" s="107" t="s">
        <v>3450</v>
      </c>
      <c r="B3" s="107" t="str">
        <f t="shared" si="0"/>
        <v>202503</v>
      </c>
      <c r="C3" s="107" t="s">
        <v>2945</v>
      </c>
      <c r="D3" s="399" t="str">
        <f ca="1">OFFSET('Tabla VII.1.'!$G$14,I3-1,0)</f>
        <v>01.01.01.01.</v>
      </c>
      <c r="E3" s="107">
        <f t="shared" si="1"/>
        <v>0</v>
      </c>
      <c r="F3" s="459" t="str">
        <f ca="1">VLOOKUP(OFFSET('Tabla VII.1.'!$G$14,I3-1,1),TABPAIS,2,FALSE)</f>
        <v>00</v>
      </c>
      <c r="G3" s="108">
        <f ca="1">OFFSET('Tabla VII.1.'!$I$14,I3-1,J3-1)</f>
        <v>0</v>
      </c>
      <c r="H3" s="107" t="str">
        <f ca="1">OFFSET('Tabla VII.1.'!$I$1,0,J3-1)</f>
        <v>01</v>
      </c>
      <c r="I3" s="110">
        <f t="shared" ref="I3:I12" si="2">+I2+1</f>
        <v>2</v>
      </c>
      <c r="J3" s="110">
        <f t="shared" ref="J3:J13" si="3">+J2</f>
        <v>1</v>
      </c>
      <c r="K3" s="110" t="str">
        <f ca="1">'Tabla VII.1.'!$B$10</f>
        <v>Tabla VII.1.</v>
      </c>
      <c r="L3" s="110" t="str">
        <f t="shared" ref="L3:L13" si="4">+L2</f>
        <v>A.1</v>
      </c>
      <c r="M3" s="107"/>
    </row>
    <row r="4" spans="1:13" ht="15.75">
      <c r="A4" s="107" t="s">
        <v>3450</v>
      </c>
      <c r="B4" s="107" t="str">
        <f t="shared" si="0"/>
        <v>202503</v>
      </c>
      <c r="C4" s="107" t="s">
        <v>2945</v>
      </c>
      <c r="D4" s="399" t="str">
        <f ca="1">OFFSET('Tabla VII.1.'!$G$14,I4-1,0)</f>
        <v>01.01.01.02.</v>
      </c>
      <c r="E4" s="107">
        <f t="shared" si="1"/>
        <v>0</v>
      </c>
      <c r="F4" s="459" t="str">
        <f ca="1">VLOOKUP(OFFSET('Tabla VII.1.'!$G$14,I4-1,1),TABPAIS,2,FALSE)</f>
        <v>00</v>
      </c>
      <c r="G4" s="108">
        <f ca="1">OFFSET('Tabla VII.1.'!$I$14,I4-1,J4-1)</f>
        <v>0</v>
      </c>
      <c r="H4" s="107" t="str">
        <f ca="1">OFFSET('Tabla VII.1.'!$I$1,0,J4-1)</f>
        <v>01</v>
      </c>
      <c r="I4" s="110">
        <f t="shared" si="2"/>
        <v>3</v>
      </c>
      <c r="J4" s="110">
        <f t="shared" si="3"/>
        <v>1</v>
      </c>
      <c r="K4" s="110" t="str">
        <f ca="1">'Tabla VII.1.'!$B$10</f>
        <v>Tabla VII.1.</v>
      </c>
      <c r="L4" s="110" t="str">
        <f t="shared" si="4"/>
        <v>A.1</v>
      </c>
      <c r="M4" s="107"/>
    </row>
    <row r="5" spans="1:13" ht="15.75">
      <c r="A5" s="107" t="s">
        <v>3450</v>
      </c>
      <c r="B5" s="107" t="str">
        <f t="shared" si="0"/>
        <v>202503</v>
      </c>
      <c r="C5" s="107" t="s">
        <v>2945</v>
      </c>
      <c r="D5" s="399" t="str">
        <f ca="1">OFFSET('Tabla VII.1.'!$G$14,I5-1,0)</f>
        <v>01.01.01.03.</v>
      </c>
      <c r="E5" s="107">
        <f t="shared" si="1"/>
        <v>0</v>
      </c>
      <c r="F5" s="459" t="str">
        <f ca="1">VLOOKUP(OFFSET('Tabla VII.1.'!$G$14,I5-1,1),TABPAIS,2,FALSE)</f>
        <v>00</v>
      </c>
      <c r="G5" s="108">
        <f ca="1">OFFSET('Tabla VII.1.'!$I$14,I5-1,J5-1)</f>
        <v>0</v>
      </c>
      <c r="H5" s="107" t="str">
        <f ca="1">OFFSET('Tabla VII.1.'!$I$1,0,J5-1)</f>
        <v>01</v>
      </c>
      <c r="I5" s="110">
        <f t="shared" si="2"/>
        <v>4</v>
      </c>
      <c r="J5" s="110">
        <f t="shared" si="3"/>
        <v>1</v>
      </c>
      <c r="K5" s="110" t="str">
        <f ca="1">'Tabla VII.1.'!$B$10</f>
        <v>Tabla VII.1.</v>
      </c>
      <c r="L5" s="110" t="str">
        <f t="shared" si="4"/>
        <v>A.1</v>
      </c>
      <c r="M5" s="107"/>
    </row>
    <row r="6" spans="1:13" ht="15.75">
      <c r="A6" s="107" t="s">
        <v>3450</v>
      </c>
      <c r="B6" s="107" t="str">
        <f t="shared" si="0"/>
        <v>202503</v>
      </c>
      <c r="C6" s="107" t="s">
        <v>2945</v>
      </c>
      <c r="D6" s="399" t="str">
        <f ca="1">OFFSET('Tabla VII.1.'!$G$14,I6-1,0)</f>
        <v>01.01.01.04.</v>
      </c>
      <c r="E6" s="107">
        <f t="shared" si="1"/>
        <v>0</v>
      </c>
      <c r="F6" s="459" t="str">
        <f ca="1">VLOOKUP(OFFSET('Tabla VII.1.'!$G$14,I6-1,1),TABPAIS,2,FALSE)</f>
        <v>00</v>
      </c>
      <c r="G6" s="108">
        <f ca="1">OFFSET('Tabla VII.1.'!$I$14,I6-1,J6-1)</f>
        <v>0</v>
      </c>
      <c r="H6" s="107" t="str">
        <f ca="1">OFFSET('Tabla VII.1.'!$I$1,0,J6-1)</f>
        <v>01</v>
      </c>
      <c r="I6" s="110">
        <f t="shared" si="2"/>
        <v>5</v>
      </c>
      <c r="J6" s="110">
        <f t="shared" si="3"/>
        <v>1</v>
      </c>
      <c r="K6" s="110" t="str">
        <f ca="1">'Tabla VII.1.'!$B$10</f>
        <v>Tabla VII.1.</v>
      </c>
      <c r="L6" s="110" t="str">
        <f t="shared" si="4"/>
        <v>A.1</v>
      </c>
      <c r="M6" s="107"/>
    </row>
    <row r="7" spans="1:13" ht="15.75">
      <c r="A7" s="107" t="s">
        <v>3450</v>
      </c>
      <c r="B7" s="107" t="str">
        <f t="shared" si="0"/>
        <v>202503</v>
      </c>
      <c r="C7" s="107" t="s">
        <v>2945</v>
      </c>
      <c r="D7" s="399" t="str">
        <f ca="1">OFFSET('Tabla VII.1.'!$G$14,I7-1,0)</f>
        <v>01.01.01.05.</v>
      </c>
      <c r="E7" s="107">
        <f t="shared" si="1"/>
        <v>0</v>
      </c>
      <c r="F7" s="459" t="str">
        <f ca="1">VLOOKUP(OFFSET('Tabla VII.1.'!$G$14,I7-1,1),TABPAIS,2,FALSE)</f>
        <v>00</v>
      </c>
      <c r="G7" s="108">
        <f ca="1">OFFSET('Tabla VII.1.'!$I$14,I7-1,J7-1)</f>
        <v>0</v>
      </c>
      <c r="H7" s="107" t="str">
        <f ca="1">OFFSET('Tabla VII.1.'!$I$1,0,J7-1)</f>
        <v>01</v>
      </c>
      <c r="I7" s="110">
        <f t="shared" si="2"/>
        <v>6</v>
      </c>
      <c r="J7" s="110">
        <f t="shared" si="3"/>
        <v>1</v>
      </c>
      <c r="K7" s="110" t="str">
        <f ca="1">'Tabla VII.1.'!$B$10</f>
        <v>Tabla VII.1.</v>
      </c>
      <c r="L7" s="110" t="str">
        <f t="shared" si="4"/>
        <v>A.1</v>
      </c>
      <c r="M7" s="107"/>
    </row>
    <row r="8" spans="1:13" ht="15.75">
      <c r="A8" s="107" t="s">
        <v>3450</v>
      </c>
      <c r="B8" s="107" t="str">
        <f t="shared" si="0"/>
        <v>202503</v>
      </c>
      <c r="C8" s="107" t="s">
        <v>2945</v>
      </c>
      <c r="D8" s="399" t="str">
        <f ca="1">OFFSET('Tabla VII.1.'!$G$14,I8-1,0)</f>
        <v>01.01.01.06.</v>
      </c>
      <c r="E8" s="107">
        <f t="shared" si="1"/>
        <v>0</v>
      </c>
      <c r="F8" s="459" t="str">
        <f ca="1">VLOOKUP(OFFSET('Tabla VII.1.'!$G$14,I8-1,1),TABPAIS,2,FALSE)</f>
        <v>00</v>
      </c>
      <c r="G8" s="108">
        <f ca="1">OFFSET('Tabla VII.1.'!$I$14,I8-1,J8-1)</f>
        <v>0</v>
      </c>
      <c r="H8" s="107" t="str">
        <f ca="1">OFFSET('Tabla VII.1.'!$I$1,0,J8-1)</f>
        <v>01</v>
      </c>
      <c r="I8" s="110">
        <f t="shared" si="2"/>
        <v>7</v>
      </c>
      <c r="J8" s="110">
        <f t="shared" si="3"/>
        <v>1</v>
      </c>
      <c r="K8" s="110" t="str">
        <f ca="1">'Tabla VII.1.'!$B$10</f>
        <v>Tabla VII.1.</v>
      </c>
      <c r="L8" s="110" t="str">
        <f t="shared" si="4"/>
        <v>A.1</v>
      </c>
      <c r="M8" s="107"/>
    </row>
    <row r="9" spans="1:13" ht="15.75">
      <c r="A9" s="107" t="s">
        <v>3450</v>
      </c>
      <c r="B9" s="107" t="str">
        <f t="shared" si="0"/>
        <v>202503</v>
      </c>
      <c r="C9" s="107" t="s">
        <v>2945</v>
      </c>
      <c r="D9" s="399" t="str">
        <f ca="1">OFFSET('Tabla VII.1.'!$G$14,I9-1,0)</f>
        <v>01.01.01.07.</v>
      </c>
      <c r="E9" s="107">
        <f t="shared" si="1"/>
        <v>0</v>
      </c>
      <c r="F9" s="459" t="str">
        <f ca="1">VLOOKUP(OFFSET('Tabla VII.1.'!$G$14,I9-1,1),TABPAIS,2,FALSE)</f>
        <v>00</v>
      </c>
      <c r="G9" s="108">
        <f ca="1">OFFSET('Tabla VII.1.'!$I$14,I9-1,J9-1)</f>
        <v>0</v>
      </c>
      <c r="H9" s="107" t="str">
        <f ca="1">OFFSET('Tabla VII.1.'!$I$1,0,J9-1)</f>
        <v>01</v>
      </c>
      <c r="I9" s="110">
        <f t="shared" si="2"/>
        <v>8</v>
      </c>
      <c r="J9" s="110">
        <f t="shared" si="3"/>
        <v>1</v>
      </c>
      <c r="K9" s="110" t="str">
        <f ca="1">'Tabla VII.1.'!$B$10</f>
        <v>Tabla VII.1.</v>
      </c>
      <c r="L9" s="110" t="str">
        <f t="shared" si="4"/>
        <v>A.1</v>
      </c>
      <c r="M9" s="458"/>
    </row>
    <row r="10" spans="1:13" ht="15.75">
      <c r="A10" s="107" t="s">
        <v>3450</v>
      </c>
      <c r="B10" s="107" t="str">
        <f t="shared" si="0"/>
        <v>202503</v>
      </c>
      <c r="C10" s="107" t="s">
        <v>2945</v>
      </c>
      <c r="D10" s="399" t="str">
        <f ca="1">OFFSET('Tabla VII.1.'!$G$14,I10-1,0)</f>
        <v>01.01.01.08.</v>
      </c>
      <c r="E10" s="107">
        <f t="shared" si="1"/>
        <v>0</v>
      </c>
      <c r="F10" s="459" t="str">
        <f ca="1">VLOOKUP(OFFSET('Tabla VII.1.'!$G$14,I10-1,1),TABPAIS,2,FALSE)</f>
        <v>00</v>
      </c>
      <c r="G10" s="108">
        <f ca="1">OFFSET('Tabla VII.1.'!$I$14,I10-1,J10-1)</f>
        <v>0</v>
      </c>
      <c r="H10" s="107" t="str">
        <f ca="1">OFFSET('Tabla VII.1.'!$I$1,0,J10-1)</f>
        <v>01</v>
      </c>
      <c r="I10" s="110">
        <f t="shared" si="2"/>
        <v>9</v>
      </c>
      <c r="J10" s="110">
        <f t="shared" si="3"/>
        <v>1</v>
      </c>
      <c r="K10" s="110" t="str">
        <f ca="1">'Tabla VII.1.'!$B$10</f>
        <v>Tabla VII.1.</v>
      </c>
      <c r="L10" s="110" t="str">
        <f t="shared" si="4"/>
        <v>A.1</v>
      </c>
      <c r="M10" s="458"/>
    </row>
    <row r="11" spans="1:13" ht="15.75">
      <c r="A11" s="107" t="s">
        <v>3450</v>
      </c>
      <c r="B11" s="107" t="str">
        <f t="shared" si="0"/>
        <v>202503</v>
      </c>
      <c r="C11" s="107" t="s">
        <v>2945</v>
      </c>
      <c r="D11" s="399" t="str">
        <f ca="1">OFFSET('Tabla VII.1.'!$G$14,I11-1,0)</f>
        <v>01.01.01.09.</v>
      </c>
      <c r="E11" s="107">
        <f t="shared" si="1"/>
        <v>0</v>
      </c>
      <c r="F11" s="459" t="str">
        <f ca="1">VLOOKUP(OFFSET('Tabla VII.1.'!$G$14,I11-1,1),TABPAIS,2,FALSE)</f>
        <v>00</v>
      </c>
      <c r="G11" s="108">
        <f ca="1">OFFSET('Tabla VII.1.'!$I$14,I11-1,J11-1)</f>
        <v>0</v>
      </c>
      <c r="H11" s="107" t="str">
        <f ca="1">OFFSET('Tabla VII.1.'!$I$1,0,J11-1)</f>
        <v>01</v>
      </c>
      <c r="I11" s="110">
        <f t="shared" si="2"/>
        <v>10</v>
      </c>
      <c r="J11" s="110">
        <f t="shared" si="3"/>
        <v>1</v>
      </c>
      <c r="K11" s="110" t="str">
        <f ca="1">'Tabla VII.1.'!$B$10</f>
        <v>Tabla VII.1.</v>
      </c>
      <c r="L11" s="110" t="str">
        <f t="shared" si="4"/>
        <v>A.1</v>
      </c>
      <c r="M11" s="458"/>
    </row>
    <row r="12" spans="1:13" ht="15.75">
      <c r="A12" s="107" t="s">
        <v>3450</v>
      </c>
      <c r="B12" s="107" t="str">
        <f t="shared" si="0"/>
        <v>202503</v>
      </c>
      <c r="C12" s="107" t="s">
        <v>2945</v>
      </c>
      <c r="D12" s="399" t="str">
        <f ca="1">OFFSET('Tabla VII.1.'!$G$14,I12-1,0)</f>
        <v>01.01.01.10.</v>
      </c>
      <c r="E12" s="107">
        <f t="shared" si="1"/>
        <v>0</v>
      </c>
      <c r="F12" s="459" t="str">
        <f ca="1">VLOOKUP(OFFSET('Tabla VII.1.'!$G$14,I12-1,1),TABPAIS,2,FALSE)</f>
        <v>00</v>
      </c>
      <c r="G12" s="108">
        <f ca="1">OFFSET('Tabla VII.1.'!$I$14,I12-1,J12-1)</f>
        <v>0</v>
      </c>
      <c r="H12" s="107" t="str">
        <f ca="1">OFFSET('Tabla VII.1.'!$I$1,0,J12-1)</f>
        <v>01</v>
      </c>
      <c r="I12" s="110">
        <f t="shared" si="2"/>
        <v>11</v>
      </c>
      <c r="J12" s="110">
        <f t="shared" si="3"/>
        <v>1</v>
      </c>
      <c r="K12" s="110" t="str">
        <f ca="1">'Tabla VII.1.'!$B$10</f>
        <v>Tabla VII.1.</v>
      </c>
      <c r="L12" s="110" t="str">
        <f t="shared" si="4"/>
        <v>A.1</v>
      </c>
      <c r="M12" s="458"/>
    </row>
    <row r="13" spans="1:13" ht="15.75">
      <c r="A13" s="107" t="s">
        <v>3450</v>
      </c>
      <c r="B13" s="107" t="str">
        <f t="shared" si="0"/>
        <v>202503</v>
      </c>
      <c r="C13" s="107" t="s">
        <v>2945</v>
      </c>
      <c r="D13" s="399" t="str">
        <f ca="1">OFFSET('Tabla VII.1.'!$G$14,I13-1,0)</f>
        <v>01.01.01.11.</v>
      </c>
      <c r="E13" s="107">
        <f t="shared" si="1"/>
        <v>0</v>
      </c>
      <c r="F13" s="459" t="str">
        <f ca="1">VLOOKUP(OFFSET('Tabla VII.1.'!$G$14,I13-1,1),TABPAIS,2,FALSE)</f>
        <v>zzz</v>
      </c>
      <c r="G13" s="108">
        <f ca="1">OFFSET('Tabla VII.1.'!$I$14,I13-1,J13-1)</f>
        <v>0</v>
      </c>
      <c r="H13" s="107" t="str">
        <f ca="1">OFFSET('Tabla VII.1.'!$I$1,0,J13-1)</f>
        <v>01</v>
      </c>
      <c r="I13" s="110">
        <f t="shared" ref="I13:I25" si="5">+I12+1</f>
        <v>12</v>
      </c>
      <c r="J13" s="110">
        <f t="shared" si="3"/>
        <v>1</v>
      </c>
      <c r="K13" s="110" t="str">
        <f ca="1">'Tabla VII.1.'!$B$10</f>
        <v>Tabla VII.1.</v>
      </c>
      <c r="L13" s="110" t="str">
        <f t="shared" si="4"/>
        <v>A.1</v>
      </c>
      <c r="M13" s="458"/>
    </row>
    <row r="14" spans="1:13" ht="15.75">
      <c r="A14" s="412" t="s">
        <v>3450</v>
      </c>
      <c r="B14" s="412" t="str">
        <f t="shared" si="0"/>
        <v>202503</v>
      </c>
      <c r="C14" s="412" t="s">
        <v>2945</v>
      </c>
      <c r="D14" s="413" t="str">
        <f ca="1">OFFSET('Tabla VII.1.'!$G$14,I14-1,0)</f>
        <v>01.01.02.</v>
      </c>
      <c r="E14" s="412">
        <f t="shared" si="1"/>
        <v>0</v>
      </c>
      <c r="F14" s="463" t="s">
        <v>3451</v>
      </c>
      <c r="G14" s="414">
        <f ca="1">OFFSET('Tabla VII.1.'!$I$14,I14-1,J14-1)</f>
        <v>0</v>
      </c>
      <c r="H14" s="412" t="str">
        <f ca="1">OFFSET('Tabla VII.1.'!$I$1,0,J14-1)</f>
        <v>01</v>
      </c>
      <c r="I14" s="111">
        <f t="shared" si="5"/>
        <v>13</v>
      </c>
      <c r="J14" s="111">
        <v>1</v>
      </c>
      <c r="K14" s="111" t="str">
        <f ca="1">'Tabla VII.1.'!$B$10</f>
        <v>Tabla VII.1.</v>
      </c>
      <c r="L14" s="111" t="s">
        <v>2937</v>
      </c>
      <c r="M14" s="111">
        <f>+M2+1</f>
        <v>2</v>
      </c>
    </row>
    <row r="15" spans="1:13" ht="15.75">
      <c r="A15" s="412" t="s">
        <v>3450</v>
      </c>
      <c r="B15" s="412" t="str">
        <f t="shared" si="0"/>
        <v>202503</v>
      </c>
      <c r="C15" s="412" t="s">
        <v>2945</v>
      </c>
      <c r="D15" s="413" t="str">
        <f ca="1">OFFSET('Tabla VII.1.'!$G$14,I15-1,0)</f>
        <v>01.01.02.01.</v>
      </c>
      <c r="E15" s="412">
        <f t="shared" si="1"/>
        <v>0</v>
      </c>
      <c r="F15" s="464" t="str">
        <f ca="1">VLOOKUP(OFFSET('Tabla VII.1.'!$G$14,I15-1,1),TABPAIS,2,FALSE)</f>
        <v>00</v>
      </c>
      <c r="G15" s="414">
        <f ca="1">OFFSET('Tabla VII.1.'!$I$14,I15-1,J15-1)</f>
        <v>0</v>
      </c>
      <c r="H15" s="412" t="str">
        <f ca="1">OFFSET('Tabla VII.1.'!$I$1,0,J15-1)</f>
        <v>01</v>
      </c>
      <c r="I15" s="111">
        <f t="shared" si="5"/>
        <v>14</v>
      </c>
      <c r="J15" s="111">
        <f t="shared" ref="J15:J25" si="6">+J14</f>
        <v>1</v>
      </c>
      <c r="K15" s="111" t="str">
        <f ca="1">'Tabla VII.1.'!$B$10</f>
        <v>Tabla VII.1.</v>
      </c>
      <c r="L15" s="111" t="str">
        <f>+L14</f>
        <v>A.1</v>
      </c>
    </row>
    <row r="16" spans="1:13" ht="15.75">
      <c r="A16" s="412" t="s">
        <v>3450</v>
      </c>
      <c r="B16" s="412" t="str">
        <f t="shared" si="0"/>
        <v>202503</v>
      </c>
      <c r="C16" s="412" t="s">
        <v>2945</v>
      </c>
      <c r="D16" s="413" t="str">
        <f ca="1">OFFSET('Tabla VII.1.'!$G$14,I16-1,0)</f>
        <v>01.01.02.02.</v>
      </c>
      <c r="E16" s="412">
        <f t="shared" si="1"/>
        <v>0</v>
      </c>
      <c r="F16" s="464" t="str">
        <f ca="1">VLOOKUP(OFFSET('Tabla VII.1.'!$G$14,I16-1,1),TABPAIS,2,FALSE)</f>
        <v>00</v>
      </c>
      <c r="G16" s="414">
        <f ca="1">OFFSET('Tabla VII.1.'!$I$14,I16-1,J16-1)</f>
        <v>0</v>
      </c>
      <c r="H16" s="412" t="str">
        <f ca="1">OFFSET('Tabla VII.1.'!$I$1,0,J16-1)</f>
        <v>01</v>
      </c>
      <c r="I16" s="111">
        <f t="shared" si="5"/>
        <v>15</v>
      </c>
      <c r="J16" s="111">
        <f t="shared" si="6"/>
        <v>1</v>
      </c>
      <c r="K16" s="111" t="str">
        <f ca="1">'Tabla VII.1.'!$B$10</f>
        <v>Tabla VII.1.</v>
      </c>
      <c r="L16" s="111" t="str">
        <f>+L15</f>
        <v>A.1</v>
      </c>
    </row>
    <row r="17" spans="1:13" ht="15.75">
      <c r="A17" s="412" t="s">
        <v>3450</v>
      </c>
      <c r="B17" s="412" t="str">
        <f t="shared" si="0"/>
        <v>202503</v>
      </c>
      <c r="C17" s="412" t="s">
        <v>2945</v>
      </c>
      <c r="D17" s="413" t="str">
        <f ca="1">OFFSET('Tabla VII.1.'!$G$14,I17-1,0)</f>
        <v>01.01.02.03.</v>
      </c>
      <c r="E17" s="412">
        <f t="shared" si="1"/>
        <v>0</v>
      </c>
      <c r="F17" s="464" t="str">
        <f ca="1">VLOOKUP(OFFSET('Tabla VII.1.'!$G$14,I17-1,1),TABPAIS,2,FALSE)</f>
        <v>00</v>
      </c>
      <c r="G17" s="414">
        <f ca="1">OFFSET('Tabla VII.1.'!$I$14,I17-1,J17-1)</f>
        <v>0</v>
      </c>
      <c r="H17" s="412" t="str">
        <f ca="1">OFFSET('Tabla VII.1.'!$I$1,0,J17-1)</f>
        <v>01</v>
      </c>
      <c r="I17" s="111">
        <f t="shared" si="5"/>
        <v>16</v>
      </c>
      <c r="J17" s="111">
        <f t="shared" si="6"/>
        <v>1</v>
      </c>
      <c r="K17" s="111" t="str">
        <f ca="1">'Tabla VII.1.'!$B$10</f>
        <v>Tabla VII.1.</v>
      </c>
      <c r="L17" s="111" t="str">
        <f t="shared" ref="L17:L25" si="7">+L16</f>
        <v>A.1</v>
      </c>
    </row>
    <row r="18" spans="1:13" ht="15.75">
      <c r="A18" s="412" t="s">
        <v>3450</v>
      </c>
      <c r="B18" s="412" t="str">
        <f t="shared" si="0"/>
        <v>202503</v>
      </c>
      <c r="C18" s="412" t="s">
        <v>2945</v>
      </c>
      <c r="D18" s="413" t="str">
        <f ca="1">OFFSET('Tabla VII.1.'!$G$14,I18-1,0)</f>
        <v>01.01.02.04.</v>
      </c>
      <c r="E18" s="412">
        <f t="shared" si="1"/>
        <v>0</v>
      </c>
      <c r="F18" s="464" t="str">
        <f ca="1">VLOOKUP(OFFSET('Tabla VII.1.'!$G$14,I18-1,1),TABPAIS,2,FALSE)</f>
        <v>00</v>
      </c>
      <c r="G18" s="414">
        <f ca="1">OFFSET('Tabla VII.1.'!$I$14,I18-1,J18-1)</f>
        <v>0</v>
      </c>
      <c r="H18" s="412" t="str">
        <f ca="1">OFFSET('Tabla VII.1.'!$I$1,0,J18-1)</f>
        <v>01</v>
      </c>
      <c r="I18" s="111">
        <f t="shared" si="5"/>
        <v>17</v>
      </c>
      <c r="J18" s="111">
        <f t="shared" si="6"/>
        <v>1</v>
      </c>
      <c r="K18" s="111" t="str">
        <f ca="1">'Tabla VII.1.'!$B$10</f>
        <v>Tabla VII.1.</v>
      </c>
      <c r="L18" s="111" t="str">
        <f t="shared" si="7"/>
        <v>A.1</v>
      </c>
    </row>
    <row r="19" spans="1:13" ht="15.75">
      <c r="A19" s="412" t="s">
        <v>3450</v>
      </c>
      <c r="B19" s="412" t="str">
        <f t="shared" si="0"/>
        <v>202503</v>
      </c>
      <c r="C19" s="412" t="s">
        <v>2945</v>
      </c>
      <c r="D19" s="413" t="str">
        <f ca="1">OFFSET('Tabla VII.1.'!$G$14,I19-1,0)</f>
        <v>01.01.02.05.</v>
      </c>
      <c r="E19" s="412">
        <f t="shared" si="1"/>
        <v>0</v>
      </c>
      <c r="F19" s="464" t="str">
        <f ca="1">VLOOKUP(OFFSET('Tabla VII.1.'!$G$14,I19-1,1),TABPAIS,2,FALSE)</f>
        <v>00</v>
      </c>
      <c r="G19" s="414">
        <f ca="1">OFFSET('Tabla VII.1.'!$I$14,I19-1,J19-1)</f>
        <v>0</v>
      </c>
      <c r="H19" s="412" t="str">
        <f ca="1">OFFSET('Tabla VII.1.'!$I$1,0,J19-1)</f>
        <v>01</v>
      </c>
      <c r="I19" s="111">
        <f t="shared" si="5"/>
        <v>18</v>
      </c>
      <c r="J19" s="111">
        <f t="shared" si="6"/>
        <v>1</v>
      </c>
      <c r="K19" s="111" t="str">
        <f ca="1">'Tabla VII.1.'!$B$10</f>
        <v>Tabla VII.1.</v>
      </c>
      <c r="L19" s="111" t="str">
        <f t="shared" si="7"/>
        <v>A.1</v>
      </c>
    </row>
    <row r="20" spans="1:13" ht="15.75">
      <c r="A20" s="412" t="s">
        <v>3450</v>
      </c>
      <c r="B20" s="412" t="str">
        <f t="shared" si="0"/>
        <v>202503</v>
      </c>
      <c r="C20" s="412" t="s">
        <v>2945</v>
      </c>
      <c r="D20" s="413" t="str">
        <f ca="1">OFFSET('Tabla VII.1.'!$G$14,I20-1,0)</f>
        <v>01.01.02.06.</v>
      </c>
      <c r="E20" s="412">
        <f t="shared" si="1"/>
        <v>0</v>
      </c>
      <c r="F20" s="464" t="str">
        <f ca="1">VLOOKUP(OFFSET('Tabla VII.1.'!$G$14,I20-1,1),TABPAIS,2,FALSE)</f>
        <v>00</v>
      </c>
      <c r="G20" s="414">
        <f ca="1">OFFSET('Tabla VII.1.'!$I$14,I20-1,J20-1)</f>
        <v>0</v>
      </c>
      <c r="H20" s="412" t="str">
        <f ca="1">OFFSET('Tabla VII.1.'!$I$1,0,J20-1)</f>
        <v>01</v>
      </c>
      <c r="I20" s="111">
        <f t="shared" si="5"/>
        <v>19</v>
      </c>
      <c r="J20" s="111">
        <f t="shared" si="6"/>
        <v>1</v>
      </c>
      <c r="K20" s="111" t="str">
        <f ca="1">'Tabla VII.1.'!$B$10</f>
        <v>Tabla VII.1.</v>
      </c>
      <c r="L20" s="111" t="str">
        <f t="shared" si="7"/>
        <v>A.1</v>
      </c>
    </row>
    <row r="21" spans="1:13" ht="15.75">
      <c r="A21" s="412" t="s">
        <v>3450</v>
      </c>
      <c r="B21" s="412" t="str">
        <f t="shared" si="0"/>
        <v>202503</v>
      </c>
      <c r="C21" s="412" t="s">
        <v>2945</v>
      </c>
      <c r="D21" s="413" t="str">
        <f ca="1">OFFSET('Tabla VII.1.'!$G$14,I21-1,0)</f>
        <v>01.01.02.07.</v>
      </c>
      <c r="E21" s="412">
        <f t="shared" si="1"/>
        <v>0</v>
      </c>
      <c r="F21" s="464" t="str">
        <f ca="1">VLOOKUP(OFFSET('Tabla VII.1.'!$G$14,I21-1,1),TABPAIS,2,FALSE)</f>
        <v>00</v>
      </c>
      <c r="G21" s="414">
        <f ca="1">OFFSET('Tabla VII.1.'!$I$14,I21-1,J21-1)</f>
        <v>0</v>
      </c>
      <c r="H21" s="412" t="str">
        <f ca="1">OFFSET('Tabla VII.1.'!$I$1,0,J21-1)</f>
        <v>01</v>
      </c>
      <c r="I21" s="111">
        <f t="shared" si="5"/>
        <v>20</v>
      </c>
      <c r="J21" s="111">
        <f t="shared" si="6"/>
        <v>1</v>
      </c>
      <c r="K21" s="111" t="str">
        <f ca="1">'Tabla VII.1.'!$B$10</f>
        <v>Tabla VII.1.</v>
      </c>
      <c r="L21" s="111" t="str">
        <f t="shared" si="7"/>
        <v>A.1</v>
      </c>
    </row>
    <row r="22" spans="1:13" ht="15.75">
      <c r="A22" s="412" t="s">
        <v>3450</v>
      </c>
      <c r="B22" s="412" t="str">
        <f t="shared" si="0"/>
        <v>202503</v>
      </c>
      <c r="C22" s="412" t="s">
        <v>2945</v>
      </c>
      <c r="D22" s="413" t="str">
        <f ca="1">OFFSET('Tabla VII.1.'!$G$14,I22-1,0)</f>
        <v>01.01.02.08.</v>
      </c>
      <c r="E22" s="412">
        <f t="shared" si="1"/>
        <v>0</v>
      </c>
      <c r="F22" s="464" t="str">
        <f ca="1">VLOOKUP(OFFSET('Tabla VII.1.'!$G$14,I22-1,1),TABPAIS,2,FALSE)</f>
        <v>00</v>
      </c>
      <c r="G22" s="414">
        <f ca="1">OFFSET('Tabla VII.1.'!$I$14,I22-1,J22-1)</f>
        <v>0</v>
      </c>
      <c r="H22" s="412" t="str">
        <f ca="1">OFFSET('Tabla VII.1.'!$I$1,0,J22-1)</f>
        <v>01</v>
      </c>
      <c r="I22" s="111">
        <f t="shared" si="5"/>
        <v>21</v>
      </c>
      <c r="J22" s="111">
        <f t="shared" si="6"/>
        <v>1</v>
      </c>
      <c r="K22" s="111" t="str">
        <f ca="1">'Tabla VII.1.'!$B$10</f>
        <v>Tabla VII.1.</v>
      </c>
      <c r="L22" s="111" t="str">
        <f t="shared" si="7"/>
        <v>A.1</v>
      </c>
    </row>
    <row r="23" spans="1:13" ht="15.75">
      <c r="A23" s="412" t="s">
        <v>3450</v>
      </c>
      <c r="B23" s="412" t="str">
        <f t="shared" si="0"/>
        <v>202503</v>
      </c>
      <c r="C23" s="412" t="s">
        <v>2945</v>
      </c>
      <c r="D23" s="413" t="str">
        <f ca="1">OFFSET('Tabla VII.1.'!$G$14,I23-1,0)</f>
        <v>01.01.02.09.</v>
      </c>
      <c r="E23" s="412">
        <f t="shared" si="1"/>
        <v>0</v>
      </c>
      <c r="F23" s="464" t="str">
        <f ca="1">VLOOKUP(OFFSET('Tabla VII.1.'!$G$14,I23-1,1),TABPAIS,2,FALSE)</f>
        <v>00</v>
      </c>
      <c r="G23" s="414">
        <f ca="1">OFFSET('Tabla VII.1.'!$I$14,I23-1,J23-1)</f>
        <v>0</v>
      </c>
      <c r="H23" s="412" t="str">
        <f ca="1">OFFSET('Tabla VII.1.'!$I$1,0,J23-1)</f>
        <v>01</v>
      </c>
      <c r="I23" s="111">
        <f t="shared" si="5"/>
        <v>22</v>
      </c>
      <c r="J23" s="111">
        <f t="shared" si="6"/>
        <v>1</v>
      </c>
      <c r="K23" s="111" t="str">
        <f ca="1">'Tabla VII.1.'!$B$10</f>
        <v>Tabla VII.1.</v>
      </c>
      <c r="L23" s="111" t="str">
        <f t="shared" si="7"/>
        <v>A.1</v>
      </c>
    </row>
    <row r="24" spans="1:13" ht="15.75">
      <c r="A24" s="412" t="s">
        <v>3450</v>
      </c>
      <c r="B24" s="412" t="str">
        <f t="shared" si="0"/>
        <v>202503</v>
      </c>
      <c r="C24" s="412" t="s">
        <v>2945</v>
      </c>
      <c r="D24" s="413" t="str">
        <f ca="1">OFFSET('Tabla VII.1.'!$G$14,I24-1,0)</f>
        <v>01.01.02.10.</v>
      </c>
      <c r="E24" s="412">
        <f t="shared" si="1"/>
        <v>0</v>
      </c>
      <c r="F24" s="464" t="str">
        <f ca="1">VLOOKUP(OFFSET('Tabla VII.1.'!$G$14,I24-1,1),TABPAIS,2,FALSE)</f>
        <v>00</v>
      </c>
      <c r="G24" s="414">
        <f ca="1">OFFSET('Tabla VII.1.'!$I$14,I24-1,J24-1)</f>
        <v>0</v>
      </c>
      <c r="H24" s="412" t="str">
        <f ca="1">OFFSET('Tabla VII.1.'!$I$1,0,J24-1)</f>
        <v>01</v>
      </c>
      <c r="I24" s="111">
        <f t="shared" si="5"/>
        <v>23</v>
      </c>
      <c r="J24" s="111">
        <f t="shared" si="6"/>
        <v>1</v>
      </c>
      <c r="K24" s="111" t="str">
        <f ca="1">'Tabla VII.1.'!$B$10</f>
        <v>Tabla VII.1.</v>
      </c>
      <c r="L24" s="111" t="str">
        <f t="shared" si="7"/>
        <v>A.1</v>
      </c>
    </row>
    <row r="25" spans="1:13" ht="15.75">
      <c r="A25" s="412" t="s">
        <v>3450</v>
      </c>
      <c r="B25" s="412" t="str">
        <f t="shared" si="0"/>
        <v>202503</v>
      </c>
      <c r="C25" s="412" t="s">
        <v>2945</v>
      </c>
      <c r="D25" s="413" t="str">
        <f ca="1">OFFSET('Tabla VII.1.'!$G$14,I25-1,0)</f>
        <v>01.01.02.11.</v>
      </c>
      <c r="E25" s="412">
        <f t="shared" si="1"/>
        <v>0</v>
      </c>
      <c r="F25" s="464" t="str">
        <f ca="1">VLOOKUP(OFFSET('Tabla VII.1.'!$G$14,I25-1,1),TABPAIS,2,FALSE)</f>
        <v>zzz</v>
      </c>
      <c r="G25" s="414">
        <f ca="1">OFFSET('Tabla VII.1.'!$I$14,I25-1,J25-1)</f>
        <v>0</v>
      </c>
      <c r="H25" s="412" t="str">
        <f ca="1">OFFSET('Tabla VII.1.'!$I$1,0,J25-1)</f>
        <v>01</v>
      </c>
      <c r="I25" s="111">
        <f t="shared" si="5"/>
        <v>24</v>
      </c>
      <c r="J25" s="111">
        <f t="shared" si="6"/>
        <v>1</v>
      </c>
      <c r="K25" s="111" t="str">
        <f ca="1">'Tabla VII.1.'!$B$10</f>
        <v>Tabla VII.1.</v>
      </c>
      <c r="L25" s="111" t="str">
        <f t="shared" si="7"/>
        <v>A.1</v>
      </c>
    </row>
    <row r="26" spans="1:13" ht="15.75">
      <c r="A26" s="107" t="s">
        <v>3450</v>
      </c>
      <c r="B26" s="107" t="str">
        <f t="shared" si="0"/>
        <v>202503</v>
      </c>
      <c r="C26" s="107" t="s">
        <v>2945</v>
      </c>
      <c r="D26" s="399" t="str">
        <f ca="1">OFFSET('Tabla VII.1.'!$G$14,I26-1,0)</f>
        <v>01.01.03.</v>
      </c>
      <c r="E26" s="107">
        <f t="shared" si="1"/>
        <v>0</v>
      </c>
      <c r="F26" s="462" t="s">
        <v>3451</v>
      </c>
      <c r="G26" s="108">
        <f ca="1">OFFSET('Tabla VII.1.'!$I$14,I26-1,J26-1)</f>
        <v>0</v>
      </c>
      <c r="H26" s="107" t="str">
        <f ca="1">OFFSET('Tabla VII.1.'!$I$1,0,J26-1)</f>
        <v>01</v>
      </c>
      <c r="I26" s="110">
        <f t="shared" ref="I26:I49" si="8">+I25+1</f>
        <v>25</v>
      </c>
      <c r="J26" s="110">
        <v>1</v>
      </c>
      <c r="K26" s="110" t="str">
        <f ca="1">'Tabla VII.1.'!$B$10</f>
        <v>Tabla VII.1.</v>
      </c>
      <c r="L26" s="110" t="s">
        <v>2937</v>
      </c>
      <c r="M26" s="107">
        <f>+M14+1</f>
        <v>3</v>
      </c>
    </row>
    <row r="27" spans="1:13" ht="15.75">
      <c r="A27" s="107" t="s">
        <v>3450</v>
      </c>
      <c r="B27" s="107" t="str">
        <f t="shared" si="0"/>
        <v>202503</v>
      </c>
      <c r="C27" s="107" t="s">
        <v>2945</v>
      </c>
      <c r="D27" s="399" t="str">
        <f ca="1">OFFSET('Tabla VII.1.'!$G$14,I27-1,0)</f>
        <v>01.01.03.01.</v>
      </c>
      <c r="E27" s="107">
        <f t="shared" si="1"/>
        <v>0</v>
      </c>
      <c r="F27" s="459" t="str">
        <f ca="1">VLOOKUP(OFFSET('Tabla VII.1.'!$G$14,I27-1,1),TABPAIS,2,FALSE)</f>
        <v>00</v>
      </c>
      <c r="G27" s="108">
        <f ca="1">OFFSET('Tabla VII.1.'!$I$14,I27-1,J27-1)</f>
        <v>0</v>
      </c>
      <c r="H27" s="107" t="str">
        <f ca="1">OFFSET('Tabla VII.1.'!$I$1,0,J27-1)</f>
        <v>01</v>
      </c>
      <c r="I27" s="110">
        <f t="shared" si="8"/>
        <v>26</v>
      </c>
      <c r="J27" s="110">
        <f t="shared" ref="J27:J37" si="9">+J26</f>
        <v>1</v>
      </c>
      <c r="K27" s="110" t="str">
        <f ca="1">'Tabla VII.1.'!$B$10</f>
        <v>Tabla VII.1.</v>
      </c>
      <c r="L27" s="110" t="str">
        <f>+L26</f>
        <v>A.1</v>
      </c>
      <c r="M27" s="107"/>
    </row>
    <row r="28" spans="1:13" ht="15.75">
      <c r="A28" s="107" t="s">
        <v>3450</v>
      </c>
      <c r="B28" s="107" t="str">
        <f t="shared" si="0"/>
        <v>202503</v>
      </c>
      <c r="C28" s="107" t="s">
        <v>2945</v>
      </c>
      <c r="D28" s="399" t="str">
        <f ca="1">OFFSET('Tabla VII.1.'!$G$14,I28-1,0)</f>
        <v>01.01.03.02.</v>
      </c>
      <c r="E28" s="107">
        <f t="shared" si="1"/>
        <v>0</v>
      </c>
      <c r="F28" s="459" t="str">
        <f ca="1">VLOOKUP(OFFSET('Tabla VII.1.'!$G$14,I28-1,1),TABPAIS,2,FALSE)</f>
        <v>00</v>
      </c>
      <c r="G28" s="108">
        <f ca="1">OFFSET('Tabla VII.1.'!$I$14,I28-1,J28-1)</f>
        <v>0</v>
      </c>
      <c r="H28" s="107" t="str">
        <f ca="1">OFFSET('Tabla VII.1.'!$I$1,0,J28-1)</f>
        <v>01</v>
      </c>
      <c r="I28" s="110">
        <f t="shared" si="8"/>
        <v>27</v>
      </c>
      <c r="J28" s="110">
        <f t="shared" si="9"/>
        <v>1</v>
      </c>
      <c r="K28" s="110" t="str">
        <f ca="1">'Tabla VII.1.'!$B$10</f>
        <v>Tabla VII.1.</v>
      </c>
      <c r="L28" s="110" t="str">
        <f>+L27</f>
        <v>A.1</v>
      </c>
      <c r="M28" s="107"/>
    </row>
    <row r="29" spans="1:13" ht="15.75">
      <c r="A29" s="107" t="s">
        <v>3450</v>
      </c>
      <c r="B29" s="107" t="str">
        <f t="shared" si="0"/>
        <v>202503</v>
      </c>
      <c r="C29" s="107" t="s">
        <v>2945</v>
      </c>
      <c r="D29" s="399" t="str">
        <f ca="1">OFFSET('Tabla VII.1.'!$G$14,I29-1,0)</f>
        <v>01.01.03.03.</v>
      </c>
      <c r="E29" s="107">
        <f t="shared" si="1"/>
        <v>0</v>
      </c>
      <c r="F29" s="459" t="str">
        <f ca="1">VLOOKUP(OFFSET('Tabla VII.1.'!$G$14,I29-1,1),TABPAIS,2,FALSE)</f>
        <v>00</v>
      </c>
      <c r="G29" s="108">
        <f ca="1">OFFSET('Tabla VII.1.'!$I$14,I29-1,J29-1)</f>
        <v>0</v>
      </c>
      <c r="H29" s="107" t="str">
        <f ca="1">OFFSET('Tabla VII.1.'!$I$1,0,J29-1)</f>
        <v>01</v>
      </c>
      <c r="I29" s="110">
        <f t="shared" si="8"/>
        <v>28</v>
      </c>
      <c r="J29" s="110">
        <f t="shared" si="9"/>
        <v>1</v>
      </c>
      <c r="K29" s="110" t="str">
        <f ca="1">'Tabla VII.1.'!$B$10</f>
        <v>Tabla VII.1.</v>
      </c>
      <c r="L29" s="110" t="str">
        <f t="shared" ref="L29:L37" si="10">+L28</f>
        <v>A.1</v>
      </c>
      <c r="M29" s="107"/>
    </row>
    <row r="30" spans="1:13" ht="15.75">
      <c r="A30" s="107" t="s">
        <v>3450</v>
      </c>
      <c r="B30" s="107" t="str">
        <f t="shared" si="0"/>
        <v>202503</v>
      </c>
      <c r="C30" s="107" t="s">
        <v>2945</v>
      </c>
      <c r="D30" s="399" t="str">
        <f ca="1">OFFSET('Tabla VII.1.'!$G$14,I30-1,0)</f>
        <v>01.01.03.04.</v>
      </c>
      <c r="E30" s="107">
        <f t="shared" si="1"/>
        <v>0</v>
      </c>
      <c r="F30" s="459" t="str">
        <f ca="1">VLOOKUP(OFFSET('Tabla VII.1.'!$G$14,I30-1,1),TABPAIS,2,FALSE)</f>
        <v>00</v>
      </c>
      <c r="G30" s="108">
        <f ca="1">OFFSET('Tabla VII.1.'!$I$14,I30-1,J30-1)</f>
        <v>0</v>
      </c>
      <c r="H30" s="107" t="str">
        <f ca="1">OFFSET('Tabla VII.1.'!$I$1,0,J30-1)</f>
        <v>01</v>
      </c>
      <c r="I30" s="110">
        <f t="shared" si="8"/>
        <v>29</v>
      </c>
      <c r="J30" s="110">
        <f t="shared" si="9"/>
        <v>1</v>
      </c>
      <c r="K30" s="110" t="str">
        <f ca="1">'Tabla VII.1.'!$B$10</f>
        <v>Tabla VII.1.</v>
      </c>
      <c r="L30" s="110" t="str">
        <f t="shared" si="10"/>
        <v>A.1</v>
      </c>
      <c r="M30" s="107"/>
    </row>
    <row r="31" spans="1:13" ht="15.75">
      <c r="A31" s="107" t="s">
        <v>3450</v>
      </c>
      <c r="B31" s="107" t="str">
        <f t="shared" si="0"/>
        <v>202503</v>
      </c>
      <c r="C31" s="107" t="s">
        <v>2945</v>
      </c>
      <c r="D31" s="399" t="str">
        <f ca="1">OFFSET('Tabla VII.1.'!$G$14,I31-1,0)</f>
        <v>01.01.03.05.</v>
      </c>
      <c r="E31" s="107">
        <f t="shared" si="1"/>
        <v>0</v>
      </c>
      <c r="F31" s="459" t="str">
        <f ca="1">VLOOKUP(OFFSET('Tabla VII.1.'!$G$14,I31-1,1),TABPAIS,2,FALSE)</f>
        <v>00</v>
      </c>
      <c r="G31" s="108">
        <f ca="1">OFFSET('Tabla VII.1.'!$I$14,I31-1,J31-1)</f>
        <v>0</v>
      </c>
      <c r="H31" s="107" t="str">
        <f ca="1">OFFSET('Tabla VII.1.'!$I$1,0,J31-1)</f>
        <v>01</v>
      </c>
      <c r="I31" s="110">
        <f t="shared" si="8"/>
        <v>30</v>
      </c>
      <c r="J31" s="110">
        <f t="shared" si="9"/>
        <v>1</v>
      </c>
      <c r="K31" s="110" t="str">
        <f ca="1">'Tabla VII.1.'!$B$10</f>
        <v>Tabla VII.1.</v>
      </c>
      <c r="L31" s="110" t="str">
        <f t="shared" si="10"/>
        <v>A.1</v>
      </c>
      <c r="M31" s="107"/>
    </row>
    <row r="32" spans="1:13" ht="15.75">
      <c r="A32" s="107" t="s">
        <v>3450</v>
      </c>
      <c r="B32" s="107" t="str">
        <f t="shared" si="0"/>
        <v>202503</v>
      </c>
      <c r="C32" s="107" t="s">
        <v>2945</v>
      </c>
      <c r="D32" s="399" t="str">
        <f ca="1">OFFSET('Tabla VII.1.'!$G$14,I32-1,0)</f>
        <v>01.01.03.06.</v>
      </c>
      <c r="E32" s="107">
        <f t="shared" si="1"/>
        <v>0</v>
      </c>
      <c r="F32" s="459" t="str">
        <f ca="1">VLOOKUP(OFFSET('Tabla VII.1.'!$G$14,I32-1,1),TABPAIS,2,FALSE)</f>
        <v>00</v>
      </c>
      <c r="G32" s="108">
        <f ca="1">OFFSET('Tabla VII.1.'!$I$14,I32-1,J32-1)</f>
        <v>0</v>
      </c>
      <c r="H32" s="107" t="str">
        <f ca="1">OFFSET('Tabla VII.1.'!$I$1,0,J32-1)</f>
        <v>01</v>
      </c>
      <c r="I32" s="110">
        <f t="shared" si="8"/>
        <v>31</v>
      </c>
      <c r="J32" s="110">
        <f t="shared" si="9"/>
        <v>1</v>
      </c>
      <c r="K32" s="110" t="str">
        <f ca="1">'Tabla VII.1.'!$B$10</f>
        <v>Tabla VII.1.</v>
      </c>
      <c r="L32" s="110" t="str">
        <f t="shared" si="10"/>
        <v>A.1</v>
      </c>
      <c r="M32" s="107"/>
    </row>
    <row r="33" spans="1:13" ht="15.75">
      <c r="A33" s="107" t="s">
        <v>3450</v>
      </c>
      <c r="B33" s="107" t="str">
        <f t="shared" si="0"/>
        <v>202503</v>
      </c>
      <c r="C33" s="107" t="s">
        <v>2945</v>
      </c>
      <c r="D33" s="399" t="str">
        <f ca="1">OFFSET('Tabla VII.1.'!$G$14,I33-1,0)</f>
        <v>01.01.03.07.</v>
      </c>
      <c r="E33" s="107">
        <f t="shared" si="1"/>
        <v>0</v>
      </c>
      <c r="F33" s="459" t="str">
        <f ca="1">VLOOKUP(OFFSET('Tabla VII.1.'!$G$14,I33-1,1),TABPAIS,2,FALSE)</f>
        <v>00</v>
      </c>
      <c r="G33" s="108">
        <f ca="1">OFFSET('Tabla VII.1.'!$I$14,I33-1,J33-1)</f>
        <v>0</v>
      </c>
      <c r="H33" s="107" t="str">
        <f ca="1">OFFSET('Tabla VII.1.'!$I$1,0,J33-1)</f>
        <v>01</v>
      </c>
      <c r="I33" s="110">
        <f t="shared" si="8"/>
        <v>32</v>
      </c>
      <c r="J33" s="110">
        <f t="shared" si="9"/>
        <v>1</v>
      </c>
      <c r="K33" s="110" t="str">
        <f ca="1">'Tabla VII.1.'!$B$10</f>
        <v>Tabla VII.1.</v>
      </c>
      <c r="L33" s="110" t="str">
        <f t="shared" si="10"/>
        <v>A.1</v>
      </c>
      <c r="M33" s="458"/>
    </row>
    <row r="34" spans="1:13" ht="15.75">
      <c r="A34" s="107" t="s">
        <v>3450</v>
      </c>
      <c r="B34" s="107" t="str">
        <f t="shared" si="0"/>
        <v>202503</v>
      </c>
      <c r="C34" s="107" t="s">
        <v>2945</v>
      </c>
      <c r="D34" s="399" t="str">
        <f ca="1">OFFSET('Tabla VII.1.'!$G$14,I34-1,0)</f>
        <v>01.01.03.08.</v>
      </c>
      <c r="E34" s="107">
        <f t="shared" si="1"/>
        <v>0</v>
      </c>
      <c r="F34" s="459" t="str">
        <f ca="1">VLOOKUP(OFFSET('Tabla VII.1.'!$G$14,I34-1,1),TABPAIS,2,FALSE)</f>
        <v>00</v>
      </c>
      <c r="G34" s="108">
        <f ca="1">OFFSET('Tabla VII.1.'!$I$14,I34-1,J34-1)</f>
        <v>0</v>
      </c>
      <c r="H34" s="107" t="str">
        <f ca="1">OFFSET('Tabla VII.1.'!$I$1,0,J34-1)</f>
        <v>01</v>
      </c>
      <c r="I34" s="110">
        <f t="shared" si="8"/>
        <v>33</v>
      </c>
      <c r="J34" s="110">
        <f t="shared" si="9"/>
        <v>1</v>
      </c>
      <c r="K34" s="110" t="str">
        <f ca="1">'Tabla VII.1.'!$B$10</f>
        <v>Tabla VII.1.</v>
      </c>
      <c r="L34" s="110" t="str">
        <f t="shared" si="10"/>
        <v>A.1</v>
      </c>
      <c r="M34" s="458"/>
    </row>
    <row r="35" spans="1:13" ht="15.75">
      <c r="A35" s="107" t="s">
        <v>3450</v>
      </c>
      <c r="B35" s="107" t="str">
        <f t="shared" si="0"/>
        <v>202503</v>
      </c>
      <c r="C35" s="107" t="s">
        <v>2945</v>
      </c>
      <c r="D35" s="399" t="str">
        <f ca="1">OFFSET('Tabla VII.1.'!$G$14,I35-1,0)</f>
        <v>01.01.03.09.</v>
      </c>
      <c r="E35" s="107">
        <f t="shared" si="1"/>
        <v>0</v>
      </c>
      <c r="F35" s="459" t="str">
        <f ca="1">VLOOKUP(OFFSET('Tabla VII.1.'!$G$14,I35-1,1),TABPAIS,2,FALSE)</f>
        <v>00</v>
      </c>
      <c r="G35" s="108">
        <f ca="1">OFFSET('Tabla VII.1.'!$I$14,I35-1,J35-1)</f>
        <v>0</v>
      </c>
      <c r="H35" s="107" t="str">
        <f ca="1">OFFSET('Tabla VII.1.'!$I$1,0,J35-1)</f>
        <v>01</v>
      </c>
      <c r="I35" s="110">
        <f t="shared" si="8"/>
        <v>34</v>
      </c>
      <c r="J35" s="110">
        <f t="shared" si="9"/>
        <v>1</v>
      </c>
      <c r="K35" s="110" t="str">
        <f ca="1">'Tabla VII.1.'!$B$10</f>
        <v>Tabla VII.1.</v>
      </c>
      <c r="L35" s="110" t="str">
        <f t="shared" si="10"/>
        <v>A.1</v>
      </c>
      <c r="M35" s="458"/>
    </row>
    <row r="36" spans="1:13" ht="15.75">
      <c r="A36" s="107" t="s">
        <v>3450</v>
      </c>
      <c r="B36" s="107" t="str">
        <f t="shared" si="0"/>
        <v>202503</v>
      </c>
      <c r="C36" s="107" t="s">
        <v>2945</v>
      </c>
      <c r="D36" s="399" t="str">
        <f ca="1">OFFSET('Tabla VII.1.'!$G$14,I36-1,0)</f>
        <v>01.01.03.10.</v>
      </c>
      <c r="E36" s="107">
        <f t="shared" si="1"/>
        <v>0</v>
      </c>
      <c r="F36" s="459" t="str">
        <f ca="1">VLOOKUP(OFFSET('Tabla VII.1.'!$G$14,I36-1,1),TABPAIS,2,FALSE)</f>
        <v>00</v>
      </c>
      <c r="G36" s="108">
        <f ca="1">OFFSET('Tabla VII.1.'!$I$14,I36-1,J36-1)</f>
        <v>0</v>
      </c>
      <c r="H36" s="107" t="str">
        <f ca="1">OFFSET('Tabla VII.1.'!$I$1,0,J36-1)</f>
        <v>01</v>
      </c>
      <c r="I36" s="110">
        <f t="shared" si="8"/>
        <v>35</v>
      </c>
      <c r="J36" s="110">
        <f t="shared" si="9"/>
        <v>1</v>
      </c>
      <c r="K36" s="110" t="str">
        <f ca="1">'Tabla VII.1.'!$B$10</f>
        <v>Tabla VII.1.</v>
      </c>
      <c r="L36" s="110" t="str">
        <f t="shared" si="10"/>
        <v>A.1</v>
      </c>
      <c r="M36" s="458"/>
    </row>
    <row r="37" spans="1:13" ht="15.75">
      <c r="A37" s="107" t="s">
        <v>3450</v>
      </c>
      <c r="B37" s="107" t="str">
        <f t="shared" si="0"/>
        <v>202503</v>
      </c>
      <c r="C37" s="107" t="s">
        <v>2945</v>
      </c>
      <c r="D37" s="399" t="str">
        <f ca="1">OFFSET('Tabla VII.1.'!$G$14,I37-1,0)</f>
        <v>01.01.03.11.</v>
      </c>
      <c r="E37" s="107">
        <f t="shared" si="1"/>
        <v>0</v>
      </c>
      <c r="F37" s="459" t="str">
        <f ca="1">VLOOKUP(OFFSET('Tabla VII.1.'!$G$14,I37-1,1),TABPAIS,2,FALSE)</f>
        <v>zzz</v>
      </c>
      <c r="G37" s="108">
        <f ca="1">OFFSET('Tabla VII.1.'!$I$14,I37-1,J37-1)</f>
        <v>0</v>
      </c>
      <c r="H37" s="107" t="str">
        <f ca="1">OFFSET('Tabla VII.1.'!$I$1,0,J37-1)</f>
        <v>01</v>
      </c>
      <c r="I37" s="110">
        <f t="shared" si="8"/>
        <v>36</v>
      </c>
      <c r="J37" s="110">
        <f t="shared" si="9"/>
        <v>1</v>
      </c>
      <c r="K37" s="110" t="str">
        <f ca="1">'Tabla VII.1.'!$B$10</f>
        <v>Tabla VII.1.</v>
      </c>
      <c r="L37" s="110" t="str">
        <f t="shared" si="10"/>
        <v>A.1</v>
      </c>
      <c r="M37" s="458"/>
    </row>
    <row r="38" spans="1:13" ht="15.75">
      <c r="A38" s="412" t="s">
        <v>3450</v>
      </c>
      <c r="B38" s="412" t="str">
        <f t="shared" si="0"/>
        <v>202503</v>
      </c>
      <c r="C38" s="412" t="s">
        <v>2945</v>
      </c>
      <c r="D38" s="413" t="str">
        <f ca="1">OFFSET('Tabla VII.1.'!$G$14,I38-1,0)</f>
        <v>01.01.04.</v>
      </c>
      <c r="E38" s="412">
        <f t="shared" si="1"/>
        <v>0</v>
      </c>
      <c r="F38" s="463" t="s">
        <v>3451</v>
      </c>
      <c r="G38" s="414">
        <f ca="1">OFFSET('Tabla VII.1.'!$I$14,I38-1,J38-1)</f>
        <v>0</v>
      </c>
      <c r="H38" s="412" t="str">
        <f ca="1">OFFSET('Tabla VII.1.'!$I$1,0,J38-1)</f>
        <v>01</v>
      </c>
      <c r="I38" s="111">
        <f t="shared" si="8"/>
        <v>37</v>
      </c>
      <c r="J38" s="111">
        <v>1</v>
      </c>
      <c r="K38" s="111" t="str">
        <f ca="1">'Tabla VII.1.'!$B$10</f>
        <v>Tabla VII.1.</v>
      </c>
      <c r="L38" s="111" t="s">
        <v>2937</v>
      </c>
      <c r="M38" s="111">
        <f>+M26+1</f>
        <v>4</v>
      </c>
    </row>
    <row r="39" spans="1:13" ht="15.75">
      <c r="A39" s="412" t="s">
        <v>3450</v>
      </c>
      <c r="B39" s="412" t="str">
        <f t="shared" si="0"/>
        <v>202503</v>
      </c>
      <c r="C39" s="412" t="s">
        <v>2945</v>
      </c>
      <c r="D39" s="413" t="str">
        <f ca="1">OFFSET('Tabla VII.1.'!$G$14,I39-1,0)</f>
        <v>01.01.04.01.</v>
      </c>
      <c r="E39" s="412">
        <f t="shared" si="1"/>
        <v>0</v>
      </c>
      <c r="F39" s="464" t="str">
        <f ca="1">VLOOKUP(OFFSET('Tabla VII.1.'!$G$14,I39-1,1),TABPAIS,2,FALSE)</f>
        <v>00</v>
      </c>
      <c r="G39" s="414">
        <f ca="1">OFFSET('Tabla VII.1.'!$I$14,I39-1,J39-1)</f>
        <v>0</v>
      </c>
      <c r="H39" s="412" t="str">
        <f ca="1">OFFSET('Tabla VII.1.'!$I$1,0,J39-1)</f>
        <v>01</v>
      </c>
      <c r="I39" s="111">
        <f t="shared" si="8"/>
        <v>38</v>
      </c>
      <c r="J39" s="111">
        <f t="shared" ref="J39:J49" si="11">+J38</f>
        <v>1</v>
      </c>
      <c r="K39" s="111" t="str">
        <f ca="1">'Tabla VII.1.'!$B$10</f>
        <v>Tabla VII.1.</v>
      </c>
      <c r="L39" s="111" t="str">
        <f>+L38</f>
        <v>A.1</v>
      </c>
    </row>
    <row r="40" spans="1:13" ht="15.75">
      <c r="A40" s="412" t="s">
        <v>3450</v>
      </c>
      <c r="B40" s="412" t="str">
        <f t="shared" si="0"/>
        <v>202503</v>
      </c>
      <c r="C40" s="412" t="s">
        <v>2945</v>
      </c>
      <c r="D40" s="413" t="str">
        <f ca="1">OFFSET('Tabla VII.1.'!$G$14,I40-1,0)</f>
        <v>01.01.04.02.</v>
      </c>
      <c r="E40" s="412">
        <f t="shared" si="1"/>
        <v>0</v>
      </c>
      <c r="F40" s="464" t="str">
        <f ca="1">VLOOKUP(OFFSET('Tabla VII.1.'!$G$14,I40-1,1),TABPAIS,2,FALSE)</f>
        <v>00</v>
      </c>
      <c r="G40" s="414">
        <f ca="1">OFFSET('Tabla VII.1.'!$I$14,I40-1,J40-1)</f>
        <v>0</v>
      </c>
      <c r="H40" s="412" t="str">
        <f ca="1">OFFSET('Tabla VII.1.'!$I$1,0,J40-1)</f>
        <v>01</v>
      </c>
      <c r="I40" s="111">
        <f t="shared" si="8"/>
        <v>39</v>
      </c>
      <c r="J40" s="111">
        <f t="shared" si="11"/>
        <v>1</v>
      </c>
      <c r="K40" s="111" t="str">
        <f ca="1">'Tabla VII.1.'!$B$10</f>
        <v>Tabla VII.1.</v>
      </c>
      <c r="L40" s="111" t="str">
        <f>+L39</f>
        <v>A.1</v>
      </c>
    </row>
    <row r="41" spans="1:13" ht="15.75">
      <c r="A41" s="412" t="s">
        <v>3450</v>
      </c>
      <c r="B41" s="412" t="str">
        <f t="shared" si="0"/>
        <v>202503</v>
      </c>
      <c r="C41" s="412" t="s">
        <v>2945</v>
      </c>
      <c r="D41" s="413" t="str">
        <f ca="1">OFFSET('Tabla VII.1.'!$G$14,I41-1,0)</f>
        <v>01.01.04.03.</v>
      </c>
      <c r="E41" s="412">
        <f t="shared" si="1"/>
        <v>0</v>
      </c>
      <c r="F41" s="464" t="str">
        <f ca="1">VLOOKUP(OFFSET('Tabla VII.1.'!$G$14,I41-1,1),TABPAIS,2,FALSE)</f>
        <v>00</v>
      </c>
      <c r="G41" s="414">
        <f ca="1">OFFSET('Tabla VII.1.'!$I$14,I41-1,J41-1)</f>
        <v>0</v>
      </c>
      <c r="H41" s="412" t="str">
        <f ca="1">OFFSET('Tabla VII.1.'!$I$1,0,J41-1)</f>
        <v>01</v>
      </c>
      <c r="I41" s="111">
        <f t="shared" si="8"/>
        <v>40</v>
      </c>
      <c r="J41" s="111">
        <f t="shared" si="11"/>
        <v>1</v>
      </c>
      <c r="K41" s="111" t="str">
        <f ca="1">'Tabla VII.1.'!$B$10</f>
        <v>Tabla VII.1.</v>
      </c>
      <c r="L41" s="111" t="str">
        <f t="shared" ref="L41:L49" si="12">+L40</f>
        <v>A.1</v>
      </c>
    </row>
    <row r="42" spans="1:13" ht="15.75">
      <c r="A42" s="412" t="s">
        <v>3450</v>
      </c>
      <c r="B42" s="412" t="str">
        <f t="shared" si="0"/>
        <v>202503</v>
      </c>
      <c r="C42" s="412" t="s">
        <v>2945</v>
      </c>
      <c r="D42" s="413" t="str">
        <f ca="1">OFFSET('Tabla VII.1.'!$G$14,I42-1,0)</f>
        <v>01.01.04.04.</v>
      </c>
      <c r="E42" s="412">
        <f t="shared" si="1"/>
        <v>0</v>
      </c>
      <c r="F42" s="464" t="str">
        <f ca="1">VLOOKUP(OFFSET('Tabla VII.1.'!$G$14,I42-1,1),TABPAIS,2,FALSE)</f>
        <v>00</v>
      </c>
      <c r="G42" s="414">
        <f ca="1">OFFSET('Tabla VII.1.'!$I$14,I42-1,J42-1)</f>
        <v>0</v>
      </c>
      <c r="H42" s="412" t="str">
        <f ca="1">OFFSET('Tabla VII.1.'!$I$1,0,J42-1)</f>
        <v>01</v>
      </c>
      <c r="I42" s="111">
        <f t="shared" si="8"/>
        <v>41</v>
      </c>
      <c r="J42" s="111">
        <f t="shared" si="11"/>
        <v>1</v>
      </c>
      <c r="K42" s="111" t="str">
        <f ca="1">'Tabla VII.1.'!$B$10</f>
        <v>Tabla VII.1.</v>
      </c>
      <c r="L42" s="111" t="str">
        <f t="shared" si="12"/>
        <v>A.1</v>
      </c>
    </row>
    <row r="43" spans="1:13" ht="15.75">
      <c r="A43" s="412" t="s">
        <v>3450</v>
      </c>
      <c r="B43" s="412" t="str">
        <f t="shared" si="0"/>
        <v>202503</v>
      </c>
      <c r="C43" s="412" t="s">
        <v>2945</v>
      </c>
      <c r="D43" s="413" t="str">
        <f ca="1">OFFSET('Tabla VII.1.'!$G$14,I43-1,0)</f>
        <v>01.01.04.05.</v>
      </c>
      <c r="E43" s="412">
        <f t="shared" si="1"/>
        <v>0</v>
      </c>
      <c r="F43" s="464" t="str">
        <f ca="1">VLOOKUP(OFFSET('Tabla VII.1.'!$G$14,I43-1,1),TABPAIS,2,FALSE)</f>
        <v>00</v>
      </c>
      <c r="G43" s="414">
        <f ca="1">OFFSET('Tabla VII.1.'!$I$14,I43-1,J43-1)</f>
        <v>0</v>
      </c>
      <c r="H43" s="412" t="str">
        <f ca="1">OFFSET('Tabla VII.1.'!$I$1,0,J43-1)</f>
        <v>01</v>
      </c>
      <c r="I43" s="111">
        <f t="shared" si="8"/>
        <v>42</v>
      </c>
      <c r="J43" s="111">
        <f t="shared" si="11"/>
        <v>1</v>
      </c>
      <c r="K43" s="111" t="str">
        <f ca="1">'Tabla VII.1.'!$B$10</f>
        <v>Tabla VII.1.</v>
      </c>
      <c r="L43" s="111" t="str">
        <f t="shared" si="12"/>
        <v>A.1</v>
      </c>
    </row>
    <row r="44" spans="1:13" ht="15.75">
      <c r="A44" s="412" t="s">
        <v>3450</v>
      </c>
      <c r="B44" s="412" t="str">
        <f t="shared" si="0"/>
        <v>202503</v>
      </c>
      <c r="C44" s="412" t="s">
        <v>2945</v>
      </c>
      <c r="D44" s="413" t="str">
        <f ca="1">OFFSET('Tabla VII.1.'!$G$14,I44-1,0)</f>
        <v>01.01.04.06.</v>
      </c>
      <c r="E44" s="412">
        <f t="shared" si="1"/>
        <v>0</v>
      </c>
      <c r="F44" s="464" t="str">
        <f ca="1">VLOOKUP(OFFSET('Tabla VII.1.'!$G$14,I44-1,1),TABPAIS,2,FALSE)</f>
        <v>00</v>
      </c>
      <c r="G44" s="414">
        <f ca="1">OFFSET('Tabla VII.1.'!$I$14,I44-1,J44-1)</f>
        <v>0</v>
      </c>
      <c r="H44" s="412" t="str">
        <f ca="1">OFFSET('Tabla VII.1.'!$I$1,0,J44-1)</f>
        <v>01</v>
      </c>
      <c r="I44" s="111">
        <f t="shared" si="8"/>
        <v>43</v>
      </c>
      <c r="J44" s="111">
        <f t="shared" si="11"/>
        <v>1</v>
      </c>
      <c r="K44" s="111" t="str">
        <f ca="1">'Tabla VII.1.'!$B$10</f>
        <v>Tabla VII.1.</v>
      </c>
      <c r="L44" s="111" t="str">
        <f t="shared" si="12"/>
        <v>A.1</v>
      </c>
    </row>
    <row r="45" spans="1:13" ht="15.75">
      <c r="A45" s="412" t="s">
        <v>3450</v>
      </c>
      <c r="B45" s="412" t="str">
        <f t="shared" si="0"/>
        <v>202503</v>
      </c>
      <c r="C45" s="412" t="s">
        <v>2945</v>
      </c>
      <c r="D45" s="413" t="str">
        <f ca="1">OFFSET('Tabla VII.1.'!$G$14,I45-1,0)</f>
        <v>01.01.04.07.</v>
      </c>
      <c r="E45" s="412">
        <f t="shared" si="1"/>
        <v>0</v>
      </c>
      <c r="F45" s="464" t="str">
        <f ca="1">VLOOKUP(OFFSET('Tabla VII.1.'!$G$14,I45-1,1),TABPAIS,2,FALSE)</f>
        <v>00</v>
      </c>
      <c r="G45" s="414">
        <f ca="1">OFFSET('Tabla VII.1.'!$I$14,I45-1,J45-1)</f>
        <v>0</v>
      </c>
      <c r="H45" s="412" t="str">
        <f ca="1">OFFSET('Tabla VII.1.'!$I$1,0,J45-1)</f>
        <v>01</v>
      </c>
      <c r="I45" s="111">
        <f t="shared" si="8"/>
        <v>44</v>
      </c>
      <c r="J45" s="111">
        <f t="shared" si="11"/>
        <v>1</v>
      </c>
      <c r="K45" s="111" t="str">
        <f ca="1">'Tabla VII.1.'!$B$10</f>
        <v>Tabla VII.1.</v>
      </c>
      <c r="L45" s="111" t="str">
        <f t="shared" si="12"/>
        <v>A.1</v>
      </c>
    </row>
    <row r="46" spans="1:13" ht="15.75">
      <c r="A46" s="412" t="s">
        <v>3450</v>
      </c>
      <c r="B46" s="412" t="str">
        <f t="shared" si="0"/>
        <v>202503</v>
      </c>
      <c r="C46" s="412" t="s">
        <v>2945</v>
      </c>
      <c r="D46" s="413" t="str">
        <f ca="1">OFFSET('Tabla VII.1.'!$G$14,I46-1,0)</f>
        <v>01.01.04.08.</v>
      </c>
      <c r="E46" s="412">
        <f t="shared" si="1"/>
        <v>0</v>
      </c>
      <c r="F46" s="464" t="str">
        <f ca="1">VLOOKUP(OFFSET('Tabla VII.1.'!$G$14,I46-1,1),TABPAIS,2,FALSE)</f>
        <v>00</v>
      </c>
      <c r="G46" s="414">
        <f ca="1">OFFSET('Tabla VII.1.'!$I$14,I46-1,J46-1)</f>
        <v>0</v>
      </c>
      <c r="H46" s="412" t="str">
        <f ca="1">OFFSET('Tabla VII.1.'!$I$1,0,J46-1)</f>
        <v>01</v>
      </c>
      <c r="I46" s="111">
        <f t="shared" si="8"/>
        <v>45</v>
      </c>
      <c r="J46" s="111">
        <f t="shared" si="11"/>
        <v>1</v>
      </c>
      <c r="K46" s="111" t="str">
        <f ca="1">'Tabla VII.1.'!$B$10</f>
        <v>Tabla VII.1.</v>
      </c>
      <c r="L46" s="111" t="str">
        <f t="shared" si="12"/>
        <v>A.1</v>
      </c>
    </row>
    <row r="47" spans="1:13" ht="15.75">
      <c r="A47" s="412" t="s">
        <v>3450</v>
      </c>
      <c r="B47" s="412" t="str">
        <f t="shared" si="0"/>
        <v>202503</v>
      </c>
      <c r="C47" s="412" t="s">
        <v>2945</v>
      </c>
      <c r="D47" s="413" t="str">
        <f ca="1">OFFSET('Tabla VII.1.'!$G$14,I47-1,0)</f>
        <v>01.01.04.09.</v>
      </c>
      <c r="E47" s="412">
        <f t="shared" si="1"/>
        <v>0</v>
      </c>
      <c r="F47" s="464" t="str">
        <f ca="1">VLOOKUP(OFFSET('Tabla VII.1.'!$G$14,I47-1,1),TABPAIS,2,FALSE)</f>
        <v>00</v>
      </c>
      <c r="G47" s="414">
        <f ca="1">OFFSET('Tabla VII.1.'!$I$14,I47-1,J47-1)</f>
        <v>0</v>
      </c>
      <c r="H47" s="412" t="str">
        <f ca="1">OFFSET('Tabla VII.1.'!$I$1,0,J47-1)</f>
        <v>01</v>
      </c>
      <c r="I47" s="111">
        <f t="shared" si="8"/>
        <v>46</v>
      </c>
      <c r="J47" s="111">
        <f t="shared" si="11"/>
        <v>1</v>
      </c>
      <c r="K47" s="111" t="str">
        <f ca="1">'Tabla VII.1.'!$B$10</f>
        <v>Tabla VII.1.</v>
      </c>
      <c r="L47" s="111" t="str">
        <f t="shared" si="12"/>
        <v>A.1</v>
      </c>
    </row>
    <row r="48" spans="1:13" ht="15.75">
      <c r="A48" s="412" t="s">
        <v>3450</v>
      </c>
      <c r="B48" s="412" t="str">
        <f t="shared" si="0"/>
        <v>202503</v>
      </c>
      <c r="C48" s="412" t="s">
        <v>2945</v>
      </c>
      <c r="D48" s="413" t="str">
        <f ca="1">OFFSET('Tabla VII.1.'!$G$14,I48-1,0)</f>
        <v>01.01.04.10.</v>
      </c>
      <c r="E48" s="412">
        <f t="shared" si="1"/>
        <v>0</v>
      </c>
      <c r="F48" s="464" t="str">
        <f ca="1">VLOOKUP(OFFSET('Tabla VII.1.'!$G$14,I48-1,1),TABPAIS,2,FALSE)</f>
        <v>00</v>
      </c>
      <c r="G48" s="414">
        <f ca="1">OFFSET('Tabla VII.1.'!$I$14,I48-1,J48-1)</f>
        <v>0</v>
      </c>
      <c r="H48" s="412" t="str">
        <f ca="1">OFFSET('Tabla VII.1.'!$I$1,0,J48-1)</f>
        <v>01</v>
      </c>
      <c r="I48" s="111">
        <f t="shared" si="8"/>
        <v>47</v>
      </c>
      <c r="J48" s="111">
        <f t="shared" si="11"/>
        <v>1</v>
      </c>
      <c r="K48" s="111" t="str">
        <f ca="1">'Tabla VII.1.'!$B$10</f>
        <v>Tabla VII.1.</v>
      </c>
      <c r="L48" s="111" t="str">
        <f t="shared" si="12"/>
        <v>A.1</v>
      </c>
    </row>
    <row r="49" spans="1:14" ht="15.75">
      <c r="A49" s="412" t="s">
        <v>3450</v>
      </c>
      <c r="B49" s="412" t="str">
        <f t="shared" si="0"/>
        <v>202503</v>
      </c>
      <c r="C49" s="412" t="s">
        <v>2945</v>
      </c>
      <c r="D49" s="413" t="str">
        <f ca="1">OFFSET('Tabla VII.1.'!$G$14,I49-1,0)</f>
        <v>01.01.04.11.</v>
      </c>
      <c r="E49" s="412">
        <f t="shared" si="1"/>
        <v>0</v>
      </c>
      <c r="F49" s="464" t="str">
        <f ca="1">VLOOKUP(OFFSET('Tabla VII.1.'!$G$14,I49-1,1),TABPAIS,2,FALSE)</f>
        <v>zzz</v>
      </c>
      <c r="G49" s="414">
        <f ca="1">OFFSET('Tabla VII.1.'!$I$14,I49-1,J49-1)</f>
        <v>0</v>
      </c>
      <c r="H49" s="412" t="str">
        <f ca="1">OFFSET('Tabla VII.1.'!$I$1,0,J49-1)</f>
        <v>01</v>
      </c>
      <c r="I49" s="111">
        <f t="shared" si="8"/>
        <v>48</v>
      </c>
      <c r="J49" s="111">
        <f t="shared" si="11"/>
        <v>1</v>
      </c>
      <c r="K49" s="111" t="str">
        <f ca="1">'Tabla VII.1.'!$B$10</f>
        <v>Tabla VII.1.</v>
      </c>
      <c r="L49" s="111" t="str">
        <f t="shared" si="12"/>
        <v>A.1</v>
      </c>
    </row>
    <row r="50" spans="1:14" ht="15.75">
      <c r="A50" s="107" t="s">
        <v>3450</v>
      </c>
      <c r="B50" s="107" t="str">
        <f t="shared" si="0"/>
        <v>202503</v>
      </c>
      <c r="C50" s="107" t="s">
        <v>2945</v>
      </c>
      <c r="D50" s="399" t="str">
        <f ca="1">OFFSET('Tabla VII.1.'!$G$73,I50-1,0)</f>
        <v>01.02.01.</v>
      </c>
      <c r="E50" s="107">
        <f t="shared" si="1"/>
        <v>0</v>
      </c>
      <c r="F50" s="462" t="s">
        <v>3451</v>
      </c>
      <c r="G50" s="108">
        <f ca="1">OFFSET('Tabla VII.1.'!$I$73,I50-1,J50-1)</f>
        <v>0</v>
      </c>
      <c r="H50" s="107" t="str">
        <f ca="1">OFFSET('Tabla VII.1.'!$I$1,0,J50-1)</f>
        <v>01</v>
      </c>
      <c r="I50" s="110">
        <v>1</v>
      </c>
      <c r="J50" s="110">
        <v>1</v>
      </c>
      <c r="K50" s="110" t="str">
        <f ca="1">'Tabla VII.1.'!$B$10</f>
        <v>Tabla VII.1.</v>
      </c>
      <c r="L50" s="110" t="s">
        <v>2938</v>
      </c>
      <c r="M50" s="107">
        <v>1</v>
      </c>
      <c r="N50" s="131"/>
    </row>
    <row r="51" spans="1:14" ht="15.75">
      <c r="A51" s="107" t="s">
        <v>3450</v>
      </c>
      <c r="B51" s="107" t="str">
        <f t="shared" si="0"/>
        <v>202503</v>
      </c>
      <c r="C51" s="107" t="s">
        <v>2945</v>
      </c>
      <c r="D51" s="399" t="str">
        <f ca="1">OFFSET('Tabla VII.1.'!$G$73,I51-1,0)</f>
        <v>01.02.01.</v>
      </c>
      <c r="E51" s="107">
        <f t="shared" si="1"/>
        <v>0</v>
      </c>
      <c r="F51" s="462" t="s">
        <v>3451</v>
      </c>
      <c r="G51" s="108">
        <f ca="1">OFFSET('Tabla VII.1.'!$I$73,I51-1,J51-1)</f>
        <v>0</v>
      </c>
      <c r="H51" s="107" t="str">
        <f ca="1">OFFSET('Tabla VII.1.'!$I$1,0,J51-1)</f>
        <v>02</v>
      </c>
      <c r="I51" s="110">
        <v>1</v>
      </c>
      <c r="J51" s="110">
        <f>+J50+1</f>
        <v>2</v>
      </c>
      <c r="K51" s="110" t="str">
        <f ca="1">'Tabla VII.1.'!$B$10</f>
        <v>Tabla VII.1.</v>
      </c>
      <c r="L51" s="110" t="str">
        <f t="shared" ref="L51:L73" si="13">+L50</f>
        <v>A.2</v>
      </c>
      <c r="M51" s="107"/>
    </row>
    <row r="52" spans="1:14" ht="15.75">
      <c r="A52" s="412" t="s">
        <v>3450</v>
      </c>
      <c r="B52" s="412" t="str">
        <f t="shared" si="0"/>
        <v>202503</v>
      </c>
      <c r="C52" s="412" t="s">
        <v>2945</v>
      </c>
      <c r="D52" s="413" t="str">
        <f ca="1">OFFSET('Tabla VII.1.'!$G$73,I52-1,0)</f>
        <v>01.02.01.01.</v>
      </c>
      <c r="E52" s="412">
        <f t="shared" si="1"/>
        <v>0</v>
      </c>
      <c r="F52" s="464" t="str">
        <f ca="1">VLOOKUP(OFFSET('Tabla VII.1.'!$G$73,I52-1,1),TABPAIS,2,FALSE)</f>
        <v>00</v>
      </c>
      <c r="G52" s="414">
        <f ca="1">OFFSET('Tabla VII.1.'!$I$73,I52-1,J52-1)</f>
        <v>0</v>
      </c>
      <c r="H52" s="412" t="str">
        <f ca="1">OFFSET('Tabla VII.1.'!$I$1,0,J52-1)</f>
        <v>01</v>
      </c>
      <c r="I52" s="111">
        <f>+I50+1</f>
        <v>2</v>
      </c>
      <c r="J52" s="111">
        <v>1</v>
      </c>
      <c r="K52" s="111" t="str">
        <f ca="1">'Tabla VII.1.'!$B$10</f>
        <v>Tabla VII.1.</v>
      </c>
      <c r="L52" s="111" t="str">
        <f t="shared" si="13"/>
        <v>A.2</v>
      </c>
      <c r="M52" s="107"/>
    </row>
    <row r="53" spans="1:14" ht="15.75">
      <c r="A53" s="412" t="s">
        <v>3450</v>
      </c>
      <c r="B53" s="412" t="str">
        <f t="shared" si="0"/>
        <v>202503</v>
      </c>
      <c r="C53" s="412" t="s">
        <v>2945</v>
      </c>
      <c r="D53" s="413" t="str">
        <f ca="1">OFFSET('Tabla VII.1.'!$G$73,I53-1,0)</f>
        <v>01.02.01.01.</v>
      </c>
      <c r="E53" s="412">
        <f t="shared" si="1"/>
        <v>0</v>
      </c>
      <c r="F53" s="464" t="str">
        <f ca="1">VLOOKUP(OFFSET('Tabla VII.1.'!$G$73,I53-1,1),TABPAIS,2,FALSE)</f>
        <v>00</v>
      </c>
      <c r="G53" s="414">
        <f ca="1">OFFSET('Tabla VII.1.'!$I$73,I53-1,J53-1)</f>
        <v>0</v>
      </c>
      <c r="H53" s="412" t="str">
        <f ca="1">OFFSET('Tabla VII.1.'!$I$1,0,J53-1)</f>
        <v>02</v>
      </c>
      <c r="I53" s="111">
        <f>+I52</f>
        <v>2</v>
      </c>
      <c r="J53" s="111">
        <f>+J52+1</f>
        <v>2</v>
      </c>
      <c r="K53" s="111" t="str">
        <f ca="1">'Tabla VII.1.'!$B$10</f>
        <v>Tabla VII.1.</v>
      </c>
      <c r="L53" s="111" t="str">
        <f t="shared" si="13"/>
        <v>A.2</v>
      </c>
      <c r="M53" s="107"/>
    </row>
    <row r="54" spans="1:14" ht="15.75">
      <c r="A54" s="107" t="s">
        <v>3450</v>
      </c>
      <c r="B54" s="107" t="str">
        <f t="shared" si="0"/>
        <v>202503</v>
      </c>
      <c r="C54" s="107" t="s">
        <v>2945</v>
      </c>
      <c r="D54" s="399" t="str">
        <f ca="1">OFFSET('Tabla VII.1.'!$G$73,I54-1,0)</f>
        <v>01.02.01.02.</v>
      </c>
      <c r="E54" s="107">
        <f t="shared" si="1"/>
        <v>0</v>
      </c>
      <c r="F54" s="459" t="str">
        <f ca="1">VLOOKUP(OFFSET('Tabla VII.1.'!$G$73,I54-1,1),TABPAIS,2,FALSE)</f>
        <v>00</v>
      </c>
      <c r="G54" s="108">
        <f ca="1">OFFSET('Tabla VII.1.'!$I$73,I54-1,J54-1)</f>
        <v>0</v>
      </c>
      <c r="H54" s="107" t="str">
        <f ca="1">OFFSET('Tabla VII.1.'!$I$1,0,J54-1)</f>
        <v>01</v>
      </c>
      <c r="I54" s="110">
        <f>+I52+1</f>
        <v>3</v>
      </c>
      <c r="J54" s="110">
        <v>1</v>
      </c>
      <c r="K54" s="110" t="str">
        <f ca="1">'Tabla VII.1.'!$B$10</f>
        <v>Tabla VII.1.</v>
      </c>
      <c r="L54" s="110" t="str">
        <f t="shared" si="13"/>
        <v>A.2</v>
      </c>
      <c r="M54" s="107"/>
    </row>
    <row r="55" spans="1:14" ht="15.75">
      <c r="A55" s="107" t="s">
        <v>3450</v>
      </c>
      <c r="B55" s="107" t="str">
        <f t="shared" si="0"/>
        <v>202503</v>
      </c>
      <c r="C55" s="107" t="s">
        <v>2945</v>
      </c>
      <c r="D55" s="399" t="str">
        <f ca="1">OFFSET('Tabla VII.1.'!$G$73,I55-1,0)</f>
        <v>01.02.01.02.</v>
      </c>
      <c r="E55" s="107">
        <f t="shared" si="1"/>
        <v>0</v>
      </c>
      <c r="F55" s="459" t="str">
        <f ca="1">VLOOKUP(OFFSET('Tabla VII.1.'!$G$73,I55-1,1),TABPAIS,2,FALSE)</f>
        <v>00</v>
      </c>
      <c r="G55" s="108">
        <f ca="1">OFFSET('Tabla VII.1.'!$I$73,I55-1,J55-1)</f>
        <v>0</v>
      </c>
      <c r="H55" s="107" t="str">
        <f ca="1">OFFSET('Tabla VII.1.'!$I$1,0,J55-1)</f>
        <v>02</v>
      </c>
      <c r="I55" s="110">
        <f>+I54</f>
        <v>3</v>
      </c>
      <c r="J55" s="110">
        <f>+J54+1</f>
        <v>2</v>
      </c>
      <c r="K55" s="110" t="str">
        <f ca="1">'Tabla VII.1.'!$B$10</f>
        <v>Tabla VII.1.</v>
      </c>
      <c r="L55" s="110" t="str">
        <f t="shared" si="13"/>
        <v>A.2</v>
      </c>
      <c r="M55" s="107"/>
    </row>
    <row r="56" spans="1:14" ht="15.75">
      <c r="A56" s="412" t="s">
        <v>3450</v>
      </c>
      <c r="B56" s="412" t="str">
        <f t="shared" si="0"/>
        <v>202503</v>
      </c>
      <c r="C56" s="412" t="s">
        <v>2945</v>
      </c>
      <c r="D56" s="413" t="str">
        <f ca="1">OFFSET('Tabla VII.1.'!$G$73,I56-1,0)</f>
        <v>01.02.01.03.</v>
      </c>
      <c r="E56" s="412">
        <f t="shared" si="1"/>
        <v>0</v>
      </c>
      <c r="F56" s="464" t="str">
        <f ca="1">VLOOKUP(OFFSET('Tabla VII.1.'!$G$73,I56-1,1),TABPAIS,2,FALSE)</f>
        <v>00</v>
      </c>
      <c r="G56" s="414">
        <f ca="1">OFFSET('Tabla VII.1.'!$I$73,I56-1,J56-1)</f>
        <v>0</v>
      </c>
      <c r="H56" s="412" t="str">
        <f ca="1">OFFSET('Tabla VII.1.'!$I$1,0,J56-1)</f>
        <v>01</v>
      </c>
      <c r="I56" s="111">
        <f>+I54+1</f>
        <v>4</v>
      </c>
      <c r="J56" s="111">
        <v>1</v>
      </c>
      <c r="K56" s="111" t="str">
        <f ca="1">'Tabla VII.1.'!$B$10</f>
        <v>Tabla VII.1.</v>
      </c>
      <c r="L56" s="111" t="str">
        <f t="shared" si="13"/>
        <v>A.2</v>
      </c>
      <c r="M56" s="107"/>
    </row>
    <row r="57" spans="1:14" ht="15.75">
      <c r="A57" s="412" t="s">
        <v>3450</v>
      </c>
      <c r="B57" s="412" t="str">
        <f t="shared" si="0"/>
        <v>202503</v>
      </c>
      <c r="C57" s="412" t="s">
        <v>2945</v>
      </c>
      <c r="D57" s="413" t="str">
        <f ca="1">OFFSET('Tabla VII.1.'!$G$73,I57-1,0)</f>
        <v>01.02.01.03.</v>
      </c>
      <c r="E57" s="412">
        <f t="shared" si="1"/>
        <v>0</v>
      </c>
      <c r="F57" s="464" t="str">
        <f ca="1">VLOOKUP(OFFSET('Tabla VII.1.'!$G$73,I57-1,1),TABPAIS,2,FALSE)</f>
        <v>00</v>
      </c>
      <c r="G57" s="414">
        <f ca="1">OFFSET('Tabla VII.1.'!$I$73,I57-1,J57-1)</f>
        <v>0</v>
      </c>
      <c r="H57" s="412" t="str">
        <f ca="1">OFFSET('Tabla VII.1.'!$I$1,0,J57-1)</f>
        <v>02</v>
      </c>
      <c r="I57" s="111">
        <f>+I56</f>
        <v>4</v>
      </c>
      <c r="J57" s="111">
        <f>+J56+1</f>
        <v>2</v>
      </c>
      <c r="K57" s="111" t="str">
        <f ca="1">'Tabla VII.1.'!$B$10</f>
        <v>Tabla VII.1.</v>
      </c>
      <c r="L57" s="111" t="str">
        <f t="shared" si="13"/>
        <v>A.2</v>
      </c>
      <c r="M57" s="458"/>
    </row>
    <row r="58" spans="1:14" ht="15.75">
      <c r="A58" s="107" t="s">
        <v>3450</v>
      </c>
      <c r="B58" s="107" t="str">
        <f t="shared" si="0"/>
        <v>202503</v>
      </c>
      <c r="C58" s="107" t="s">
        <v>2945</v>
      </c>
      <c r="D58" s="399" t="str">
        <f ca="1">OFFSET('Tabla VII.1.'!$G$73,I58-1,0)</f>
        <v>01.02.01.04.</v>
      </c>
      <c r="E58" s="107">
        <f t="shared" si="1"/>
        <v>0</v>
      </c>
      <c r="F58" s="459" t="str">
        <f ca="1">VLOOKUP(OFFSET('Tabla VII.1.'!$G$73,I58-1,1),TABPAIS,2,FALSE)</f>
        <v>00</v>
      </c>
      <c r="G58" s="108">
        <f ca="1">OFFSET('Tabla VII.1.'!$I$73,I58-1,J58-1)</f>
        <v>0</v>
      </c>
      <c r="H58" s="107" t="str">
        <f ca="1">OFFSET('Tabla VII.1.'!$I$1,0,J58-1)</f>
        <v>01</v>
      </c>
      <c r="I58" s="110">
        <f>+I56+1</f>
        <v>5</v>
      </c>
      <c r="J58" s="110">
        <v>1</v>
      </c>
      <c r="K58" s="110" t="str">
        <f ca="1">'Tabla VII.1.'!$B$10</f>
        <v>Tabla VII.1.</v>
      </c>
      <c r="L58" s="110" t="str">
        <f t="shared" si="13"/>
        <v>A.2</v>
      </c>
      <c r="M58" s="458"/>
    </row>
    <row r="59" spans="1:14" ht="15.75">
      <c r="A59" s="107" t="s">
        <v>3450</v>
      </c>
      <c r="B59" s="107" t="str">
        <f t="shared" si="0"/>
        <v>202503</v>
      </c>
      <c r="C59" s="107" t="s">
        <v>2945</v>
      </c>
      <c r="D59" s="399" t="str">
        <f ca="1">OFFSET('Tabla VII.1.'!$G$73,I59-1,0)</f>
        <v>01.02.01.04.</v>
      </c>
      <c r="E59" s="107">
        <f t="shared" si="1"/>
        <v>0</v>
      </c>
      <c r="F59" s="459" t="str">
        <f ca="1">VLOOKUP(OFFSET('Tabla VII.1.'!$G$73,I59-1,1),TABPAIS,2,FALSE)</f>
        <v>00</v>
      </c>
      <c r="G59" s="108">
        <f ca="1">OFFSET('Tabla VII.1.'!$I$73,I59-1,J59-1)</f>
        <v>0</v>
      </c>
      <c r="H59" s="107" t="str">
        <f ca="1">OFFSET('Tabla VII.1.'!$I$1,0,J59-1)</f>
        <v>02</v>
      </c>
      <c r="I59" s="110">
        <f>+I58</f>
        <v>5</v>
      </c>
      <c r="J59" s="110">
        <f>+J58+1</f>
        <v>2</v>
      </c>
      <c r="K59" s="110" t="str">
        <f ca="1">'Tabla VII.1.'!$B$10</f>
        <v>Tabla VII.1.</v>
      </c>
      <c r="L59" s="110" t="str">
        <f t="shared" si="13"/>
        <v>A.2</v>
      </c>
      <c r="M59" s="458"/>
    </row>
    <row r="60" spans="1:14" ht="15.75">
      <c r="A60" s="412" t="s">
        <v>3450</v>
      </c>
      <c r="B60" s="412" t="str">
        <f t="shared" si="0"/>
        <v>202503</v>
      </c>
      <c r="C60" s="412" t="s">
        <v>2945</v>
      </c>
      <c r="D60" s="413" t="str">
        <f ca="1">OFFSET('Tabla VII.1.'!$G$73,I60-1,0)</f>
        <v>01.02.01.05.</v>
      </c>
      <c r="E60" s="412">
        <f t="shared" si="1"/>
        <v>0</v>
      </c>
      <c r="F60" s="464" t="str">
        <f ca="1">VLOOKUP(OFFSET('Tabla VII.1.'!$G$73,I60-1,1),TABPAIS,2,FALSE)</f>
        <v>00</v>
      </c>
      <c r="G60" s="414">
        <f ca="1">OFFSET('Tabla VII.1.'!$I$73,I60-1,J60-1)</f>
        <v>0</v>
      </c>
      <c r="H60" s="412" t="str">
        <f ca="1">OFFSET('Tabla VII.1.'!$I$1,0,J60-1)</f>
        <v>01</v>
      </c>
      <c r="I60" s="111">
        <f>+I58+1</f>
        <v>6</v>
      </c>
      <c r="J60" s="111">
        <v>1</v>
      </c>
      <c r="K60" s="111" t="str">
        <f ca="1">'Tabla VII.1.'!$B$10</f>
        <v>Tabla VII.1.</v>
      </c>
      <c r="L60" s="111" t="str">
        <f t="shared" si="13"/>
        <v>A.2</v>
      </c>
      <c r="M60" s="458"/>
    </row>
    <row r="61" spans="1:14" ht="15.75">
      <c r="A61" s="412" t="s">
        <v>3450</v>
      </c>
      <c r="B61" s="412" t="str">
        <f t="shared" si="0"/>
        <v>202503</v>
      </c>
      <c r="C61" s="412" t="s">
        <v>2945</v>
      </c>
      <c r="D61" s="413" t="str">
        <f ca="1">OFFSET('Tabla VII.1.'!$G$73,I61-1,0)</f>
        <v>01.02.01.05.</v>
      </c>
      <c r="E61" s="412">
        <f t="shared" si="1"/>
        <v>0</v>
      </c>
      <c r="F61" s="464" t="str">
        <f ca="1">VLOOKUP(OFFSET('Tabla VII.1.'!$G$73,I61-1,1),TABPAIS,2,FALSE)</f>
        <v>00</v>
      </c>
      <c r="G61" s="414">
        <f ca="1">OFFSET('Tabla VII.1.'!$I$73,I61-1,J61-1)</f>
        <v>0</v>
      </c>
      <c r="H61" s="412" t="str">
        <f ca="1">OFFSET('Tabla VII.1.'!$I$1,0,J61-1)</f>
        <v>02</v>
      </c>
      <c r="I61" s="111">
        <f>+I60</f>
        <v>6</v>
      </c>
      <c r="J61" s="111">
        <f>+J60+1</f>
        <v>2</v>
      </c>
      <c r="K61" s="111" t="str">
        <f ca="1">'Tabla VII.1.'!$B$10</f>
        <v>Tabla VII.1.</v>
      </c>
      <c r="L61" s="111" t="str">
        <f t="shared" si="13"/>
        <v>A.2</v>
      </c>
      <c r="M61" s="458"/>
    </row>
    <row r="62" spans="1:14" ht="15.75">
      <c r="A62" s="107" t="s">
        <v>3450</v>
      </c>
      <c r="B62" s="107" t="str">
        <f t="shared" si="0"/>
        <v>202503</v>
      </c>
      <c r="C62" s="107" t="s">
        <v>2945</v>
      </c>
      <c r="D62" s="399" t="str">
        <f ca="1">OFFSET('Tabla VII.1.'!$G$73,I62-1,0)</f>
        <v>01.02.01.06.</v>
      </c>
      <c r="E62" s="107">
        <f t="shared" si="1"/>
        <v>0</v>
      </c>
      <c r="F62" s="459" t="str">
        <f ca="1">VLOOKUP(OFFSET('Tabla VII.1.'!$G$73,I62-1,1),TABPAIS,2,FALSE)</f>
        <v>00</v>
      </c>
      <c r="G62" s="108">
        <f ca="1">OFFSET('Tabla VII.1.'!$I$73,I62-1,J62-1)</f>
        <v>0</v>
      </c>
      <c r="H62" s="107" t="str">
        <f ca="1">OFFSET('Tabla VII.1.'!$I$1,0,J62-1)</f>
        <v>01</v>
      </c>
      <c r="I62" s="110">
        <f>+I60+1</f>
        <v>7</v>
      </c>
      <c r="J62" s="110">
        <v>1</v>
      </c>
      <c r="K62" s="110" t="str">
        <f ca="1">'Tabla VII.1.'!$B$10</f>
        <v>Tabla VII.1.</v>
      </c>
      <c r="L62" s="110" t="str">
        <f t="shared" si="13"/>
        <v>A.2</v>
      </c>
    </row>
    <row r="63" spans="1:14" ht="15.75">
      <c r="A63" s="107" t="s">
        <v>3450</v>
      </c>
      <c r="B63" s="107" t="str">
        <f t="shared" si="0"/>
        <v>202503</v>
      </c>
      <c r="C63" s="107" t="s">
        <v>2945</v>
      </c>
      <c r="D63" s="399" t="str">
        <f ca="1">OFFSET('Tabla VII.1.'!$G$73,I63-1,0)</f>
        <v>01.02.01.06.</v>
      </c>
      <c r="E63" s="107">
        <f t="shared" si="1"/>
        <v>0</v>
      </c>
      <c r="F63" s="459" t="str">
        <f ca="1">VLOOKUP(OFFSET('Tabla VII.1.'!$G$73,I63-1,1),TABPAIS,2,FALSE)</f>
        <v>00</v>
      </c>
      <c r="G63" s="108">
        <f ca="1">OFFSET('Tabla VII.1.'!$I$73,I63-1,J63-1)</f>
        <v>0</v>
      </c>
      <c r="H63" s="107" t="str">
        <f ca="1">OFFSET('Tabla VII.1.'!$I$1,0,J63-1)</f>
        <v>02</v>
      </c>
      <c r="I63" s="110">
        <f>+I62</f>
        <v>7</v>
      </c>
      <c r="J63" s="110">
        <f>+J62+1</f>
        <v>2</v>
      </c>
      <c r="K63" s="110" t="str">
        <f ca="1">'Tabla VII.1.'!$B$10</f>
        <v>Tabla VII.1.</v>
      </c>
      <c r="L63" s="110" t="str">
        <f t="shared" si="13"/>
        <v>A.2</v>
      </c>
    </row>
    <row r="64" spans="1:14" ht="15.75">
      <c r="A64" s="412" t="s">
        <v>3450</v>
      </c>
      <c r="B64" s="412" t="str">
        <f t="shared" si="0"/>
        <v>202503</v>
      </c>
      <c r="C64" s="412" t="s">
        <v>2945</v>
      </c>
      <c r="D64" s="413" t="str">
        <f ca="1">OFFSET('Tabla VII.1.'!$G$73,I64-1,0)</f>
        <v>01.02.01.07.</v>
      </c>
      <c r="E64" s="412">
        <f t="shared" si="1"/>
        <v>0</v>
      </c>
      <c r="F64" s="464" t="str">
        <f ca="1">VLOOKUP(OFFSET('Tabla VII.1.'!$G$73,I64-1,1),TABPAIS,2,FALSE)</f>
        <v>00</v>
      </c>
      <c r="G64" s="414">
        <f ca="1">OFFSET('Tabla VII.1.'!$I$73,I64-1,J64-1)</f>
        <v>0</v>
      </c>
      <c r="H64" s="412" t="str">
        <f ca="1">OFFSET('Tabla VII.1.'!$I$1,0,J64-1)</f>
        <v>01</v>
      </c>
      <c r="I64" s="111">
        <f>+I62+1</f>
        <v>8</v>
      </c>
      <c r="J64" s="111">
        <v>1</v>
      </c>
      <c r="K64" s="111" t="str">
        <f ca="1">'Tabla VII.1.'!$B$10</f>
        <v>Tabla VII.1.</v>
      </c>
      <c r="L64" s="111" t="str">
        <f t="shared" si="13"/>
        <v>A.2</v>
      </c>
    </row>
    <row r="65" spans="1:14" ht="15.75">
      <c r="A65" s="412" t="s">
        <v>3450</v>
      </c>
      <c r="B65" s="412" t="str">
        <f t="shared" si="0"/>
        <v>202503</v>
      </c>
      <c r="C65" s="412" t="s">
        <v>2945</v>
      </c>
      <c r="D65" s="413" t="str">
        <f ca="1">OFFSET('Tabla VII.1.'!$G$73,I65-1,0)</f>
        <v>01.02.01.07.</v>
      </c>
      <c r="E65" s="412">
        <f t="shared" si="1"/>
        <v>0</v>
      </c>
      <c r="F65" s="464" t="str">
        <f ca="1">VLOOKUP(OFFSET('Tabla VII.1.'!$G$73,I65-1,1),TABPAIS,2,FALSE)</f>
        <v>00</v>
      </c>
      <c r="G65" s="414">
        <f ca="1">OFFSET('Tabla VII.1.'!$I$73,I65-1,J65-1)</f>
        <v>0</v>
      </c>
      <c r="H65" s="412" t="str">
        <f ca="1">OFFSET('Tabla VII.1.'!$I$1,0,J65-1)</f>
        <v>02</v>
      </c>
      <c r="I65" s="111">
        <f>+I64</f>
        <v>8</v>
      </c>
      <c r="J65" s="111">
        <f>+J64+1</f>
        <v>2</v>
      </c>
      <c r="K65" s="111" t="str">
        <f ca="1">'Tabla VII.1.'!$B$10</f>
        <v>Tabla VII.1.</v>
      </c>
      <c r="L65" s="111" t="str">
        <f t="shared" si="13"/>
        <v>A.2</v>
      </c>
    </row>
    <row r="66" spans="1:14" ht="15.75">
      <c r="A66" s="107" t="s">
        <v>3450</v>
      </c>
      <c r="B66" s="107" t="str">
        <f t="shared" ref="B66:B129" si="14">PERIODO</f>
        <v>202503</v>
      </c>
      <c r="C66" s="107" t="s">
        <v>2945</v>
      </c>
      <c r="D66" s="399" t="str">
        <f ca="1">OFFSET('Tabla VII.1.'!$G$73,I66-1,0)</f>
        <v>01.02.01.08.</v>
      </c>
      <c r="E66" s="107">
        <f t="shared" ref="E66:E129" si="15">RUC</f>
        <v>0</v>
      </c>
      <c r="F66" s="459" t="str">
        <f ca="1">VLOOKUP(OFFSET('Tabla VII.1.'!$G$73,I66-1,1),TABPAIS,2,FALSE)</f>
        <v>00</v>
      </c>
      <c r="G66" s="108">
        <f ca="1">OFFSET('Tabla VII.1.'!$I$73,I66-1,J66-1)</f>
        <v>0</v>
      </c>
      <c r="H66" s="107" t="str">
        <f ca="1">OFFSET('Tabla VII.1.'!$I$1,0,J66-1)</f>
        <v>01</v>
      </c>
      <c r="I66" s="110">
        <f>+I64+1</f>
        <v>9</v>
      </c>
      <c r="J66" s="110">
        <v>1</v>
      </c>
      <c r="K66" s="110" t="str">
        <f ca="1">'Tabla VII.1.'!$B$10</f>
        <v>Tabla VII.1.</v>
      </c>
      <c r="L66" s="110" t="str">
        <f t="shared" si="13"/>
        <v>A.2</v>
      </c>
    </row>
    <row r="67" spans="1:14" ht="15.75">
      <c r="A67" s="107" t="s">
        <v>3450</v>
      </c>
      <c r="B67" s="107" t="str">
        <f t="shared" si="14"/>
        <v>202503</v>
      </c>
      <c r="C67" s="107" t="s">
        <v>2945</v>
      </c>
      <c r="D67" s="399" t="str">
        <f ca="1">OFFSET('Tabla VII.1.'!$G$73,I67-1,0)</f>
        <v>01.02.01.08.</v>
      </c>
      <c r="E67" s="107">
        <f t="shared" si="15"/>
        <v>0</v>
      </c>
      <c r="F67" s="459" t="str">
        <f ca="1">VLOOKUP(OFFSET('Tabla VII.1.'!$G$73,I67-1,1),TABPAIS,2,FALSE)</f>
        <v>00</v>
      </c>
      <c r="G67" s="108">
        <f ca="1">OFFSET('Tabla VII.1.'!$I$73,I67-1,J67-1)</f>
        <v>0</v>
      </c>
      <c r="H67" s="107" t="str">
        <f ca="1">OFFSET('Tabla VII.1.'!$I$1,0,J67-1)</f>
        <v>02</v>
      </c>
      <c r="I67" s="110">
        <f>+I66</f>
        <v>9</v>
      </c>
      <c r="J67" s="110">
        <f>+J66+1</f>
        <v>2</v>
      </c>
      <c r="K67" s="110" t="str">
        <f ca="1">'Tabla VII.1.'!$B$10</f>
        <v>Tabla VII.1.</v>
      </c>
      <c r="L67" s="110" t="str">
        <f t="shared" si="13"/>
        <v>A.2</v>
      </c>
    </row>
    <row r="68" spans="1:14" ht="15.75">
      <c r="A68" s="412" t="s">
        <v>3450</v>
      </c>
      <c r="B68" s="412" t="str">
        <f t="shared" si="14"/>
        <v>202503</v>
      </c>
      <c r="C68" s="412" t="s">
        <v>2945</v>
      </c>
      <c r="D68" s="413" t="str">
        <f ca="1">OFFSET('Tabla VII.1.'!$G$73,I68-1,0)</f>
        <v>01.02.01.09.</v>
      </c>
      <c r="E68" s="412">
        <f t="shared" si="15"/>
        <v>0</v>
      </c>
      <c r="F68" s="464" t="str">
        <f ca="1">VLOOKUP(OFFSET('Tabla VII.1.'!$G$73,I68-1,1),TABPAIS,2,FALSE)</f>
        <v>00</v>
      </c>
      <c r="G68" s="414">
        <f ca="1">OFFSET('Tabla VII.1.'!$I$73,I68-1,J68-1)</f>
        <v>0</v>
      </c>
      <c r="H68" s="412" t="str">
        <f ca="1">OFFSET('Tabla VII.1.'!$I$1,0,J68-1)</f>
        <v>01</v>
      </c>
      <c r="I68" s="111">
        <f>+I66+1</f>
        <v>10</v>
      </c>
      <c r="J68" s="111">
        <v>1</v>
      </c>
      <c r="K68" s="111" t="str">
        <f ca="1">'Tabla VII.1.'!$B$10</f>
        <v>Tabla VII.1.</v>
      </c>
      <c r="L68" s="111" t="str">
        <f t="shared" si="13"/>
        <v>A.2</v>
      </c>
    </row>
    <row r="69" spans="1:14" ht="15.75">
      <c r="A69" s="412" t="s">
        <v>3450</v>
      </c>
      <c r="B69" s="412" t="str">
        <f t="shared" si="14"/>
        <v>202503</v>
      </c>
      <c r="C69" s="412" t="s">
        <v>2945</v>
      </c>
      <c r="D69" s="413" t="str">
        <f ca="1">OFFSET('Tabla VII.1.'!$G$73,I69-1,0)</f>
        <v>01.02.01.09.</v>
      </c>
      <c r="E69" s="412">
        <f t="shared" si="15"/>
        <v>0</v>
      </c>
      <c r="F69" s="464" t="str">
        <f ca="1">VLOOKUP(OFFSET('Tabla VII.1.'!$G$73,I69-1,1),TABPAIS,2,FALSE)</f>
        <v>00</v>
      </c>
      <c r="G69" s="414">
        <f ca="1">OFFSET('Tabla VII.1.'!$I$73,I69-1,J69-1)</f>
        <v>0</v>
      </c>
      <c r="H69" s="412" t="str">
        <f ca="1">OFFSET('Tabla VII.1.'!$I$1,0,J69-1)</f>
        <v>02</v>
      </c>
      <c r="I69" s="111">
        <f>+I68</f>
        <v>10</v>
      </c>
      <c r="J69" s="111">
        <f>+J68+1</f>
        <v>2</v>
      </c>
      <c r="K69" s="111" t="str">
        <f ca="1">'Tabla VII.1.'!$B$10</f>
        <v>Tabla VII.1.</v>
      </c>
      <c r="L69" s="111" t="str">
        <f t="shared" si="13"/>
        <v>A.2</v>
      </c>
    </row>
    <row r="70" spans="1:14" ht="15.75">
      <c r="A70" s="107" t="s">
        <v>3450</v>
      </c>
      <c r="B70" s="107" t="str">
        <f t="shared" si="14"/>
        <v>202503</v>
      </c>
      <c r="C70" s="107" t="s">
        <v>2945</v>
      </c>
      <c r="D70" s="399" t="str">
        <f ca="1">OFFSET('Tabla VII.1.'!$G$73,I70-1,0)</f>
        <v>01.02.01.10.</v>
      </c>
      <c r="E70" s="107">
        <f t="shared" si="15"/>
        <v>0</v>
      </c>
      <c r="F70" s="459" t="str">
        <f ca="1">VLOOKUP(OFFSET('Tabla VII.1.'!$G$73,I70-1,1),TABPAIS,2,FALSE)</f>
        <v>00</v>
      </c>
      <c r="G70" s="108">
        <f ca="1">OFFSET('Tabla VII.1.'!$I$73,I70-1,J70-1)</f>
        <v>0</v>
      </c>
      <c r="H70" s="107" t="str">
        <f ca="1">OFFSET('Tabla VII.1.'!$I$1,0,J70-1)</f>
        <v>01</v>
      </c>
      <c r="I70" s="110">
        <f>+I68+1</f>
        <v>11</v>
      </c>
      <c r="J70" s="110">
        <v>1</v>
      </c>
      <c r="K70" s="110" t="str">
        <f ca="1">'Tabla VII.1.'!$B$10</f>
        <v>Tabla VII.1.</v>
      </c>
      <c r="L70" s="110" t="str">
        <f t="shared" si="13"/>
        <v>A.2</v>
      </c>
    </row>
    <row r="71" spans="1:14" ht="15.75">
      <c r="A71" s="107" t="s">
        <v>3450</v>
      </c>
      <c r="B71" s="107" t="str">
        <f t="shared" si="14"/>
        <v>202503</v>
      </c>
      <c r="C71" s="107" t="s">
        <v>2945</v>
      </c>
      <c r="D71" s="399" t="str">
        <f ca="1">OFFSET('Tabla VII.1.'!$G$73,I71-1,0)</f>
        <v>01.02.01.10.</v>
      </c>
      <c r="E71" s="107">
        <f t="shared" si="15"/>
        <v>0</v>
      </c>
      <c r="F71" s="459" t="str">
        <f ca="1">VLOOKUP(OFFSET('Tabla VII.1.'!$G$73,I71-1,1),TABPAIS,2,FALSE)</f>
        <v>00</v>
      </c>
      <c r="G71" s="108">
        <f ca="1">OFFSET('Tabla VII.1.'!$I$73,I71-1,J71-1)</f>
        <v>0</v>
      </c>
      <c r="H71" s="107" t="str">
        <f ca="1">OFFSET('Tabla VII.1.'!$I$1,0,J71-1)</f>
        <v>02</v>
      </c>
      <c r="I71" s="110">
        <f>+I70</f>
        <v>11</v>
      </c>
      <c r="J71" s="110">
        <f>+J70+1</f>
        <v>2</v>
      </c>
      <c r="K71" s="110" t="str">
        <f ca="1">'Tabla VII.1.'!$B$10</f>
        <v>Tabla VII.1.</v>
      </c>
      <c r="L71" s="110" t="str">
        <f t="shared" si="13"/>
        <v>A.2</v>
      </c>
    </row>
    <row r="72" spans="1:14" ht="15.75">
      <c r="A72" s="412" t="s">
        <v>3450</v>
      </c>
      <c r="B72" s="412" t="str">
        <f t="shared" si="14"/>
        <v>202503</v>
      </c>
      <c r="C72" s="412" t="s">
        <v>2945</v>
      </c>
      <c r="D72" s="413" t="str">
        <f ca="1">OFFSET('Tabla VII.1.'!$G$73,I72-1,0)</f>
        <v>01.02.01.11.</v>
      </c>
      <c r="E72" s="412">
        <f t="shared" si="15"/>
        <v>0</v>
      </c>
      <c r="F72" s="464" t="str">
        <f ca="1">VLOOKUP(OFFSET('Tabla VII.1.'!$G$73,I72-1,1),TABPAIS,2,FALSE)</f>
        <v>zzz</v>
      </c>
      <c r="G72" s="414">
        <f ca="1">OFFSET('Tabla VII.1.'!$I$73,I72-1,J72-1)</f>
        <v>0</v>
      </c>
      <c r="H72" s="412" t="str">
        <f ca="1">OFFSET('Tabla VII.1.'!$I$1,0,J72-1)</f>
        <v>01</v>
      </c>
      <c r="I72" s="111">
        <f>+I70+1</f>
        <v>12</v>
      </c>
      <c r="J72" s="111">
        <v>1</v>
      </c>
      <c r="K72" s="111" t="str">
        <f ca="1">'Tabla VII.1.'!$B$10</f>
        <v>Tabla VII.1.</v>
      </c>
      <c r="L72" s="111" t="str">
        <f t="shared" si="13"/>
        <v>A.2</v>
      </c>
    </row>
    <row r="73" spans="1:14" ht="15.75">
      <c r="A73" s="412" t="s">
        <v>3450</v>
      </c>
      <c r="B73" s="412" t="str">
        <f t="shared" si="14"/>
        <v>202503</v>
      </c>
      <c r="C73" s="412" t="s">
        <v>2945</v>
      </c>
      <c r="D73" s="413" t="str">
        <f ca="1">OFFSET('Tabla VII.1.'!$G$73,I73-1,0)</f>
        <v>01.02.01.11.</v>
      </c>
      <c r="E73" s="412">
        <f t="shared" si="15"/>
        <v>0</v>
      </c>
      <c r="F73" s="464" t="str">
        <f ca="1">VLOOKUP(OFFSET('Tabla VII.1.'!$G$73,I73-1,1),TABPAIS,2,FALSE)</f>
        <v>zzz</v>
      </c>
      <c r="G73" s="414">
        <f ca="1">OFFSET('Tabla VII.1.'!$I$73,I73-1,J73-1)</f>
        <v>0</v>
      </c>
      <c r="H73" s="412" t="str">
        <f ca="1">OFFSET('Tabla VII.1.'!$I$1,0,J73-1)</f>
        <v>02</v>
      </c>
      <c r="I73" s="111">
        <f>+I72</f>
        <v>12</v>
      </c>
      <c r="J73" s="111">
        <f>+J72+1</f>
        <v>2</v>
      </c>
      <c r="K73" s="111" t="str">
        <f ca="1">'Tabla VII.1.'!$B$10</f>
        <v>Tabla VII.1.</v>
      </c>
      <c r="L73" s="111" t="str">
        <f t="shared" si="13"/>
        <v>A.2</v>
      </c>
    </row>
    <row r="74" spans="1:14" ht="15.75">
      <c r="A74" s="107" t="s">
        <v>3450</v>
      </c>
      <c r="B74" s="107" t="str">
        <f t="shared" si="14"/>
        <v>202503</v>
      </c>
      <c r="C74" s="107" t="s">
        <v>2945</v>
      </c>
      <c r="D74" s="399" t="str">
        <f ca="1">OFFSET('Tabla VII.1.'!$G$73,I74-1,0)</f>
        <v>01.02.02.</v>
      </c>
      <c r="E74" s="107">
        <f t="shared" si="15"/>
        <v>0</v>
      </c>
      <c r="F74" s="462" t="s">
        <v>3451</v>
      </c>
      <c r="G74" s="108">
        <f ca="1">OFFSET('Tabla VII.1.'!$I$73,I74-1,J74-1)</f>
        <v>0</v>
      </c>
      <c r="H74" s="107" t="str">
        <f ca="1">OFFSET('Tabla VII.1.'!$I$1,0,J74-1)</f>
        <v>01</v>
      </c>
      <c r="I74" s="110">
        <f>+I72+1</f>
        <v>13</v>
      </c>
      <c r="J74" s="110">
        <v>1</v>
      </c>
      <c r="K74" s="110" t="str">
        <f ca="1">'Tabla VII.1.'!$B$10</f>
        <v>Tabla VII.1.</v>
      </c>
      <c r="L74" s="110" t="s">
        <v>2938</v>
      </c>
      <c r="M74" s="107">
        <f>+M50+1</f>
        <v>2</v>
      </c>
      <c r="N74" s="131"/>
    </row>
    <row r="75" spans="1:14" ht="15.75">
      <c r="A75" s="107" t="s">
        <v>3450</v>
      </c>
      <c r="B75" s="107" t="str">
        <f t="shared" si="14"/>
        <v>202503</v>
      </c>
      <c r="C75" s="107" t="s">
        <v>2945</v>
      </c>
      <c r="D75" s="399" t="str">
        <f ca="1">OFFSET('Tabla VII.1.'!$G$73,I75-1,0)</f>
        <v>01.02.02.</v>
      </c>
      <c r="E75" s="107">
        <f t="shared" si="15"/>
        <v>0</v>
      </c>
      <c r="F75" s="462" t="s">
        <v>3451</v>
      </c>
      <c r="G75" s="108">
        <f ca="1">OFFSET('Tabla VII.1.'!$I$73,I75-1,J75-1)</f>
        <v>0</v>
      </c>
      <c r="H75" s="107" t="str">
        <f ca="1">OFFSET('Tabla VII.1.'!$I$1,0,J75-1)</f>
        <v>02</v>
      </c>
      <c r="I75" s="110">
        <f>+I74</f>
        <v>13</v>
      </c>
      <c r="J75" s="110">
        <f>+J74+1</f>
        <v>2</v>
      </c>
      <c r="K75" s="110" t="str">
        <f ca="1">'Tabla VII.1.'!$B$10</f>
        <v>Tabla VII.1.</v>
      </c>
      <c r="L75" s="110" t="str">
        <f t="shared" ref="L75:L97" si="16">+L74</f>
        <v>A.2</v>
      </c>
      <c r="M75" s="107"/>
    </row>
    <row r="76" spans="1:14" ht="15.75">
      <c r="A76" s="412" t="s">
        <v>3450</v>
      </c>
      <c r="B76" s="412" t="str">
        <f t="shared" si="14"/>
        <v>202503</v>
      </c>
      <c r="C76" s="412" t="s">
        <v>2945</v>
      </c>
      <c r="D76" s="413" t="str">
        <f ca="1">OFFSET('Tabla VII.1.'!$G$73,I76-1,0)</f>
        <v>01.02.02.01.</v>
      </c>
      <c r="E76" s="412">
        <f t="shared" si="15"/>
        <v>0</v>
      </c>
      <c r="F76" s="464" t="str">
        <f ca="1">VLOOKUP(OFFSET('Tabla VII.1.'!$G$73,I76-1,1),TABPAIS,2,FALSE)</f>
        <v>00</v>
      </c>
      <c r="G76" s="414">
        <f ca="1">OFFSET('Tabla VII.1.'!$I$73,I76-1,J76-1)</f>
        <v>0</v>
      </c>
      <c r="H76" s="412" t="str">
        <f ca="1">OFFSET('Tabla VII.1.'!$I$1,0,J76-1)</f>
        <v>01</v>
      </c>
      <c r="I76" s="111">
        <f>+I74+1</f>
        <v>14</v>
      </c>
      <c r="J76" s="111">
        <v>1</v>
      </c>
      <c r="K76" s="111" t="str">
        <f ca="1">'Tabla VII.1.'!$B$10</f>
        <v>Tabla VII.1.</v>
      </c>
      <c r="L76" s="111" t="str">
        <f t="shared" si="16"/>
        <v>A.2</v>
      </c>
      <c r="M76" s="107"/>
    </row>
    <row r="77" spans="1:14" ht="15.75">
      <c r="A77" s="412" t="s">
        <v>3450</v>
      </c>
      <c r="B77" s="412" t="str">
        <f t="shared" si="14"/>
        <v>202503</v>
      </c>
      <c r="C77" s="412" t="s">
        <v>2945</v>
      </c>
      <c r="D77" s="413" t="str">
        <f ca="1">OFFSET('Tabla VII.1.'!$G$73,I77-1,0)</f>
        <v>01.02.02.01.</v>
      </c>
      <c r="E77" s="412">
        <f t="shared" si="15"/>
        <v>0</v>
      </c>
      <c r="F77" s="464" t="str">
        <f ca="1">VLOOKUP(OFFSET('Tabla VII.1.'!$G$73,I77-1,1),TABPAIS,2,FALSE)</f>
        <v>00</v>
      </c>
      <c r="G77" s="414">
        <f ca="1">OFFSET('Tabla VII.1.'!$I$73,I77-1,J77-1)</f>
        <v>0</v>
      </c>
      <c r="H77" s="412" t="str">
        <f ca="1">OFFSET('Tabla VII.1.'!$I$1,0,J77-1)</f>
        <v>02</v>
      </c>
      <c r="I77" s="111">
        <f>+I76</f>
        <v>14</v>
      </c>
      <c r="J77" s="111">
        <f>+J76+1</f>
        <v>2</v>
      </c>
      <c r="K77" s="111" t="str">
        <f ca="1">'Tabla VII.1.'!$B$10</f>
        <v>Tabla VII.1.</v>
      </c>
      <c r="L77" s="111" t="str">
        <f t="shared" si="16"/>
        <v>A.2</v>
      </c>
      <c r="M77" s="107"/>
    </row>
    <row r="78" spans="1:14" ht="15.75">
      <c r="A78" s="107" t="s">
        <v>3450</v>
      </c>
      <c r="B78" s="107" t="str">
        <f t="shared" si="14"/>
        <v>202503</v>
      </c>
      <c r="C78" s="107" t="s">
        <v>2945</v>
      </c>
      <c r="D78" s="399" t="str">
        <f ca="1">OFFSET('Tabla VII.1.'!$G$73,I78-1,0)</f>
        <v>01.02.02.02.</v>
      </c>
      <c r="E78" s="107">
        <f t="shared" si="15"/>
        <v>0</v>
      </c>
      <c r="F78" s="459" t="str">
        <f ca="1">VLOOKUP(OFFSET('Tabla VII.1.'!$G$73,I78-1,1),TABPAIS,2,FALSE)</f>
        <v>00</v>
      </c>
      <c r="G78" s="108">
        <f ca="1">OFFSET('Tabla VII.1.'!$I$73,I78-1,J78-1)</f>
        <v>0</v>
      </c>
      <c r="H78" s="107" t="str">
        <f ca="1">OFFSET('Tabla VII.1.'!$I$1,0,J78-1)</f>
        <v>01</v>
      </c>
      <c r="I78" s="110">
        <f>+I76+1</f>
        <v>15</v>
      </c>
      <c r="J78" s="110">
        <v>1</v>
      </c>
      <c r="K78" s="110" t="str">
        <f ca="1">'Tabla VII.1.'!$B$10</f>
        <v>Tabla VII.1.</v>
      </c>
      <c r="L78" s="110" t="str">
        <f t="shared" si="16"/>
        <v>A.2</v>
      </c>
      <c r="M78" s="107"/>
    </row>
    <row r="79" spans="1:14" ht="15.75">
      <c r="A79" s="107" t="s">
        <v>3450</v>
      </c>
      <c r="B79" s="107" t="str">
        <f t="shared" si="14"/>
        <v>202503</v>
      </c>
      <c r="C79" s="107" t="s">
        <v>2945</v>
      </c>
      <c r="D79" s="399" t="str">
        <f ca="1">OFFSET('Tabla VII.1.'!$G$73,I79-1,0)</f>
        <v>01.02.02.02.</v>
      </c>
      <c r="E79" s="107">
        <f t="shared" si="15"/>
        <v>0</v>
      </c>
      <c r="F79" s="459" t="str">
        <f ca="1">VLOOKUP(OFFSET('Tabla VII.1.'!$G$73,I79-1,1),TABPAIS,2,FALSE)</f>
        <v>00</v>
      </c>
      <c r="G79" s="108">
        <f ca="1">OFFSET('Tabla VII.1.'!$I$73,I79-1,J79-1)</f>
        <v>0</v>
      </c>
      <c r="H79" s="107" t="str">
        <f ca="1">OFFSET('Tabla VII.1.'!$I$1,0,J79-1)</f>
        <v>02</v>
      </c>
      <c r="I79" s="110">
        <f>+I78</f>
        <v>15</v>
      </c>
      <c r="J79" s="110">
        <f>+J78+1</f>
        <v>2</v>
      </c>
      <c r="K79" s="110" t="str">
        <f ca="1">'Tabla VII.1.'!$B$10</f>
        <v>Tabla VII.1.</v>
      </c>
      <c r="L79" s="110" t="str">
        <f t="shared" si="16"/>
        <v>A.2</v>
      </c>
      <c r="M79" s="107"/>
    </row>
    <row r="80" spans="1:14" ht="15.75">
      <c r="A80" s="412" t="s">
        <v>3450</v>
      </c>
      <c r="B80" s="412" t="str">
        <f t="shared" si="14"/>
        <v>202503</v>
      </c>
      <c r="C80" s="412" t="s">
        <v>2945</v>
      </c>
      <c r="D80" s="413" t="str">
        <f ca="1">OFFSET('Tabla VII.1.'!$G$73,I80-1,0)</f>
        <v>01.02.02.03.</v>
      </c>
      <c r="E80" s="412">
        <f t="shared" si="15"/>
        <v>0</v>
      </c>
      <c r="F80" s="464" t="str">
        <f ca="1">VLOOKUP(OFFSET('Tabla VII.1.'!$G$73,I80-1,1),TABPAIS,2,FALSE)</f>
        <v>00</v>
      </c>
      <c r="G80" s="414">
        <f ca="1">OFFSET('Tabla VII.1.'!$I$73,I80-1,J80-1)</f>
        <v>0</v>
      </c>
      <c r="H80" s="412" t="str">
        <f ca="1">OFFSET('Tabla VII.1.'!$I$1,0,J80-1)</f>
        <v>01</v>
      </c>
      <c r="I80" s="111">
        <f>+I78+1</f>
        <v>16</v>
      </c>
      <c r="J80" s="111">
        <v>1</v>
      </c>
      <c r="K80" s="111" t="str">
        <f ca="1">'Tabla VII.1.'!$B$10</f>
        <v>Tabla VII.1.</v>
      </c>
      <c r="L80" s="111" t="str">
        <f t="shared" si="16"/>
        <v>A.2</v>
      </c>
      <c r="M80" s="107"/>
    </row>
    <row r="81" spans="1:13" ht="15.75">
      <c r="A81" s="412" t="s">
        <v>3450</v>
      </c>
      <c r="B81" s="412" t="str">
        <f t="shared" si="14"/>
        <v>202503</v>
      </c>
      <c r="C81" s="412" t="s">
        <v>2945</v>
      </c>
      <c r="D81" s="413" t="str">
        <f ca="1">OFFSET('Tabla VII.1.'!$G$73,I81-1,0)</f>
        <v>01.02.02.03.</v>
      </c>
      <c r="E81" s="412">
        <f t="shared" si="15"/>
        <v>0</v>
      </c>
      <c r="F81" s="464" t="str">
        <f ca="1">VLOOKUP(OFFSET('Tabla VII.1.'!$G$73,I81-1,1),TABPAIS,2,FALSE)</f>
        <v>00</v>
      </c>
      <c r="G81" s="414">
        <f ca="1">OFFSET('Tabla VII.1.'!$I$73,I81-1,J81-1)</f>
        <v>0</v>
      </c>
      <c r="H81" s="412" t="str">
        <f ca="1">OFFSET('Tabla VII.1.'!$I$1,0,J81-1)</f>
        <v>02</v>
      </c>
      <c r="I81" s="111">
        <f>+I80</f>
        <v>16</v>
      </c>
      <c r="J81" s="111">
        <f>+J80+1</f>
        <v>2</v>
      </c>
      <c r="K81" s="111" t="str">
        <f ca="1">'Tabla VII.1.'!$B$10</f>
        <v>Tabla VII.1.</v>
      </c>
      <c r="L81" s="111" t="str">
        <f t="shared" si="16"/>
        <v>A.2</v>
      </c>
      <c r="M81" s="458"/>
    </row>
    <row r="82" spans="1:13" ht="15.75">
      <c r="A82" s="107" t="s">
        <v>3450</v>
      </c>
      <c r="B82" s="107" t="str">
        <f t="shared" si="14"/>
        <v>202503</v>
      </c>
      <c r="C82" s="107" t="s">
        <v>2945</v>
      </c>
      <c r="D82" s="399" t="str">
        <f ca="1">OFFSET('Tabla VII.1.'!$G$73,I82-1,0)</f>
        <v>01.02.02.04.</v>
      </c>
      <c r="E82" s="107">
        <f t="shared" si="15"/>
        <v>0</v>
      </c>
      <c r="F82" s="459" t="str">
        <f ca="1">VLOOKUP(OFFSET('Tabla VII.1.'!$G$73,I82-1,1),TABPAIS,2,FALSE)</f>
        <v>00</v>
      </c>
      <c r="G82" s="108">
        <f ca="1">OFFSET('Tabla VII.1.'!$I$73,I82-1,J82-1)</f>
        <v>0</v>
      </c>
      <c r="H82" s="107" t="str">
        <f ca="1">OFFSET('Tabla VII.1.'!$I$1,0,J82-1)</f>
        <v>01</v>
      </c>
      <c r="I82" s="110">
        <f>+I80+1</f>
        <v>17</v>
      </c>
      <c r="J82" s="110">
        <v>1</v>
      </c>
      <c r="K82" s="110" t="str">
        <f ca="1">'Tabla VII.1.'!$B$10</f>
        <v>Tabla VII.1.</v>
      </c>
      <c r="L82" s="110" t="str">
        <f t="shared" si="16"/>
        <v>A.2</v>
      </c>
      <c r="M82" s="458"/>
    </row>
    <row r="83" spans="1:13" ht="15.75">
      <c r="A83" s="107" t="s">
        <v>3450</v>
      </c>
      <c r="B83" s="107" t="str">
        <f t="shared" si="14"/>
        <v>202503</v>
      </c>
      <c r="C83" s="107" t="s">
        <v>2945</v>
      </c>
      <c r="D83" s="399" t="str">
        <f ca="1">OFFSET('Tabla VII.1.'!$G$73,I83-1,0)</f>
        <v>01.02.02.04.</v>
      </c>
      <c r="E83" s="107">
        <f t="shared" si="15"/>
        <v>0</v>
      </c>
      <c r="F83" s="459" t="str">
        <f ca="1">VLOOKUP(OFFSET('Tabla VII.1.'!$G$73,I83-1,1),TABPAIS,2,FALSE)</f>
        <v>00</v>
      </c>
      <c r="G83" s="108">
        <f ca="1">OFFSET('Tabla VII.1.'!$I$73,I83-1,J83-1)</f>
        <v>0</v>
      </c>
      <c r="H83" s="107" t="str">
        <f ca="1">OFFSET('Tabla VII.1.'!$I$1,0,J83-1)</f>
        <v>02</v>
      </c>
      <c r="I83" s="110">
        <f>+I82</f>
        <v>17</v>
      </c>
      <c r="J83" s="110">
        <f>+J82+1</f>
        <v>2</v>
      </c>
      <c r="K83" s="110" t="str">
        <f ca="1">'Tabla VII.1.'!$B$10</f>
        <v>Tabla VII.1.</v>
      </c>
      <c r="L83" s="110" t="str">
        <f t="shared" si="16"/>
        <v>A.2</v>
      </c>
      <c r="M83" s="458"/>
    </row>
    <row r="84" spans="1:13" ht="15.75">
      <c r="A84" s="412" t="s">
        <v>3450</v>
      </c>
      <c r="B84" s="412" t="str">
        <f t="shared" si="14"/>
        <v>202503</v>
      </c>
      <c r="C84" s="412" t="s">
        <v>2945</v>
      </c>
      <c r="D84" s="413" t="str">
        <f ca="1">OFFSET('Tabla VII.1.'!$G$73,I84-1,0)</f>
        <v>01.02.02.05.</v>
      </c>
      <c r="E84" s="412">
        <f t="shared" si="15"/>
        <v>0</v>
      </c>
      <c r="F84" s="464" t="str">
        <f ca="1">VLOOKUP(OFFSET('Tabla VII.1.'!$G$73,I84-1,1),TABPAIS,2,FALSE)</f>
        <v>00</v>
      </c>
      <c r="G84" s="414">
        <f ca="1">OFFSET('Tabla VII.1.'!$I$73,I84-1,J84-1)</f>
        <v>0</v>
      </c>
      <c r="H84" s="412" t="str">
        <f ca="1">OFFSET('Tabla VII.1.'!$I$1,0,J84-1)</f>
        <v>01</v>
      </c>
      <c r="I84" s="111">
        <f>+I82+1</f>
        <v>18</v>
      </c>
      <c r="J84" s="111">
        <v>1</v>
      </c>
      <c r="K84" s="111" t="str">
        <f ca="1">'Tabla VII.1.'!$B$10</f>
        <v>Tabla VII.1.</v>
      </c>
      <c r="L84" s="111" t="str">
        <f t="shared" si="16"/>
        <v>A.2</v>
      </c>
      <c r="M84" s="458"/>
    </row>
    <row r="85" spans="1:13" ht="15.75">
      <c r="A85" s="412" t="s">
        <v>3450</v>
      </c>
      <c r="B85" s="412" t="str">
        <f t="shared" si="14"/>
        <v>202503</v>
      </c>
      <c r="C85" s="412" t="s">
        <v>2945</v>
      </c>
      <c r="D85" s="413" t="str">
        <f ca="1">OFFSET('Tabla VII.1.'!$G$73,I85-1,0)</f>
        <v>01.02.02.05.</v>
      </c>
      <c r="E85" s="412">
        <f t="shared" si="15"/>
        <v>0</v>
      </c>
      <c r="F85" s="464" t="str">
        <f ca="1">VLOOKUP(OFFSET('Tabla VII.1.'!$G$73,I85-1,1),TABPAIS,2,FALSE)</f>
        <v>00</v>
      </c>
      <c r="G85" s="414">
        <f ca="1">OFFSET('Tabla VII.1.'!$I$73,I85-1,J85-1)</f>
        <v>0</v>
      </c>
      <c r="H85" s="412" t="str">
        <f ca="1">OFFSET('Tabla VII.1.'!$I$1,0,J85-1)</f>
        <v>02</v>
      </c>
      <c r="I85" s="111">
        <f>+I84</f>
        <v>18</v>
      </c>
      <c r="J85" s="111">
        <f>+J84+1</f>
        <v>2</v>
      </c>
      <c r="K85" s="111" t="str">
        <f ca="1">'Tabla VII.1.'!$B$10</f>
        <v>Tabla VII.1.</v>
      </c>
      <c r="L85" s="111" t="str">
        <f t="shared" si="16"/>
        <v>A.2</v>
      </c>
      <c r="M85" s="458"/>
    </row>
    <row r="86" spans="1:13" ht="15.75">
      <c r="A86" s="107" t="s">
        <v>3450</v>
      </c>
      <c r="B86" s="107" t="str">
        <f t="shared" si="14"/>
        <v>202503</v>
      </c>
      <c r="C86" s="107" t="s">
        <v>2945</v>
      </c>
      <c r="D86" s="399" t="str">
        <f ca="1">OFFSET('Tabla VII.1.'!$G$73,I86-1,0)</f>
        <v>01.02.02.06.</v>
      </c>
      <c r="E86" s="107">
        <f t="shared" si="15"/>
        <v>0</v>
      </c>
      <c r="F86" s="459" t="str">
        <f ca="1">VLOOKUP(OFFSET('Tabla VII.1.'!$G$73,I86-1,1),TABPAIS,2,FALSE)</f>
        <v>00</v>
      </c>
      <c r="G86" s="108">
        <f ca="1">OFFSET('Tabla VII.1.'!$I$73,I86-1,J86-1)</f>
        <v>0</v>
      </c>
      <c r="H86" s="107" t="str">
        <f ca="1">OFFSET('Tabla VII.1.'!$I$1,0,J86-1)</f>
        <v>01</v>
      </c>
      <c r="I86" s="110">
        <f>+I84+1</f>
        <v>19</v>
      </c>
      <c r="J86" s="110">
        <v>1</v>
      </c>
      <c r="K86" s="110" t="str">
        <f ca="1">'Tabla VII.1.'!$B$10</f>
        <v>Tabla VII.1.</v>
      </c>
      <c r="L86" s="110" t="str">
        <f t="shared" si="16"/>
        <v>A.2</v>
      </c>
    </row>
    <row r="87" spans="1:13" ht="15.75">
      <c r="A87" s="107" t="s">
        <v>3450</v>
      </c>
      <c r="B87" s="107" t="str">
        <f t="shared" si="14"/>
        <v>202503</v>
      </c>
      <c r="C87" s="107" t="s">
        <v>2945</v>
      </c>
      <c r="D87" s="399" t="str">
        <f ca="1">OFFSET('Tabla VII.1.'!$G$73,I87-1,0)</f>
        <v>01.02.02.06.</v>
      </c>
      <c r="E87" s="107">
        <f t="shared" si="15"/>
        <v>0</v>
      </c>
      <c r="F87" s="459" t="str">
        <f ca="1">VLOOKUP(OFFSET('Tabla VII.1.'!$G$73,I87-1,1),TABPAIS,2,FALSE)</f>
        <v>00</v>
      </c>
      <c r="G87" s="108">
        <f ca="1">OFFSET('Tabla VII.1.'!$I$73,I87-1,J87-1)</f>
        <v>0</v>
      </c>
      <c r="H87" s="107" t="str">
        <f ca="1">OFFSET('Tabla VII.1.'!$I$1,0,J87-1)</f>
        <v>02</v>
      </c>
      <c r="I87" s="110">
        <f>+I86</f>
        <v>19</v>
      </c>
      <c r="J87" s="110">
        <f>+J86+1</f>
        <v>2</v>
      </c>
      <c r="K87" s="110" t="str">
        <f ca="1">'Tabla VII.1.'!$B$10</f>
        <v>Tabla VII.1.</v>
      </c>
      <c r="L87" s="110" t="str">
        <f t="shared" si="16"/>
        <v>A.2</v>
      </c>
    </row>
    <row r="88" spans="1:13" ht="15.75">
      <c r="A88" s="412" t="s">
        <v>3450</v>
      </c>
      <c r="B88" s="412" t="str">
        <f t="shared" si="14"/>
        <v>202503</v>
      </c>
      <c r="C88" s="412" t="s">
        <v>2945</v>
      </c>
      <c r="D88" s="413" t="str">
        <f ca="1">OFFSET('Tabla VII.1.'!$G$73,I88-1,0)</f>
        <v>01.02.02.07.</v>
      </c>
      <c r="E88" s="412">
        <f t="shared" si="15"/>
        <v>0</v>
      </c>
      <c r="F88" s="464" t="str">
        <f ca="1">VLOOKUP(OFFSET('Tabla VII.1.'!$G$73,I88-1,1),TABPAIS,2,FALSE)</f>
        <v>00</v>
      </c>
      <c r="G88" s="414">
        <f ca="1">OFFSET('Tabla VII.1.'!$I$73,I88-1,J88-1)</f>
        <v>0</v>
      </c>
      <c r="H88" s="412" t="str">
        <f ca="1">OFFSET('Tabla VII.1.'!$I$1,0,J88-1)</f>
        <v>01</v>
      </c>
      <c r="I88" s="111">
        <f>+I86+1</f>
        <v>20</v>
      </c>
      <c r="J88" s="111">
        <v>1</v>
      </c>
      <c r="K88" s="111" t="str">
        <f ca="1">'Tabla VII.1.'!$B$10</f>
        <v>Tabla VII.1.</v>
      </c>
      <c r="L88" s="111" t="str">
        <f t="shared" si="16"/>
        <v>A.2</v>
      </c>
    </row>
    <row r="89" spans="1:13" ht="15.75">
      <c r="A89" s="412" t="s">
        <v>3450</v>
      </c>
      <c r="B89" s="412" t="str">
        <f t="shared" si="14"/>
        <v>202503</v>
      </c>
      <c r="C89" s="412" t="s">
        <v>2945</v>
      </c>
      <c r="D89" s="413" t="str">
        <f ca="1">OFFSET('Tabla VII.1.'!$G$73,I89-1,0)</f>
        <v>01.02.02.07.</v>
      </c>
      <c r="E89" s="412">
        <f t="shared" si="15"/>
        <v>0</v>
      </c>
      <c r="F89" s="464" t="str">
        <f ca="1">VLOOKUP(OFFSET('Tabla VII.1.'!$G$73,I89-1,1),TABPAIS,2,FALSE)</f>
        <v>00</v>
      </c>
      <c r="G89" s="414">
        <f ca="1">OFFSET('Tabla VII.1.'!$I$73,I89-1,J89-1)</f>
        <v>0</v>
      </c>
      <c r="H89" s="412" t="str">
        <f ca="1">OFFSET('Tabla VII.1.'!$I$1,0,J89-1)</f>
        <v>02</v>
      </c>
      <c r="I89" s="111">
        <f>+I88</f>
        <v>20</v>
      </c>
      <c r="J89" s="111">
        <f>+J88+1</f>
        <v>2</v>
      </c>
      <c r="K89" s="111" t="str">
        <f ca="1">'Tabla VII.1.'!$B$10</f>
        <v>Tabla VII.1.</v>
      </c>
      <c r="L89" s="111" t="str">
        <f t="shared" si="16"/>
        <v>A.2</v>
      </c>
    </row>
    <row r="90" spans="1:13" ht="15.75">
      <c r="A90" s="107" t="s">
        <v>3450</v>
      </c>
      <c r="B90" s="107" t="str">
        <f t="shared" si="14"/>
        <v>202503</v>
      </c>
      <c r="C90" s="107" t="s">
        <v>2945</v>
      </c>
      <c r="D90" s="399" t="str">
        <f ca="1">OFFSET('Tabla VII.1.'!$G$73,I90-1,0)</f>
        <v>01.02.02.08.</v>
      </c>
      <c r="E90" s="107">
        <f t="shared" si="15"/>
        <v>0</v>
      </c>
      <c r="F90" s="459" t="str">
        <f ca="1">VLOOKUP(OFFSET('Tabla VII.1.'!$G$73,I90-1,1),TABPAIS,2,FALSE)</f>
        <v>00</v>
      </c>
      <c r="G90" s="108">
        <f ca="1">OFFSET('Tabla VII.1.'!$I$73,I90-1,J90-1)</f>
        <v>0</v>
      </c>
      <c r="H90" s="107" t="str">
        <f ca="1">OFFSET('Tabla VII.1.'!$I$1,0,J90-1)</f>
        <v>01</v>
      </c>
      <c r="I90" s="110">
        <f>+I88+1</f>
        <v>21</v>
      </c>
      <c r="J90" s="110">
        <v>1</v>
      </c>
      <c r="K90" s="110" t="str">
        <f ca="1">'Tabla VII.1.'!$B$10</f>
        <v>Tabla VII.1.</v>
      </c>
      <c r="L90" s="110" t="str">
        <f t="shared" si="16"/>
        <v>A.2</v>
      </c>
    </row>
    <row r="91" spans="1:13" ht="15.75">
      <c r="A91" s="107" t="s">
        <v>3450</v>
      </c>
      <c r="B91" s="107" t="str">
        <f t="shared" si="14"/>
        <v>202503</v>
      </c>
      <c r="C91" s="107" t="s">
        <v>2945</v>
      </c>
      <c r="D91" s="399" t="str">
        <f ca="1">OFFSET('Tabla VII.1.'!$G$73,I91-1,0)</f>
        <v>01.02.02.08.</v>
      </c>
      <c r="E91" s="107">
        <f t="shared" si="15"/>
        <v>0</v>
      </c>
      <c r="F91" s="459" t="str">
        <f ca="1">VLOOKUP(OFFSET('Tabla VII.1.'!$G$73,I91-1,1),TABPAIS,2,FALSE)</f>
        <v>00</v>
      </c>
      <c r="G91" s="108">
        <f ca="1">OFFSET('Tabla VII.1.'!$I$73,I91-1,J91-1)</f>
        <v>0</v>
      </c>
      <c r="H91" s="107" t="str">
        <f ca="1">OFFSET('Tabla VII.1.'!$I$1,0,J91-1)</f>
        <v>02</v>
      </c>
      <c r="I91" s="110">
        <f>+I90</f>
        <v>21</v>
      </c>
      <c r="J91" s="110">
        <f>+J90+1</f>
        <v>2</v>
      </c>
      <c r="K91" s="110" t="str">
        <f ca="1">'Tabla VII.1.'!$B$10</f>
        <v>Tabla VII.1.</v>
      </c>
      <c r="L91" s="110" t="str">
        <f t="shared" si="16"/>
        <v>A.2</v>
      </c>
    </row>
    <row r="92" spans="1:13" ht="15.75">
      <c r="A92" s="412" t="s">
        <v>3450</v>
      </c>
      <c r="B92" s="412" t="str">
        <f t="shared" si="14"/>
        <v>202503</v>
      </c>
      <c r="C92" s="412" t="s">
        <v>2945</v>
      </c>
      <c r="D92" s="413" t="str">
        <f ca="1">OFFSET('Tabla VII.1.'!$G$73,I92-1,0)</f>
        <v>01.02.02.09.</v>
      </c>
      <c r="E92" s="412">
        <f t="shared" si="15"/>
        <v>0</v>
      </c>
      <c r="F92" s="464" t="str">
        <f ca="1">VLOOKUP(OFFSET('Tabla VII.1.'!$G$73,I92-1,1),TABPAIS,2,FALSE)</f>
        <v>00</v>
      </c>
      <c r="G92" s="414">
        <f ca="1">OFFSET('Tabla VII.1.'!$I$73,I92-1,J92-1)</f>
        <v>0</v>
      </c>
      <c r="H92" s="412" t="str">
        <f ca="1">OFFSET('Tabla VII.1.'!$I$1,0,J92-1)</f>
        <v>01</v>
      </c>
      <c r="I92" s="111">
        <f>+I90+1</f>
        <v>22</v>
      </c>
      <c r="J92" s="111">
        <v>1</v>
      </c>
      <c r="K92" s="111" t="str">
        <f ca="1">'Tabla VII.1.'!$B$10</f>
        <v>Tabla VII.1.</v>
      </c>
      <c r="L92" s="111" t="str">
        <f t="shared" si="16"/>
        <v>A.2</v>
      </c>
    </row>
    <row r="93" spans="1:13" ht="15.75">
      <c r="A93" s="412" t="s">
        <v>3450</v>
      </c>
      <c r="B93" s="412" t="str">
        <f t="shared" si="14"/>
        <v>202503</v>
      </c>
      <c r="C93" s="412" t="s">
        <v>2945</v>
      </c>
      <c r="D93" s="413" t="str">
        <f ca="1">OFFSET('Tabla VII.1.'!$G$73,I93-1,0)</f>
        <v>01.02.02.09.</v>
      </c>
      <c r="E93" s="412">
        <f t="shared" si="15"/>
        <v>0</v>
      </c>
      <c r="F93" s="464" t="str">
        <f ca="1">VLOOKUP(OFFSET('Tabla VII.1.'!$G$73,I93-1,1),TABPAIS,2,FALSE)</f>
        <v>00</v>
      </c>
      <c r="G93" s="414">
        <f ca="1">OFFSET('Tabla VII.1.'!$I$73,I93-1,J93-1)</f>
        <v>0</v>
      </c>
      <c r="H93" s="412" t="str">
        <f ca="1">OFFSET('Tabla VII.1.'!$I$1,0,J93-1)</f>
        <v>02</v>
      </c>
      <c r="I93" s="111">
        <f>+I92</f>
        <v>22</v>
      </c>
      <c r="J93" s="111">
        <f>+J92+1</f>
        <v>2</v>
      </c>
      <c r="K93" s="111" t="str">
        <f ca="1">'Tabla VII.1.'!$B$10</f>
        <v>Tabla VII.1.</v>
      </c>
      <c r="L93" s="111" t="str">
        <f t="shared" si="16"/>
        <v>A.2</v>
      </c>
    </row>
    <row r="94" spans="1:13" ht="15.75">
      <c r="A94" s="107" t="s">
        <v>3450</v>
      </c>
      <c r="B94" s="107" t="str">
        <f t="shared" si="14"/>
        <v>202503</v>
      </c>
      <c r="C94" s="107" t="s">
        <v>2945</v>
      </c>
      <c r="D94" s="399" t="str">
        <f ca="1">OFFSET('Tabla VII.1.'!$G$73,I94-1,0)</f>
        <v>01.02.02.10.</v>
      </c>
      <c r="E94" s="107">
        <f t="shared" si="15"/>
        <v>0</v>
      </c>
      <c r="F94" s="459" t="str">
        <f ca="1">VLOOKUP(OFFSET('Tabla VII.1.'!$G$73,I94-1,1),TABPAIS,2,FALSE)</f>
        <v>00</v>
      </c>
      <c r="G94" s="108">
        <f ca="1">OFFSET('Tabla VII.1.'!$I$73,I94-1,J94-1)</f>
        <v>0</v>
      </c>
      <c r="H94" s="107" t="str">
        <f ca="1">OFFSET('Tabla VII.1.'!$I$1,0,J94-1)</f>
        <v>01</v>
      </c>
      <c r="I94" s="110">
        <f>+I92+1</f>
        <v>23</v>
      </c>
      <c r="J94" s="110">
        <v>1</v>
      </c>
      <c r="K94" s="110" t="str">
        <f ca="1">'Tabla VII.1.'!$B$10</f>
        <v>Tabla VII.1.</v>
      </c>
      <c r="L94" s="110" t="str">
        <f t="shared" si="16"/>
        <v>A.2</v>
      </c>
    </row>
    <row r="95" spans="1:13" ht="15.75">
      <c r="A95" s="107" t="s">
        <v>3450</v>
      </c>
      <c r="B95" s="107" t="str">
        <f t="shared" si="14"/>
        <v>202503</v>
      </c>
      <c r="C95" s="107" t="s">
        <v>2945</v>
      </c>
      <c r="D95" s="399" t="str">
        <f ca="1">OFFSET('Tabla VII.1.'!$G$73,I95-1,0)</f>
        <v>01.02.02.10.</v>
      </c>
      <c r="E95" s="107">
        <f t="shared" si="15"/>
        <v>0</v>
      </c>
      <c r="F95" s="459" t="str">
        <f ca="1">VLOOKUP(OFFSET('Tabla VII.1.'!$G$73,I95-1,1),TABPAIS,2,FALSE)</f>
        <v>00</v>
      </c>
      <c r="G95" s="108">
        <f ca="1">OFFSET('Tabla VII.1.'!$I$73,I95-1,J95-1)</f>
        <v>0</v>
      </c>
      <c r="H95" s="107" t="str">
        <f ca="1">OFFSET('Tabla VII.1.'!$I$1,0,J95-1)</f>
        <v>02</v>
      </c>
      <c r="I95" s="110">
        <f>+I94</f>
        <v>23</v>
      </c>
      <c r="J95" s="110">
        <f>+J94+1</f>
        <v>2</v>
      </c>
      <c r="K95" s="110" t="str">
        <f ca="1">'Tabla VII.1.'!$B$10</f>
        <v>Tabla VII.1.</v>
      </c>
      <c r="L95" s="110" t="str">
        <f t="shared" si="16"/>
        <v>A.2</v>
      </c>
    </row>
    <row r="96" spans="1:13" ht="15.75">
      <c r="A96" s="412" t="s">
        <v>3450</v>
      </c>
      <c r="B96" s="412" t="str">
        <f t="shared" si="14"/>
        <v>202503</v>
      </c>
      <c r="C96" s="412" t="s">
        <v>2945</v>
      </c>
      <c r="D96" s="413" t="str">
        <f ca="1">OFFSET('Tabla VII.1.'!$G$73,I96-1,0)</f>
        <v>01.02.02.11.</v>
      </c>
      <c r="E96" s="412">
        <f t="shared" si="15"/>
        <v>0</v>
      </c>
      <c r="F96" s="464" t="str">
        <f ca="1">VLOOKUP(OFFSET('Tabla VII.1.'!$G$73,I96-1,1),TABPAIS,2,FALSE)</f>
        <v>zzz</v>
      </c>
      <c r="G96" s="414">
        <f ca="1">OFFSET('Tabla VII.1.'!$I$73,I96-1,J96-1)</f>
        <v>0</v>
      </c>
      <c r="H96" s="412" t="str">
        <f ca="1">OFFSET('Tabla VII.1.'!$I$1,0,J96-1)</f>
        <v>01</v>
      </c>
      <c r="I96" s="111">
        <f>+I94+1</f>
        <v>24</v>
      </c>
      <c r="J96" s="111">
        <v>1</v>
      </c>
      <c r="K96" s="111" t="str">
        <f ca="1">'Tabla VII.1.'!$B$10</f>
        <v>Tabla VII.1.</v>
      </c>
      <c r="L96" s="111" t="str">
        <f t="shared" si="16"/>
        <v>A.2</v>
      </c>
    </row>
    <row r="97" spans="1:14" ht="15.75">
      <c r="A97" s="412" t="s">
        <v>3450</v>
      </c>
      <c r="B97" s="412" t="str">
        <f t="shared" si="14"/>
        <v>202503</v>
      </c>
      <c r="C97" s="412" t="s">
        <v>2945</v>
      </c>
      <c r="D97" s="413" t="str">
        <f ca="1">OFFSET('Tabla VII.1.'!$G$73,I97-1,0)</f>
        <v>01.02.02.11.</v>
      </c>
      <c r="E97" s="412">
        <f t="shared" si="15"/>
        <v>0</v>
      </c>
      <c r="F97" s="464" t="str">
        <f ca="1">VLOOKUP(OFFSET('Tabla VII.1.'!$G$73,I97-1,1),TABPAIS,2,FALSE)</f>
        <v>zzz</v>
      </c>
      <c r="G97" s="414">
        <f ca="1">OFFSET('Tabla VII.1.'!$I$73,I97-1,J97-1)</f>
        <v>0</v>
      </c>
      <c r="H97" s="412" t="str">
        <f ca="1">OFFSET('Tabla VII.1.'!$I$1,0,J97-1)</f>
        <v>02</v>
      </c>
      <c r="I97" s="111">
        <f>+I96</f>
        <v>24</v>
      </c>
      <c r="J97" s="111">
        <f>+J96+1</f>
        <v>2</v>
      </c>
      <c r="K97" s="111" t="str">
        <f ca="1">'Tabla VII.1.'!$B$10</f>
        <v>Tabla VII.1.</v>
      </c>
      <c r="L97" s="111" t="str">
        <f t="shared" si="16"/>
        <v>A.2</v>
      </c>
    </row>
    <row r="98" spans="1:14" ht="15.75">
      <c r="A98" s="107" t="s">
        <v>3450</v>
      </c>
      <c r="B98" s="107" t="str">
        <f t="shared" si="14"/>
        <v>202503</v>
      </c>
      <c r="C98" s="107" t="s">
        <v>2945</v>
      </c>
      <c r="D98" s="399" t="str">
        <f ca="1">OFFSET('Tabla VII.1.'!$G$73,I98-1,0)</f>
        <v>01.02.03.</v>
      </c>
      <c r="E98" s="107">
        <f t="shared" si="15"/>
        <v>0</v>
      </c>
      <c r="F98" s="462" t="s">
        <v>3451</v>
      </c>
      <c r="G98" s="108">
        <f ca="1">OFFSET('Tabla VII.1.'!$I$73,I98-1,J98-1)</f>
        <v>0</v>
      </c>
      <c r="H98" s="107" t="str">
        <f ca="1">OFFSET('Tabla VII.1.'!$I$1,0,J98-1)</f>
        <v>01</v>
      </c>
      <c r="I98" s="110">
        <f>+I96+1</f>
        <v>25</v>
      </c>
      <c r="J98" s="110">
        <v>1</v>
      </c>
      <c r="K98" s="110" t="str">
        <f ca="1">'Tabla VII.1.'!$B$10</f>
        <v>Tabla VII.1.</v>
      </c>
      <c r="L98" s="110" t="s">
        <v>2938</v>
      </c>
      <c r="M98" s="107">
        <f>+M74+1</f>
        <v>3</v>
      </c>
      <c r="N98" s="131"/>
    </row>
    <row r="99" spans="1:14" ht="15.75">
      <c r="A99" s="107" t="s">
        <v>3450</v>
      </c>
      <c r="B99" s="107" t="str">
        <f t="shared" si="14"/>
        <v>202503</v>
      </c>
      <c r="C99" s="107" t="s">
        <v>2945</v>
      </c>
      <c r="D99" s="399" t="str">
        <f ca="1">OFFSET('Tabla VII.1.'!$G$73,I99-1,0)</f>
        <v>01.02.03.</v>
      </c>
      <c r="E99" s="107">
        <f t="shared" si="15"/>
        <v>0</v>
      </c>
      <c r="F99" s="462" t="s">
        <v>3451</v>
      </c>
      <c r="G99" s="108">
        <f ca="1">OFFSET('Tabla VII.1.'!$I$73,I99-1,J99-1)</f>
        <v>0</v>
      </c>
      <c r="H99" s="107" t="str">
        <f ca="1">OFFSET('Tabla VII.1.'!$I$1,0,J99-1)</f>
        <v>02</v>
      </c>
      <c r="I99" s="110">
        <f>+I98</f>
        <v>25</v>
      </c>
      <c r="J99" s="110">
        <f>+J98+1</f>
        <v>2</v>
      </c>
      <c r="K99" s="110" t="str">
        <f ca="1">'Tabla VII.1.'!$B$10</f>
        <v>Tabla VII.1.</v>
      </c>
      <c r="L99" s="110" t="str">
        <f t="shared" ref="L99:L121" si="17">+L98</f>
        <v>A.2</v>
      </c>
      <c r="M99" s="107"/>
    </row>
    <row r="100" spans="1:14" ht="15.75">
      <c r="A100" s="412" t="s">
        <v>3450</v>
      </c>
      <c r="B100" s="412" t="str">
        <f t="shared" si="14"/>
        <v>202503</v>
      </c>
      <c r="C100" s="412" t="s">
        <v>2945</v>
      </c>
      <c r="D100" s="413" t="str">
        <f ca="1">OFFSET('Tabla VII.1.'!$G$73,I100-1,0)</f>
        <v>01.02.03.01.</v>
      </c>
      <c r="E100" s="412">
        <f t="shared" si="15"/>
        <v>0</v>
      </c>
      <c r="F100" s="464" t="str">
        <f ca="1">VLOOKUP(OFFSET('Tabla VII.1.'!$G$73,I100-1,1),TABPAIS,2,FALSE)</f>
        <v>00</v>
      </c>
      <c r="G100" s="414">
        <f ca="1">OFFSET('Tabla VII.1.'!$I$73,I100-1,J100-1)</f>
        <v>0</v>
      </c>
      <c r="H100" s="412" t="str">
        <f ca="1">OFFSET('Tabla VII.1.'!$I$1,0,J100-1)</f>
        <v>01</v>
      </c>
      <c r="I100" s="111">
        <f>+I98+1</f>
        <v>26</v>
      </c>
      <c r="J100" s="111">
        <v>1</v>
      </c>
      <c r="K100" s="111" t="str">
        <f ca="1">'Tabla VII.1.'!$B$10</f>
        <v>Tabla VII.1.</v>
      </c>
      <c r="L100" s="111" t="str">
        <f t="shared" si="17"/>
        <v>A.2</v>
      </c>
      <c r="M100" s="107"/>
    </row>
    <row r="101" spans="1:14" ht="15.75">
      <c r="A101" s="412" t="s">
        <v>3450</v>
      </c>
      <c r="B101" s="412" t="str">
        <f t="shared" si="14"/>
        <v>202503</v>
      </c>
      <c r="C101" s="412" t="s">
        <v>2945</v>
      </c>
      <c r="D101" s="413" t="str">
        <f ca="1">OFFSET('Tabla VII.1.'!$G$73,I101-1,0)</f>
        <v>01.02.03.01.</v>
      </c>
      <c r="E101" s="412">
        <f t="shared" si="15"/>
        <v>0</v>
      </c>
      <c r="F101" s="464" t="str">
        <f ca="1">VLOOKUP(OFFSET('Tabla VII.1.'!$G$73,I101-1,1),TABPAIS,2,FALSE)</f>
        <v>00</v>
      </c>
      <c r="G101" s="414">
        <f ca="1">OFFSET('Tabla VII.1.'!$I$73,I101-1,J101-1)</f>
        <v>0</v>
      </c>
      <c r="H101" s="412" t="str">
        <f ca="1">OFFSET('Tabla VII.1.'!$I$1,0,J101-1)</f>
        <v>02</v>
      </c>
      <c r="I101" s="111">
        <f>+I100</f>
        <v>26</v>
      </c>
      <c r="J101" s="111">
        <f>+J100+1</f>
        <v>2</v>
      </c>
      <c r="K101" s="111" t="str">
        <f ca="1">'Tabla VII.1.'!$B$10</f>
        <v>Tabla VII.1.</v>
      </c>
      <c r="L101" s="111" t="str">
        <f t="shared" si="17"/>
        <v>A.2</v>
      </c>
      <c r="M101" s="107"/>
    </row>
    <row r="102" spans="1:14" ht="15.75">
      <c r="A102" s="107" t="s">
        <v>3450</v>
      </c>
      <c r="B102" s="107" t="str">
        <f t="shared" si="14"/>
        <v>202503</v>
      </c>
      <c r="C102" s="107" t="s">
        <v>2945</v>
      </c>
      <c r="D102" s="399" t="str">
        <f ca="1">OFFSET('Tabla VII.1.'!$G$73,I102-1,0)</f>
        <v>01.02.03.02.</v>
      </c>
      <c r="E102" s="107">
        <f t="shared" si="15"/>
        <v>0</v>
      </c>
      <c r="F102" s="459" t="str">
        <f ca="1">VLOOKUP(OFFSET('Tabla VII.1.'!$G$73,I102-1,1),TABPAIS,2,FALSE)</f>
        <v>00</v>
      </c>
      <c r="G102" s="108">
        <f ca="1">OFFSET('Tabla VII.1.'!$I$73,I102-1,J102-1)</f>
        <v>0</v>
      </c>
      <c r="H102" s="107" t="str">
        <f ca="1">OFFSET('Tabla VII.1.'!$I$1,0,J102-1)</f>
        <v>01</v>
      </c>
      <c r="I102" s="110">
        <f>+I100+1</f>
        <v>27</v>
      </c>
      <c r="J102" s="110">
        <v>1</v>
      </c>
      <c r="K102" s="110" t="str">
        <f ca="1">'Tabla VII.1.'!$B$10</f>
        <v>Tabla VII.1.</v>
      </c>
      <c r="L102" s="110" t="str">
        <f t="shared" si="17"/>
        <v>A.2</v>
      </c>
      <c r="M102" s="107"/>
    </row>
    <row r="103" spans="1:14" ht="15.75">
      <c r="A103" s="107" t="s">
        <v>3450</v>
      </c>
      <c r="B103" s="107" t="str">
        <f t="shared" si="14"/>
        <v>202503</v>
      </c>
      <c r="C103" s="107" t="s">
        <v>2945</v>
      </c>
      <c r="D103" s="399" t="str">
        <f ca="1">OFFSET('Tabla VII.1.'!$G$73,I103-1,0)</f>
        <v>01.02.03.02.</v>
      </c>
      <c r="E103" s="107">
        <f t="shared" si="15"/>
        <v>0</v>
      </c>
      <c r="F103" s="459" t="str">
        <f ca="1">VLOOKUP(OFFSET('Tabla VII.1.'!$G$73,I103-1,1),TABPAIS,2,FALSE)</f>
        <v>00</v>
      </c>
      <c r="G103" s="108">
        <f ca="1">OFFSET('Tabla VII.1.'!$I$73,I103-1,J103-1)</f>
        <v>0</v>
      </c>
      <c r="H103" s="107" t="str">
        <f ca="1">OFFSET('Tabla VII.1.'!$I$1,0,J103-1)</f>
        <v>02</v>
      </c>
      <c r="I103" s="110">
        <f>+I102</f>
        <v>27</v>
      </c>
      <c r="J103" s="110">
        <f>+J102+1</f>
        <v>2</v>
      </c>
      <c r="K103" s="110" t="str">
        <f ca="1">'Tabla VII.1.'!$B$10</f>
        <v>Tabla VII.1.</v>
      </c>
      <c r="L103" s="110" t="str">
        <f t="shared" si="17"/>
        <v>A.2</v>
      </c>
      <c r="M103" s="107"/>
    </row>
    <row r="104" spans="1:14" ht="15.75">
      <c r="A104" s="412" t="s">
        <v>3450</v>
      </c>
      <c r="B104" s="412" t="str">
        <f t="shared" si="14"/>
        <v>202503</v>
      </c>
      <c r="C104" s="412" t="s">
        <v>2945</v>
      </c>
      <c r="D104" s="413" t="str">
        <f ca="1">OFFSET('Tabla VII.1.'!$G$73,I104-1,0)</f>
        <v>01.02.03.03.</v>
      </c>
      <c r="E104" s="412">
        <f t="shared" si="15"/>
        <v>0</v>
      </c>
      <c r="F104" s="464" t="str">
        <f ca="1">VLOOKUP(OFFSET('Tabla VII.1.'!$G$73,I104-1,1),TABPAIS,2,FALSE)</f>
        <v>00</v>
      </c>
      <c r="G104" s="414">
        <f ca="1">OFFSET('Tabla VII.1.'!$I$73,I104-1,J104-1)</f>
        <v>0</v>
      </c>
      <c r="H104" s="412" t="str">
        <f ca="1">OFFSET('Tabla VII.1.'!$I$1,0,J104-1)</f>
        <v>01</v>
      </c>
      <c r="I104" s="111">
        <f>+I102+1</f>
        <v>28</v>
      </c>
      <c r="J104" s="111">
        <v>1</v>
      </c>
      <c r="K104" s="111" t="str">
        <f ca="1">'Tabla VII.1.'!$B$10</f>
        <v>Tabla VII.1.</v>
      </c>
      <c r="L104" s="111" t="str">
        <f t="shared" si="17"/>
        <v>A.2</v>
      </c>
      <c r="M104" s="107"/>
    </row>
    <row r="105" spans="1:14" ht="15.75">
      <c r="A105" s="412" t="s">
        <v>3450</v>
      </c>
      <c r="B105" s="412" t="str">
        <f t="shared" si="14"/>
        <v>202503</v>
      </c>
      <c r="C105" s="412" t="s">
        <v>2945</v>
      </c>
      <c r="D105" s="413" t="str">
        <f ca="1">OFFSET('Tabla VII.1.'!$G$73,I105-1,0)</f>
        <v>01.02.03.03.</v>
      </c>
      <c r="E105" s="412">
        <f t="shared" si="15"/>
        <v>0</v>
      </c>
      <c r="F105" s="464" t="str">
        <f ca="1">VLOOKUP(OFFSET('Tabla VII.1.'!$G$73,I105-1,1),TABPAIS,2,FALSE)</f>
        <v>00</v>
      </c>
      <c r="G105" s="414">
        <f ca="1">OFFSET('Tabla VII.1.'!$I$73,I105-1,J105-1)</f>
        <v>0</v>
      </c>
      <c r="H105" s="412" t="str">
        <f ca="1">OFFSET('Tabla VII.1.'!$I$1,0,J105-1)</f>
        <v>02</v>
      </c>
      <c r="I105" s="111">
        <f>+I104</f>
        <v>28</v>
      </c>
      <c r="J105" s="111">
        <f>+J104+1</f>
        <v>2</v>
      </c>
      <c r="K105" s="111" t="str">
        <f ca="1">'Tabla VII.1.'!$B$10</f>
        <v>Tabla VII.1.</v>
      </c>
      <c r="L105" s="111" t="str">
        <f t="shared" si="17"/>
        <v>A.2</v>
      </c>
      <c r="M105" s="458"/>
    </row>
    <row r="106" spans="1:14" ht="15.75">
      <c r="A106" s="107" t="s">
        <v>3450</v>
      </c>
      <c r="B106" s="107" t="str">
        <f t="shared" si="14"/>
        <v>202503</v>
      </c>
      <c r="C106" s="107" t="s">
        <v>2945</v>
      </c>
      <c r="D106" s="399" t="str">
        <f ca="1">OFFSET('Tabla VII.1.'!$G$73,I106-1,0)</f>
        <v>01.02.03.04.</v>
      </c>
      <c r="E106" s="107">
        <f t="shared" si="15"/>
        <v>0</v>
      </c>
      <c r="F106" s="459" t="str">
        <f ca="1">VLOOKUP(OFFSET('Tabla VII.1.'!$G$73,I106-1,1),TABPAIS,2,FALSE)</f>
        <v>00</v>
      </c>
      <c r="G106" s="108">
        <f ca="1">OFFSET('Tabla VII.1.'!$I$73,I106-1,J106-1)</f>
        <v>0</v>
      </c>
      <c r="H106" s="107" t="str">
        <f ca="1">OFFSET('Tabla VII.1.'!$I$1,0,J106-1)</f>
        <v>01</v>
      </c>
      <c r="I106" s="110">
        <f>+I104+1</f>
        <v>29</v>
      </c>
      <c r="J106" s="110">
        <v>1</v>
      </c>
      <c r="K106" s="110" t="str">
        <f ca="1">'Tabla VII.1.'!$B$10</f>
        <v>Tabla VII.1.</v>
      </c>
      <c r="L106" s="110" t="str">
        <f t="shared" si="17"/>
        <v>A.2</v>
      </c>
      <c r="M106" s="458"/>
    </row>
    <row r="107" spans="1:14" ht="15.75">
      <c r="A107" s="107" t="s">
        <v>3450</v>
      </c>
      <c r="B107" s="107" t="str">
        <f t="shared" si="14"/>
        <v>202503</v>
      </c>
      <c r="C107" s="107" t="s">
        <v>2945</v>
      </c>
      <c r="D107" s="399" t="str">
        <f ca="1">OFFSET('Tabla VII.1.'!$G$73,I107-1,0)</f>
        <v>01.02.03.04.</v>
      </c>
      <c r="E107" s="107">
        <f t="shared" si="15"/>
        <v>0</v>
      </c>
      <c r="F107" s="459" t="str">
        <f ca="1">VLOOKUP(OFFSET('Tabla VII.1.'!$G$73,I107-1,1),TABPAIS,2,FALSE)</f>
        <v>00</v>
      </c>
      <c r="G107" s="108">
        <f ca="1">OFFSET('Tabla VII.1.'!$I$73,I107-1,J107-1)</f>
        <v>0</v>
      </c>
      <c r="H107" s="107" t="str">
        <f ca="1">OFFSET('Tabla VII.1.'!$I$1,0,J107-1)</f>
        <v>02</v>
      </c>
      <c r="I107" s="110">
        <f>+I106</f>
        <v>29</v>
      </c>
      <c r="J107" s="110">
        <f>+J106+1</f>
        <v>2</v>
      </c>
      <c r="K107" s="110" t="str">
        <f ca="1">'Tabla VII.1.'!$B$10</f>
        <v>Tabla VII.1.</v>
      </c>
      <c r="L107" s="110" t="str">
        <f t="shared" si="17"/>
        <v>A.2</v>
      </c>
      <c r="M107" s="458"/>
    </row>
    <row r="108" spans="1:14" ht="15.75">
      <c r="A108" s="412" t="s">
        <v>3450</v>
      </c>
      <c r="B108" s="412" t="str">
        <f t="shared" si="14"/>
        <v>202503</v>
      </c>
      <c r="C108" s="412" t="s">
        <v>2945</v>
      </c>
      <c r="D108" s="413" t="str">
        <f ca="1">OFFSET('Tabla VII.1.'!$G$73,I108-1,0)</f>
        <v>01.02.03.05.</v>
      </c>
      <c r="E108" s="412">
        <f t="shared" si="15"/>
        <v>0</v>
      </c>
      <c r="F108" s="464" t="str">
        <f ca="1">VLOOKUP(OFFSET('Tabla VII.1.'!$G$73,I108-1,1),TABPAIS,2,FALSE)</f>
        <v>00</v>
      </c>
      <c r="G108" s="414">
        <f ca="1">OFFSET('Tabla VII.1.'!$I$73,I108-1,J108-1)</f>
        <v>0</v>
      </c>
      <c r="H108" s="412" t="str">
        <f ca="1">OFFSET('Tabla VII.1.'!$I$1,0,J108-1)</f>
        <v>01</v>
      </c>
      <c r="I108" s="111">
        <f>+I106+1</f>
        <v>30</v>
      </c>
      <c r="J108" s="111">
        <v>1</v>
      </c>
      <c r="K108" s="111" t="str">
        <f ca="1">'Tabla VII.1.'!$B$10</f>
        <v>Tabla VII.1.</v>
      </c>
      <c r="L108" s="111" t="str">
        <f t="shared" si="17"/>
        <v>A.2</v>
      </c>
      <c r="M108" s="458"/>
    </row>
    <row r="109" spans="1:14" ht="15.75">
      <c r="A109" s="412" t="s">
        <v>3450</v>
      </c>
      <c r="B109" s="412" t="str">
        <f t="shared" si="14"/>
        <v>202503</v>
      </c>
      <c r="C109" s="412" t="s">
        <v>2945</v>
      </c>
      <c r="D109" s="413" t="str">
        <f ca="1">OFFSET('Tabla VII.1.'!$G$73,I109-1,0)</f>
        <v>01.02.03.05.</v>
      </c>
      <c r="E109" s="412">
        <f t="shared" si="15"/>
        <v>0</v>
      </c>
      <c r="F109" s="464" t="str">
        <f ca="1">VLOOKUP(OFFSET('Tabla VII.1.'!$G$73,I109-1,1),TABPAIS,2,FALSE)</f>
        <v>00</v>
      </c>
      <c r="G109" s="414">
        <f ca="1">OFFSET('Tabla VII.1.'!$I$73,I109-1,J109-1)</f>
        <v>0</v>
      </c>
      <c r="H109" s="412" t="str">
        <f ca="1">OFFSET('Tabla VII.1.'!$I$1,0,J109-1)</f>
        <v>02</v>
      </c>
      <c r="I109" s="111">
        <f>+I108</f>
        <v>30</v>
      </c>
      <c r="J109" s="111">
        <f>+J108+1</f>
        <v>2</v>
      </c>
      <c r="K109" s="111" t="str">
        <f ca="1">'Tabla VII.1.'!$B$10</f>
        <v>Tabla VII.1.</v>
      </c>
      <c r="L109" s="111" t="str">
        <f t="shared" si="17"/>
        <v>A.2</v>
      </c>
      <c r="M109" s="458"/>
    </row>
    <row r="110" spans="1:14" ht="15.75">
      <c r="A110" s="107" t="s">
        <v>3450</v>
      </c>
      <c r="B110" s="107" t="str">
        <f t="shared" si="14"/>
        <v>202503</v>
      </c>
      <c r="C110" s="107" t="s">
        <v>2945</v>
      </c>
      <c r="D110" s="399" t="str">
        <f ca="1">OFFSET('Tabla VII.1.'!$G$73,I110-1,0)</f>
        <v>01.02.03.06.</v>
      </c>
      <c r="E110" s="107">
        <f t="shared" si="15"/>
        <v>0</v>
      </c>
      <c r="F110" s="459" t="str">
        <f ca="1">VLOOKUP(OFFSET('Tabla VII.1.'!$G$73,I110-1,1),TABPAIS,2,FALSE)</f>
        <v>00</v>
      </c>
      <c r="G110" s="108">
        <f ca="1">OFFSET('Tabla VII.1.'!$I$73,I110-1,J110-1)</f>
        <v>0</v>
      </c>
      <c r="H110" s="107" t="str">
        <f ca="1">OFFSET('Tabla VII.1.'!$I$1,0,J110-1)</f>
        <v>01</v>
      </c>
      <c r="I110" s="110">
        <f>+I108+1</f>
        <v>31</v>
      </c>
      <c r="J110" s="110">
        <v>1</v>
      </c>
      <c r="K110" s="110" t="str">
        <f ca="1">'Tabla VII.1.'!$B$10</f>
        <v>Tabla VII.1.</v>
      </c>
      <c r="L110" s="110" t="str">
        <f t="shared" si="17"/>
        <v>A.2</v>
      </c>
    </row>
    <row r="111" spans="1:14" ht="15.75">
      <c r="A111" s="107" t="s">
        <v>3450</v>
      </c>
      <c r="B111" s="107" t="str">
        <f t="shared" si="14"/>
        <v>202503</v>
      </c>
      <c r="C111" s="107" t="s">
        <v>2945</v>
      </c>
      <c r="D111" s="399" t="str">
        <f ca="1">OFFSET('Tabla VII.1.'!$G$73,I111-1,0)</f>
        <v>01.02.03.06.</v>
      </c>
      <c r="E111" s="107">
        <f t="shared" si="15"/>
        <v>0</v>
      </c>
      <c r="F111" s="459" t="str">
        <f ca="1">VLOOKUP(OFFSET('Tabla VII.1.'!$G$73,I111-1,1),TABPAIS,2,FALSE)</f>
        <v>00</v>
      </c>
      <c r="G111" s="108">
        <f ca="1">OFFSET('Tabla VII.1.'!$I$73,I111-1,J111-1)</f>
        <v>0</v>
      </c>
      <c r="H111" s="107" t="str">
        <f ca="1">OFFSET('Tabla VII.1.'!$I$1,0,J111-1)</f>
        <v>02</v>
      </c>
      <c r="I111" s="110">
        <f>+I110</f>
        <v>31</v>
      </c>
      <c r="J111" s="110">
        <f>+J110+1</f>
        <v>2</v>
      </c>
      <c r="K111" s="110" t="str">
        <f ca="1">'Tabla VII.1.'!$B$10</f>
        <v>Tabla VII.1.</v>
      </c>
      <c r="L111" s="110" t="str">
        <f t="shared" si="17"/>
        <v>A.2</v>
      </c>
    </row>
    <row r="112" spans="1:14" ht="15.75">
      <c r="A112" s="412" t="s">
        <v>3450</v>
      </c>
      <c r="B112" s="412" t="str">
        <f t="shared" si="14"/>
        <v>202503</v>
      </c>
      <c r="C112" s="412" t="s">
        <v>2945</v>
      </c>
      <c r="D112" s="413" t="str">
        <f ca="1">OFFSET('Tabla VII.1.'!$G$73,I112-1,0)</f>
        <v>01.02.03.07.</v>
      </c>
      <c r="E112" s="412">
        <f t="shared" si="15"/>
        <v>0</v>
      </c>
      <c r="F112" s="464" t="str">
        <f ca="1">VLOOKUP(OFFSET('Tabla VII.1.'!$G$73,I112-1,1),TABPAIS,2,FALSE)</f>
        <v>00</v>
      </c>
      <c r="G112" s="414">
        <f ca="1">OFFSET('Tabla VII.1.'!$I$73,I112-1,J112-1)</f>
        <v>0</v>
      </c>
      <c r="H112" s="412" t="str">
        <f ca="1">OFFSET('Tabla VII.1.'!$I$1,0,J112-1)</f>
        <v>01</v>
      </c>
      <c r="I112" s="111">
        <f>+I110+1</f>
        <v>32</v>
      </c>
      <c r="J112" s="111">
        <v>1</v>
      </c>
      <c r="K112" s="111" t="str">
        <f ca="1">'Tabla VII.1.'!$B$10</f>
        <v>Tabla VII.1.</v>
      </c>
      <c r="L112" s="111" t="str">
        <f t="shared" si="17"/>
        <v>A.2</v>
      </c>
    </row>
    <row r="113" spans="1:13" ht="15.75">
      <c r="A113" s="412" t="s">
        <v>3450</v>
      </c>
      <c r="B113" s="412" t="str">
        <f t="shared" si="14"/>
        <v>202503</v>
      </c>
      <c r="C113" s="412" t="s">
        <v>2945</v>
      </c>
      <c r="D113" s="413" t="str">
        <f ca="1">OFFSET('Tabla VII.1.'!$G$73,I113-1,0)</f>
        <v>01.02.03.07.</v>
      </c>
      <c r="E113" s="412">
        <f t="shared" si="15"/>
        <v>0</v>
      </c>
      <c r="F113" s="464" t="str">
        <f ca="1">VLOOKUP(OFFSET('Tabla VII.1.'!$G$73,I113-1,1),TABPAIS,2,FALSE)</f>
        <v>00</v>
      </c>
      <c r="G113" s="414">
        <f ca="1">OFFSET('Tabla VII.1.'!$I$73,I113-1,J113-1)</f>
        <v>0</v>
      </c>
      <c r="H113" s="412" t="str">
        <f ca="1">OFFSET('Tabla VII.1.'!$I$1,0,J113-1)</f>
        <v>02</v>
      </c>
      <c r="I113" s="111">
        <f>+I112</f>
        <v>32</v>
      </c>
      <c r="J113" s="111">
        <f>+J112+1</f>
        <v>2</v>
      </c>
      <c r="K113" s="111" t="str">
        <f ca="1">'Tabla VII.1.'!$B$10</f>
        <v>Tabla VII.1.</v>
      </c>
      <c r="L113" s="111" t="str">
        <f t="shared" si="17"/>
        <v>A.2</v>
      </c>
    </row>
    <row r="114" spans="1:13" ht="15.75">
      <c r="A114" s="107" t="s">
        <v>3450</v>
      </c>
      <c r="B114" s="107" t="str">
        <f t="shared" si="14"/>
        <v>202503</v>
      </c>
      <c r="C114" s="107" t="s">
        <v>2945</v>
      </c>
      <c r="D114" s="399" t="str">
        <f ca="1">OFFSET('Tabla VII.1.'!$G$73,I114-1,0)</f>
        <v>01.02.03.08.</v>
      </c>
      <c r="E114" s="107">
        <f t="shared" si="15"/>
        <v>0</v>
      </c>
      <c r="F114" s="459" t="str">
        <f ca="1">VLOOKUP(OFFSET('Tabla VII.1.'!$G$73,I114-1,1),TABPAIS,2,FALSE)</f>
        <v>00</v>
      </c>
      <c r="G114" s="108">
        <f ca="1">OFFSET('Tabla VII.1.'!$I$73,I114-1,J114-1)</f>
        <v>0</v>
      </c>
      <c r="H114" s="107" t="str">
        <f ca="1">OFFSET('Tabla VII.1.'!$I$1,0,J114-1)</f>
        <v>01</v>
      </c>
      <c r="I114" s="110">
        <f>+I112+1</f>
        <v>33</v>
      </c>
      <c r="J114" s="110">
        <v>1</v>
      </c>
      <c r="K114" s="110" t="str">
        <f ca="1">'Tabla VII.1.'!$B$10</f>
        <v>Tabla VII.1.</v>
      </c>
      <c r="L114" s="110" t="str">
        <f t="shared" si="17"/>
        <v>A.2</v>
      </c>
    </row>
    <row r="115" spans="1:13" ht="15.75">
      <c r="A115" s="107" t="s">
        <v>3450</v>
      </c>
      <c r="B115" s="107" t="str">
        <f t="shared" si="14"/>
        <v>202503</v>
      </c>
      <c r="C115" s="107" t="s">
        <v>2945</v>
      </c>
      <c r="D115" s="399" t="str">
        <f ca="1">OFFSET('Tabla VII.1.'!$G$73,I115-1,0)</f>
        <v>01.02.03.08.</v>
      </c>
      <c r="E115" s="107">
        <f t="shared" si="15"/>
        <v>0</v>
      </c>
      <c r="F115" s="459" t="str">
        <f ca="1">VLOOKUP(OFFSET('Tabla VII.1.'!$G$73,I115-1,1),TABPAIS,2,FALSE)</f>
        <v>00</v>
      </c>
      <c r="G115" s="108">
        <f ca="1">OFFSET('Tabla VII.1.'!$I$73,I115-1,J115-1)</f>
        <v>0</v>
      </c>
      <c r="H115" s="107" t="str">
        <f ca="1">OFFSET('Tabla VII.1.'!$I$1,0,J115-1)</f>
        <v>02</v>
      </c>
      <c r="I115" s="110">
        <f>+I114</f>
        <v>33</v>
      </c>
      <c r="J115" s="110">
        <f>+J114+1</f>
        <v>2</v>
      </c>
      <c r="K115" s="110" t="str">
        <f ca="1">'Tabla VII.1.'!$B$10</f>
        <v>Tabla VII.1.</v>
      </c>
      <c r="L115" s="110" t="str">
        <f t="shared" si="17"/>
        <v>A.2</v>
      </c>
    </row>
    <row r="116" spans="1:13" ht="15.75">
      <c r="A116" s="412" t="s">
        <v>3450</v>
      </c>
      <c r="B116" s="412" t="str">
        <f t="shared" si="14"/>
        <v>202503</v>
      </c>
      <c r="C116" s="412" t="s">
        <v>2945</v>
      </c>
      <c r="D116" s="413" t="str">
        <f ca="1">OFFSET('Tabla VII.1.'!$G$73,I116-1,0)</f>
        <v>01.02.03.09.</v>
      </c>
      <c r="E116" s="412">
        <f t="shared" si="15"/>
        <v>0</v>
      </c>
      <c r="F116" s="464" t="str">
        <f ca="1">VLOOKUP(OFFSET('Tabla VII.1.'!$G$73,I116-1,1),TABPAIS,2,FALSE)</f>
        <v>00</v>
      </c>
      <c r="G116" s="414">
        <f ca="1">OFFSET('Tabla VII.1.'!$I$73,I116-1,J116-1)</f>
        <v>0</v>
      </c>
      <c r="H116" s="412" t="str">
        <f ca="1">OFFSET('Tabla VII.1.'!$I$1,0,J116-1)</f>
        <v>01</v>
      </c>
      <c r="I116" s="111">
        <f>+I114+1</f>
        <v>34</v>
      </c>
      <c r="J116" s="111">
        <v>1</v>
      </c>
      <c r="K116" s="111" t="str">
        <f ca="1">'Tabla VII.1.'!$B$10</f>
        <v>Tabla VII.1.</v>
      </c>
      <c r="L116" s="111" t="str">
        <f t="shared" si="17"/>
        <v>A.2</v>
      </c>
    </row>
    <row r="117" spans="1:13" ht="15.75">
      <c r="A117" s="412" t="s">
        <v>3450</v>
      </c>
      <c r="B117" s="412" t="str">
        <f t="shared" si="14"/>
        <v>202503</v>
      </c>
      <c r="C117" s="412" t="s">
        <v>2945</v>
      </c>
      <c r="D117" s="413" t="str">
        <f ca="1">OFFSET('Tabla VII.1.'!$G$73,I117-1,0)</f>
        <v>01.02.03.09.</v>
      </c>
      <c r="E117" s="412">
        <f t="shared" si="15"/>
        <v>0</v>
      </c>
      <c r="F117" s="464" t="str">
        <f ca="1">VLOOKUP(OFFSET('Tabla VII.1.'!$G$73,I117-1,1),TABPAIS,2,FALSE)</f>
        <v>00</v>
      </c>
      <c r="G117" s="414">
        <f ca="1">OFFSET('Tabla VII.1.'!$I$73,I117-1,J117-1)</f>
        <v>0</v>
      </c>
      <c r="H117" s="412" t="str">
        <f ca="1">OFFSET('Tabla VII.1.'!$I$1,0,J117-1)</f>
        <v>02</v>
      </c>
      <c r="I117" s="111">
        <f>+I116</f>
        <v>34</v>
      </c>
      <c r="J117" s="111">
        <f>+J116+1</f>
        <v>2</v>
      </c>
      <c r="K117" s="111" t="str">
        <f ca="1">'Tabla VII.1.'!$B$10</f>
        <v>Tabla VII.1.</v>
      </c>
      <c r="L117" s="111" t="str">
        <f t="shared" si="17"/>
        <v>A.2</v>
      </c>
    </row>
    <row r="118" spans="1:13" ht="15.75">
      <c r="A118" s="107" t="s">
        <v>3450</v>
      </c>
      <c r="B118" s="107" t="str">
        <f t="shared" si="14"/>
        <v>202503</v>
      </c>
      <c r="C118" s="107" t="s">
        <v>2945</v>
      </c>
      <c r="D118" s="399" t="str">
        <f ca="1">OFFSET('Tabla VII.1.'!$G$73,I118-1,0)</f>
        <v>01.02.03.10.</v>
      </c>
      <c r="E118" s="107">
        <f t="shared" si="15"/>
        <v>0</v>
      </c>
      <c r="F118" s="459" t="str">
        <f ca="1">VLOOKUP(OFFSET('Tabla VII.1.'!$G$73,I118-1,1),TABPAIS,2,FALSE)</f>
        <v>00</v>
      </c>
      <c r="G118" s="108">
        <f ca="1">OFFSET('Tabla VII.1.'!$I$73,I118-1,J118-1)</f>
        <v>0</v>
      </c>
      <c r="H118" s="107" t="str">
        <f ca="1">OFFSET('Tabla VII.1.'!$I$1,0,J118-1)</f>
        <v>01</v>
      </c>
      <c r="I118" s="110">
        <f>+I116+1</f>
        <v>35</v>
      </c>
      <c r="J118" s="110">
        <v>1</v>
      </c>
      <c r="K118" s="110" t="str">
        <f ca="1">'Tabla VII.1.'!$B$10</f>
        <v>Tabla VII.1.</v>
      </c>
      <c r="L118" s="110" t="str">
        <f t="shared" si="17"/>
        <v>A.2</v>
      </c>
    </row>
    <row r="119" spans="1:13" ht="15.75">
      <c r="A119" s="107" t="s">
        <v>3450</v>
      </c>
      <c r="B119" s="107" t="str">
        <f t="shared" si="14"/>
        <v>202503</v>
      </c>
      <c r="C119" s="107" t="s">
        <v>2945</v>
      </c>
      <c r="D119" s="399" t="str">
        <f ca="1">OFFSET('Tabla VII.1.'!$G$73,I119-1,0)</f>
        <v>01.02.03.10.</v>
      </c>
      <c r="E119" s="107">
        <f t="shared" si="15"/>
        <v>0</v>
      </c>
      <c r="F119" s="459" t="str">
        <f ca="1">VLOOKUP(OFFSET('Tabla VII.1.'!$G$73,I119-1,1),TABPAIS,2,FALSE)</f>
        <v>00</v>
      </c>
      <c r="G119" s="108">
        <f ca="1">OFFSET('Tabla VII.1.'!$I$73,I119-1,J119-1)</f>
        <v>0</v>
      </c>
      <c r="H119" s="107" t="str">
        <f ca="1">OFFSET('Tabla VII.1.'!$I$1,0,J119-1)</f>
        <v>02</v>
      </c>
      <c r="I119" s="110">
        <f>+I118</f>
        <v>35</v>
      </c>
      <c r="J119" s="110">
        <f>+J118+1</f>
        <v>2</v>
      </c>
      <c r="K119" s="110" t="str">
        <f ca="1">'Tabla VII.1.'!$B$10</f>
        <v>Tabla VII.1.</v>
      </c>
      <c r="L119" s="110" t="str">
        <f t="shared" si="17"/>
        <v>A.2</v>
      </c>
    </row>
    <row r="120" spans="1:13" ht="15.75">
      <c r="A120" s="412" t="s">
        <v>3450</v>
      </c>
      <c r="B120" s="412" t="str">
        <f t="shared" si="14"/>
        <v>202503</v>
      </c>
      <c r="C120" s="412" t="s">
        <v>2945</v>
      </c>
      <c r="D120" s="413" t="str">
        <f ca="1">OFFSET('Tabla VII.1.'!$G$73,I120-1,0)</f>
        <v>01.02.03.11.</v>
      </c>
      <c r="E120" s="412">
        <f t="shared" si="15"/>
        <v>0</v>
      </c>
      <c r="F120" s="464" t="str">
        <f ca="1">VLOOKUP(OFFSET('Tabla VII.1.'!$G$73,I120-1,1),TABPAIS,2,FALSE)</f>
        <v>zzz</v>
      </c>
      <c r="G120" s="414">
        <f ca="1">OFFSET('Tabla VII.1.'!$I$73,I120-1,J120-1)</f>
        <v>0</v>
      </c>
      <c r="H120" s="412" t="str">
        <f ca="1">OFFSET('Tabla VII.1.'!$I$1,0,J120-1)</f>
        <v>01</v>
      </c>
      <c r="I120" s="111">
        <f>+I118+1</f>
        <v>36</v>
      </c>
      <c r="J120" s="111">
        <v>1</v>
      </c>
      <c r="K120" s="111" t="str">
        <f ca="1">'Tabla VII.1.'!$B$10</f>
        <v>Tabla VII.1.</v>
      </c>
      <c r="L120" s="111" t="str">
        <f t="shared" si="17"/>
        <v>A.2</v>
      </c>
    </row>
    <row r="121" spans="1:13" ht="15.75">
      <c r="A121" s="412" t="s">
        <v>3450</v>
      </c>
      <c r="B121" s="412" t="str">
        <f t="shared" si="14"/>
        <v>202503</v>
      </c>
      <c r="C121" s="412" t="s">
        <v>2945</v>
      </c>
      <c r="D121" s="413" t="str">
        <f ca="1">OFFSET('Tabla VII.1.'!$G$73,I121-1,0)</f>
        <v>01.02.03.11.</v>
      </c>
      <c r="E121" s="412">
        <f t="shared" si="15"/>
        <v>0</v>
      </c>
      <c r="F121" s="464" t="str">
        <f ca="1">VLOOKUP(OFFSET('Tabla VII.1.'!$G$73,I121-1,1),TABPAIS,2,FALSE)</f>
        <v>zzz</v>
      </c>
      <c r="G121" s="414">
        <f ca="1">OFFSET('Tabla VII.1.'!$I$73,I121-1,J121-1)</f>
        <v>0</v>
      </c>
      <c r="H121" s="412" t="str">
        <f ca="1">OFFSET('Tabla VII.1.'!$I$1,0,J121-1)</f>
        <v>02</v>
      </c>
      <c r="I121" s="111">
        <f>+I120</f>
        <v>36</v>
      </c>
      <c r="J121" s="111">
        <f>+J120+1</f>
        <v>2</v>
      </c>
      <c r="K121" s="111" t="str">
        <f ca="1">'Tabla VII.1.'!$B$10</f>
        <v>Tabla VII.1.</v>
      </c>
      <c r="L121" s="111" t="str">
        <f t="shared" si="17"/>
        <v>A.2</v>
      </c>
    </row>
    <row r="122" spans="1:13" ht="15.75">
      <c r="A122" s="107" t="s">
        <v>3450</v>
      </c>
      <c r="B122" s="107" t="str">
        <f t="shared" si="14"/>
        <v>202503</v>
      </c>
      <c r="C122" s="107" t="s">
        <v>2945</v>
      </c>
      <c r="D122" s="399" t="str">
        <f ca="1">OFFSET('Tabla VII.1.'!$G$73,I122-1,0)</f>
        <v>01.02.04.</v>
      </c>
      <c r="E122" s="107">
        <f t="shared" si="15"/>
        <v>0</v>
      </c>
      <c r="F122" s="462" t="s">
        <v>3451</v>
      </c>
      <c r="G122" s="108">
        <f ca="1">OFFSET('Tabla VII.1.'!$I$73,I122-1,J122-1)</f>
        <v>0</v>
      </c>
      <c r="H122" s="107" t="str">
        <f ca="1">OFFSET('Tabla VII.1.'!$I$1,0,J122-1)</f>
        <v>01</v>
      </c>
      <c r="I122" s="110">
        <f>+I120+1</f>
        <v>37</v>
      </c>
      <c r="J122" s="110">
        <v>1</v>
      </c>
      <c r="K122" s="110" t="str">
        <f ca="1">'Tabla VII.1.'!$B$10</f>
        <v>Tabla VII.1.</v>
      </c>
      <c r="L122" s="110" t="s">
        <v>2938</v>
      </c>
      <c r="M122" s="107">
        <f>+M98+1</f>
        <v>4</v>
      </c>
    </row>
    <row r="123" spans="1:13" ht="15.75">
      <c r="A123" s="107" t="s">
        <v>3450</v>
      </c>
      <c r="B123" s="107" t="str">
        <f t="shared" si="14"/>
        <v>202503</v>
      </c>
      <c r="C123" s="107" t="s">
        <v>2945</v>
      </c>
      <c r="D123" s="399" t="str">
        <f ca="1">OFFSET('Tabla VII.1.'!$G$73,I123-1,0)</f>
        <v>01.02.04.</v>
      </c>
      <c r="E123" s="107">
        <f t="shared" si="15"/>
        <v>0</v>
      </c>
      <c r="F123" s="462" t="s">
        <v>3451</v>
      </c>
      <c r="G123" s="108">
        <f ca="1">OFFSET('Tabla VII.1.'!$I$73,I123-1,J123-1)</f>
        <v>0</v>
      </c>
      <c r="H123" s="107" t="str">
        <f ca="1">OFFSET('Tabla VII.1.'!$I$1,0,J123-1)</f>
        <v>02</v>
      </c>
      <c r="I123" s="110">
        <f>+I122</f>
        <v>37</v>
      </c>
      <c r="J123" s="110">
        <f>+J122+1</f>
        <v>2</v>
      </c>
      <c r="K123" s="110" t="str">
        <f ca="1">'Tabla VII.1.'!$B$10</f>
        <v>Tabla VII.1.</v>
      </c>
      <c r="L123" s="110" t="str">
        <f t="shared" ref="L123:L145" si="18">+L122</f>
        <v>A.2</v>
      </c>
      <c r="M123" s="107"/>
    </row>
    <row r="124" spans="1:13" ht="15.75">
      <c r="A124" s="412" t="s">
        <v>3450</v>
      </c>
      <c r="B124" s="412" t="str">
        <f t="shared" si="14"/>
        <v>202503</v>
      </c>
      <c r="C124" s="412" t="s">
        <v>2945</v>
      </c>
      <c r="D124" s="413" t="str">
        <f ca="1">OFFSET('Tabla VII.1.'!$G$73,I124-1,0)</f>
        <v>01.02.04.01.</v>
      </c>
      <c r="E124" s="412">
        <f t="shared" si="15"/>
        <v>0</v>
      </c>
      <c r="F124" s="464" t="str">
        <f ca="1">VLOOKUP(OFFSET('Tabla VII.1.'!$G$73,I124-1,1),TABPAIS,2,FALSE)</f>
        <v>00</v>
      </c>
      <c r="G124" s="414">
        <f ca="1">OFFSET('Tabla VII.1.'!$I$73,I124-1,J124-1)</f>
        <v>0</v>
      </c>
      <c r="H124" s="412" t="str">
        <f ca="1">OFFSET('Tabla VII.1.'!$I$1,0,J124-1)</f>
        <v>01</v>
      </c>
      <c r="I124" s="111">
        <f>+I122+1</f>
        <v>38</v>
      </c>
      <c r="J124" s="111">
        <v>1</v>
      </c>
      <c r="K124" s="111" t="str">
        <f ca="1">'Tabla VII.1.'!$B$10</f>
        <v>Tabla VII.1.</v>
      </c>
      <c r="L124" s="111" t="str">
        <f t="shared" si="18"/>
        <v>A.2</v>
      </c>
      <c r="M124" s="107"/>
    </row>
    <row r="125" spans="1:13" ht="15.75">
      <c r="A125" s="412" t="s">
        <v>3450</v>
      </c>
      <c r="B125" s="412" t="str">
        <f t="shared" si="14"/>
        <v>202503</v>
      </c>
      <c r="C125" s="412" t="s">
        <v>2945</v>
      </c>
      <c r="D125" s="413" t="str">
        <f ca="1">OFFSET('Tabla VII.1.'!$G$73,I125-1,0)</f>
        <v>01.02.04.01.</v>
      </c>
      <c r="E125" s="412">
        <f t="shared" si="15"/>
        <v>0</v>
      </c>
      <c r="F125" s="464" t="str">
        <f ca="1">VLOOKUP(OFFSET('Tabla VII.1.'!$G$73,I125-1,1),TABPAIS,2,FALSE)</f>
        <v>00</v>
      </c>
      <c r="G125" s="414">
        <f ca="1">OFFSET('Tabla VII.1.'!$I$73,I125-1,J125-1)</f>
        <v>0</v>
      </c>
      <c r="H125" s="412" t="str">
        <f ca="1">OFFSET('Tabla VII.1.'!$I$1,0,J125-1)</f>
        <v>02</v>
      </c>
      <c r="I125" s="111">
        <f>+I124</f>
        <v>38</v>
      </c>
      <c r="J125" s="111">
        <f>+J124+1</f>
        <v>2</v>
      </c>
      <c r="K125" s="111" t="str">
        <f ca="1">'Tabla VII.1.'!$B$10</f>
        <v>Tabla VII.1.</v>
      </c>
      <c r="L125" s="111" t="str">
        <f t="shared" si="18"/>
        <v>A.2</v>
      </c>
      <c r="M125" s="107"/>
    </row>
    <row r="126" spans="1:13" ht="15.75">
      <c r="A126" s="107" t="s">
        <v>3450</v>
      </c>
      <c r="B126" s="107" t="str">
        <f t="shared" si="14"/>
        <v>202503</v>
      </c>
      <c r="C126" s="107" t="s">
        <v>2945</v>
      </c>
      <c r="D126" s="399" t="str">
        <f ca="1">OFFSET('Tabla VII.1.'!$G$73,I126-1,0)</f>
        <v>01.02.04.02.</v>
      </c>
      <c r="E126" s="107">
        <f t="shared" si="15"/>
        <v>0</v>
      </c>
      <c r="F126" s="459" t="str">
        <f ca="1">VLOOKUP(OFFSET('Tabla VII.1.'!$G$73,I126-1,1),TABPAIS,2,FALSE)</f>
        <v>00</v>
      </c>
      <c r="G126" s="108">
        <f ca="1">OFFSET('Tabla VII.1.'!$I$73,I126-1,J126-1)</f>
        <v>0</v>
      </c>
      <c r="H126" s="107" t="str">
        <f ca="1">OFFSET('Tabla VII.1.'!$I$1,0,J126-1)</f>
        <v>01</v>
      </c>
      <c r="I126" s="110">
        <f>+I124+1</f>
        <v>39</v>
      </c>
      <c r="J126" s="110">
        <v>1</v>
      </c>
      <c r="K126" s="110" t="str">
        <f ca="1">'Tabla VII.1.'!$B$10</f>
        <v>Tabla VII.1.</v>
      </c>
      <c r="L126" s="110" t="str">
        <f t="shared" si="18"/>
        <v>A.2</v>
      </c>
      <c r="M126" s="107"/>
    </row>
    <row r="127" spans="1:13" ht="15.75">
      <c r="A127" s="107" t="s">
        <v>3450</v>
      </c>
      <c r="B127" s="107" t="str">
        <f t="shared" si="14"/>
        <v>202503</v>
      </c>
      <c r="C127" s="107" t="s">
        <v>2945</v>
      </c>
      <c r="D127" s="399" t="str">
        <f ca="1">OFFSET('Tabla VII.1.'!$G$73,I127-1,0)</f>
        <v>01.02.04.02.</v>
      </c>
      <c r="E127" s="107">
        <f t="shared" si="15"/>
        <v>0</v>
      </c>
      <c r="F127" s="459" t="str">
        <f ca="1">VLOOKUP(OFFSET('Tabla VII.1.'!$G$73,I127-1,1),TABPAIS,2,FALSE)</f>
        <v>00</v>
      </c>
      <c r="G127" s="108">
        <f ca="1">OFFSET('Tabla VII.1.'!$I$73,I127-1,J127-1)</f>
        <v>0</v>
      </c>
      <c r="H127" s="107" t="str">
        <f ca="1">OFFSET('Tabla VII.1.'!$I$1,0,J127-1)</f>
        <v>02</v>
      </c>
      <c r="I127" s="110">
        <f>+I126</f>
        <v>39</v>
      </c>
      <c r="J127" s="110">
        <f>+J126+1</f>
        <v>2</v>
      </c>
      <c r="K127" s="110" t="str">
        <f ca="1">'Tabla VII.1.'!$B$10</f>
        <v>Tabla VII.1.</v>
      </c>
      <c r="L127" s="110" t="str">
        <f t="shared" si="18"/>
        <v>A.2</v>
      </c>
      <c r="M127" s="107"/>
    </row>
    <row r="128" spans="1:13" ht="15.75">
      <c r="A128" s="412" t="s">
        <v>3450</v>
      </c>
      <c r="B128" s="412" t="str">
        <f t="shared" si="14"/>
        <v>202503</v>
      </c>
      <c r="C128" s="412" t="s">
        <v>2945</v>
      </c>
      <c r="D128" s="413" t="str">
        <f ca="1">OFFSET('Tabla VII.1.'!$G$73,I128-1,0)</f>
        <v>01.02.04.03.</v>
      </c>
      <c r="E128" s="412">
        <f t="shared" si="15"/>
        <v>0</v>
      </c>
      <c r="F128" s="464" t="str">
        <f ca="1">VLOOKUP(OFFSET('Tabla VII.1.'!$G$73,I128-1,1),TABPAIS,2,FALSE)</f>
        <v>00</v>
      </c>
      <c r="G128" s="414">
        <f ca="1">OFFSET('Tabla VII.1.'!$I$73,I128-1,J128-1)</f>
        <v>0</v>
      </c>
      <c r="H128" s="412" t="str">
        <f ca="1">OFFSET('Tabla VII.1.'!$I$1,0,J128-1)</f>
        <v>01</v>
      </c>
      <c r="I128" s="111">
        <f>+I126+1</f>
        <v>40</v>
      </c>
      <c r="J128" s="111">
        <v>1</v>
      </c>
      <c r="K128" s="111" t="str">
        <f ca="1">'Tabla VII.1.'!$B$10</f>
        <v>Tabla VII.1.</v>
      </c>
      <c r="L128" s="111" t="str">
        <f t="shared" si="18"/>
        <v>A.2</v>
      </c>
      <c r="M128" s="107"/>
    </row>
    <row r="129" spans="1:13" ht="15.75">
      <c r="A129" s="412" t="s">
        <v>3450</v>
      </c>
      <c r="B129" s="412" t="str">
        <f t="shared" si="14"/>
        <v>202503</v>
      </c>
      <c r="C129" s="412" t="s">
        <v>2945</v>
      </c>
      <c r="D129" s="413" t="str">
        <f ca="1">OFFSET('Tabla VII.1.'!$G$73,I129-1,0)</f>
        <v>01.02.04.03.</v>
      </c>
      <c r="E129" s="412">
        <f t="shared" si="15"/>
        <v>0</v>
      </c>
      <c r="F129" s="464" t="str">
        <f ca="1">VLOOKUP(OFFSET('Tabla VII.1.'!$G$73,I129-1,1),TABPAIS,2,FALSE)</f>
        <v>00</v>
      </c>
      <c r="G129" s="414">
        <f ca="1">OFFSET('Tabla VII.1.'!$I$73,I129-1,J129-1)</f>
        <v>0</v>
      </c>
      <c r="H129" s="412" t="str">
        <f ca="1">OFFSET('Tabla VII.1.'!$I$1,0,J129-1)</f>
        <v>02</v>
      </c>
      <c r="I129" s="111">
        <f>+I128</f>
        <v>40</v>
      </c>
      <c r="J129" s="111">
        <f>+J128+1</f>
        <v>2</v>
      </c>
      <c r="K129" s="111" t="str">
        <f ca="1">'Tabla VII.1.'!$B$10</f>
        <v>Tabla VII.1.</v>
      </c>
      <c r="L129" s="111" t="str">
        <f t="shared" si="18"/>
        <v>A.2</v>
      </c>
      <c r="M129" s="458"/>
    </row>
    <row r="130" spans="1:13" ht="15.75">
      <c r="A130" s="107" t="s">
        <v>3450</v>
      </c>
      <c r="B130" s="107" t="str">
        <f t="shared" ref="B130:B193" si="19">PERIODO</f>
        <v>202503</v>
      </c>
      <c r="C130" s="107" t="s">
        <v>2945</v>
      </c>
      <c r="D130" s="399" t="str">
        <f ca="1">OFFSET('Tabla VII.1.'!$G$73,I130-1,0)</f>
        <v>01.02.04.04.</v>
      </c>
      <c r="E130" s="107">
        <f t="shared" ref="E130:E145" si="20">RUC</f>
        <v>0</v>
      </c>
      <c r="F130" s="459" t="str">
        <f ca="1">VLOOKUP(OFFSET('Tabla VII.1.'!$G$73,I130-1,1),TABPAIS,2,FALSE)</f>
        <v>00</v>
      </c>
      <c r="G130" s="108">
        <f ca="1">OFFSET('Tabla VII.1.'!$I$73,I130-1,J130-1)</f>
        <v>0</v>
      </c>
      <c r="H130" s="107" t="str">
        <f ca="1">OFFSET('Tabla VII.1.'!$I$1,0,J130-1)</f>
        <v>01</v>
      </c>
      <c r="I130" s="110">
        <f>+I128+1</f>
        <v>41</v>
      </c>
      <c r="J130" s="110">
        <v>1</v>
      </c>
      <c r="K130" s="110" t="str">
        <f ca="1">'Tabla VII.1.'!$B$10</f>
        <v>Tabla VII.1.</v>
      </c>
      <c r="L130" s="110" t="str">
        <f t="shared" si="18"/>
        <v>A.2</v>
      </c>
      <c r="M130" s="458"/>
    </row>
    <row r="131" spans="1:13" ht="15.75">
      <c r="A131" s="107" t="s">
        <v>3450</v>
      </c>
      <c r="B131" s="107" t="str">
        <f t="shared" si="19"/>
        <v>202503</v>
      </c>
      <c r="C131" s="107" t="s">
        <v>2945</v>
      </c>
      <c r="D131" s="399" t="str">
        <f ca="1">OFFSET('Tabla VII.1.'!$G$73,I131-1,0)</f>
        <v>01.02.04.04.</v>
      </c>
      <c r="E131" s="107">
        <f t="shared" si="20"/>
        <v>0</v>
      </c>
      <c r="F131" s="459" t="str">
        <f ca="1">VLOOKUP(OFFSET('Tabla VII.1.'!$G$73,I131-1,1),TABPAIS,2,FALSE)</f>
        <v>00</v>
      </c>
      <c r="G131" s="108">
        <f ca="1">OFFSET('Tabla VII.1.'!$I$73,I131-1,J131-1)</f>
        <v>0</v>
      </c>
      <c r="H131" s="107" t="str">
        <f ca="1">OFFSET('Tabla VII.1.'!$I$1,0,J131-1)</f>
        <v>02</v>
      </c>
      <c r="I131" s="110">
        <f>+I130</f>
        <v>41</v>
      </c>
      <c r="J131" s="110">
        <f>+J130+1</f>
        <v>2</v>
      </c>
      <c r="K131" s="110" t="str">
        <f ca="1">'Tabla VII.1.'!$B$10</f>
        <v>Tabla VII.1.</v>
      </c>
      <c r="L131" s="110" t="str">
        <f t="shared" si="18"/>
        <v>A.2</v>
      </c>
      <c r="M131" s="458"/>
    </row>
    <row r="132" spans="1:13" ht="15.75">
      <c r="A132" s="412" t="s">
        <v>3450</v>
      </c>
      <c r="B132" s="412" t="str">
        <f t="shared" si="19"/>
        <v>202503</v>
      </c>
      <c r="C132" s="412" t="s">
        <v>2945</v>
      </c>
      <c r="D132" s="413" t="str">
        <f ca="1">OFFSET('Tabla VII.1.'!$G$73,I132-1,0)</f>
        <v>01.02.04.05.</v>
      </c>
      <c r="E132" s="412">
        <f t="shared" si="20"/>
        <v>0</v>
      </c>
      <c r="F132" s="464" t="str">
        <f ca="1">VLOOKUP(OFFSET('Tabla VII.1.'!$G$73,I132-1,1),TABPAIS,2,FALSE)</f>
        <v>00</v>
      </c>
      <c r="G132" s="414">
        <f ca="1">OFFSET('Tabla VII.1.'!$I$73,I132-1,J132-1)</f>
        <v>0</v>
      </c>
      <c r="H132" s="412" t="str">
        <f ca="1">OFFSET('Tabla VII.1.'!$I$1,0,J132-1)</f>
        <v>01</v>
      </c>
      <c r="I132" s="111">
        <f>+I130+1</f>
        <v>42</v>
      </c>
      <c r="J132" s="111">
        <v>1</v>
      </c>
      <c r="K132" s="111" t="str">
        <f ca="1">'Tabla VII.1.'!$B$10</f>
        <v>Tabla VII.1.</v>
      </c>
      <c r="L132" s="111" t="str">
        <f t="shared" si="18"/>
        <v>A.2</v>
      </c>
      <c r="M132" s="458"/>
    </row>
    <row r="133" spans="1:13" ht="15.75">
      <c r="A133" s="412" t="s">
        <v>3450</v>
      </c>
      <c r="B133" s="412" t="str">
        <f t="shared" si="19"/>
        <v>202503</v>
      </c>
      <c r="C133" s="412" t="s">
        <v>2945</v>
      </c>
      <c r="D133" s="413" t="str">
        <f ca="1">OFFSET('Tabla VII.1.'!$G$73,I133-1,0)</f>
        <v>01.02.04.05.</v>
      </c>
      <c r="E133" s="412">
        <f t="shared" si="20"/>
        <v>0</v>
      </c>
      <c r="F133" s="464" t="str">
        <f ca="1">VLOOKUP(OFFSET('Tabla VII.1.'!$G$73,I133-1,1),TABPAIS,2,FALSE)</f>
        <v>00</v>
      </c>
      <c r="G133" s="414">
        <f ca="1">OFFSET('Tabla VII.1.'!$I$73,I133-1,J133-1)</f>
        <v>0</v>
      </c>
      <c r="H133" s="412" t="str">
        <f ca="1">OFFSET('Tabla VII.1.'!$I$1,0,J133-1)</f>
        <v>02</v>
      </c>
      <c r="I133" s="111">
        <f>+I132</f>
        <v>42</v>
      </c>
      <c r="J133" s="111">
        <f>+J132+1</f>
        <v>2</v>
      </c>
      <c r="K133" s="111" t="str">
        <f ca="1">'Tabla VII.1.'!$B$10</f>
        <v>Tabla VII.1.</v>
      </c>
      <c r="L133" s="111" t="str">
        <f t="shared" si="18"/>
        <v>A.2</v>
      </c>
      <c r="M133" s="458"/>
    </row>
    <row r="134" spans="1:13" ht="15.75">
      <c r="A134" s="107" t="s">
        <v>3450</v>
      </c>
      <c r="B134" s="107" t="str">
        <f t="shared" si="19"/>
        <v>202503</v>
      </c>
      <c r="C134" s="107" t="s">
        <v>2945</v>
      </c>
      <c r="D134" s="399" t="str">
        <f ca="1">OFFSET('Tabla VII.1.'!$G$73,I134-1,0)</f>
        <v>01.02.04.06.</v>
      </c>
      <c r="E134" s="107">
        <f t="shared" si="20"/>
        <v>0</v>
      </c>
      <c r="F134" s="459" t="str">
        <f ca="1">VLOOKUP(OFFSET('Tabla VII.1.'!$G$73,I134-1,1),TABPAIS,2,FALSE)</f>
        <v>00</v>
      </c>
      <c r="G134" s="108">
        <f ca="1">OFFSET('Tabla VII.1.'!$I$73,I134-1,J134-1)</f>
        <v>0</v>
      </c>
      <c r="H134" s="107" t="str">
        <f ca="1">OFFSET('Tabla VII.1.'!$I$1,0,J134-1)</f>
        <v>01</v>
      </c>
      <c r="I134" s="110">
        <f>+I132+1</f>
        <v>43</v>
      </c>
      <c r="J134" s="110">
        <v>1</v>
      </c>
      <c r="K134" s="110" t="str">
        <f ca="1">'Tabla VII.1.'!$B$10</f>
        <v>Tabla VII.1.</v>
      </c>
      <c r="L134" s="110" t="str">
        <f t="shared" si="18"/>
        <v>A.2</v>
      </c>
    </row>
    <row r="135" spans="1:13" ht="15.75">
      <c r="A135" s="107" t="s">
        <v>3450</v>
      </c>
      <c r="B135" s="107" t="str">
        <f t="shared" si="19"/>
        <v>202503</v>
      </c>
      <c r="C135" s="107" t="s">
        <v>2945</v>
      </c>
      <c r="D135" s="399" t="str">
        <f ca="1">OFFSET('Tabla VII.1.'!$G$73,I135-1,0)</f>
        <v>01.02.04.06.</v>
      </c>
      <c r="E135" s="107">
        <f t="shared" si="20"/>
        <v>0</v>
      </c>
      <c r="F135" s="459" t="str">
        <f ca="1">VLOOKUP(OFFSET('Tabla VII.1.'!$G$73,I135-1,1),TABPAIS,2,FALSE)</f>
        <v>00</v>
      </c>
      <c r="G135" s="108">
        <f ca="1">OFFSET('Tabla VII.1.'!$I$73,I135-1,J135-1)</f>
        <v>0</v>
      </c>
      <c r="H135" s="107" t="str">
        <f ca="1">OFFSET('Tabla VII.1.'!$I$1,0,J135-1)</f>
        <v>02</v>
      </c>
      <c r="I135" s="110">
        <f>+I134</f>
        <v>43</v>
      </c>
      <c r="J135" s="110">
        <f>+J134+1</f>
        <v>2</v>
      </c>
      <c r="K135" s="110" t="str">
        <f ca="1">'Tabla VII.1.'!$B$10</f>
        <v>Tabla VII.1.</v>
      </c>
      <c r="L135" s="110" t="str">
        <f t="shared" si="18"/>
        <v>A.2</v>
      </c>
    </row>
    <row r="136" spans="1:13" ht="15.75">
      <c r="A136" s="412" t="s">
        <v>3450</v>
      </c>
      <c r="B136" s="412" t="str">
        <f t="shared" si="19"/>
        <v>202503</v>
      </c>
      <c r="C136" s="412" t="s">
        <v>2945</v>
      </c>
      <c r="D136" s="413" t="str">
        <f ca="1">OFFSET('Tabla VII.1.'!$G$73,I136-1,0)</f>
        <v>01.02.04.07.</v>
      </c>
      <c r="E136" s="412">
        <f t="shared" si="20"/>
        <v>0</v>
      </c>
      <c r="F136" s="464" t="str">
        <f ca="1">VLOOKUP(OFFSET('Tabla VII.1.'!$G$73,I136-1,1),TABPAIS,2,FALSE)</f>
        <v>00</v>
      </c>
      <c r="G136" s="414">
        <f ca="1">OFFSET('Tabla VII.1.'!$I$73,I136-1,J136-1)</f>
        <v>0</v>
      </c>
      <c r="H136" s="412" t="str">
        <f ca="1">OFFSET('Tabla VII.1.'!$I$1,0,J136-1)</f>
        <v>01</v>
      </c>
      <c r="I136" s="111">
        <f>+I134+1</f>
        <v>44</v>
      </c>
      <c r="J136" s="111">
        <v>1</v>
      </c>
      <c r="K136" s="111" t="str">
        <f ca="1">'Tabla VII.1.'!$B$10</f>
        <v>Tabla VII.1.</v>
      </c>
      <c r="L136" s="111" t="str">
        <f t="shared" si="18"/>
        <v>A.2</v>
      </c>
    </row>
    <row r="137" spans="1:13" ht="15.75">
      <c r="A137" s="412" t="s">
        <v>3450</v>
      </c>
      <c r="B137" s="412" t="str">
        <f t="shared" si="19"/>
        <v>202503</v>
      </c>
      <c r="C137" s="412" t="s">
        <v>2945</v>
      </c>
      <c r="D137" s="413" t="str">
        <f ca="1">OFFSET('Tabla VII.1.'!$G$73,I137-1,0)</f>
        <v>01.02.04.07.</v>
      </c>
      <c r="E137" s="412">
        <f t="shared" si="20"/>
        <v>0</v>
      </c>
      <c r="F137" s="464" t="str">
        <f ca="1">VLOOKUP(OFFSET('Tabla VII.1.'!$G$73,I137-1,1),TABPAIS,2,FALSE)</f>
        <v>00</v>
      </c>
      <c r="G137" s="414">
        <f ca="1">OFFSET('Tabla VII.1.'!$I$73,I137-1,J137-1)</f>
        <v>0</v>
      </c>
      <c r="H137" s="412" t="str">
        <f ca="1">OFFSET('Tabla VII.1.'!$I$1,0,J137-1)</f>
        <v>02</v>
      </c>
      <c r="I137" s="111">
        <f>+I136</f>
        <v>44</v>
      </c>
      <c r="J137" s="111">
        <f>+J136+1</f>
        <v>2</v>
      </c>
      <c r="K137" s="111" t="str">
        <f ca="1">'Tabla VII.1.'!$B$10</f>
        <v>Tabla VII.1.</v>
      </c>
      <c r="L137" s="111" t="str">
        <f t="shared" si="18"/>
        <v>A.2</v>
      </c>
    </row>
    <row r="138" spans="1:13" ht="15.75">
      <c r="A138" s="107" t="s">
        <v>3450</v>
      </c>
      <c r="B138" s="107" t="str">
        <f t="shared" si="19"/>
        <v>202503</v>
      </c>
      <c r="C138" s="107" t="s">
        <v>2945</v>
      </c>
      <c r="D138" s="399" t="str">
        <f ca="1">OFFSET('Tabla VII.1.'!$G$73,I138-1,0)</f>
        <v>01.02.04.08.</v>
      </c>
      <c r="E138" s="107">
        <f t="shared" si="20"/>
        <v>0</v>
      </c>
      <c r="F138" s="459" t="str">
        <f ca="1">VLOOKUP(OFFSET('Tabla VII.1.'!$G$73,I138-1,1),TABPAIS,2,FALSE)</f>
        <v>00</v>
      </c>
      <c r="G138" s="108">
        <f ca="1">OFFSET('Tabla VII.1.'!$I$73,I138-1,J138-1)</f>
        <v>0</v>
      </c>
      <c r="H138" s="107" t="str">
        <f ca="1">OFFSET('Tabla VII.1.'!$I$1,0,J138-1)</f>
        <v>01</v>
      </c>
      <c r="I138" s="110">
        <f>+I136+1</f>
        <v>45</v>
      </c>
      <c r="J138" s="110">
        <v>1</v>
      </c>
      <c r="K138" s="110" t="str">
        <f ca="1">'Tabla VII.1.'!$B$10</f>
        <v>Tabla VII.1.</v>
      </c>
      <c r="L138" s="110" t="str">
        <f t="shared" si="18"/>
        <v>A.2</v>
      </c>
    </row>
    <row r="139" spans="1:13" ht="15.75">
      <c r="A139" s="107" t="s">
        <v>3450</v>
      </c>
      <c r="B139" s="107" t="str">
        <f t="shared" si="19"/>
        <v>202503</v>
      </c>
      <c r="C139" s="107" t="s">
        <v>2945</v>
      </c>
      <c r="D139" s="399" t="str">
        <f ca="1">OFFSET('Tabla VII.1.'!$G$73,I139-1,0)</f>
        <v>01.02.04.08.</v>
      </c>
      <c r="E139" s="107">
        <f t="shared" si="20"/>
        <v>0</v>
      </c>
      <c r="F139" s="459" t="str">
        <f ca="1">VLOOKUP(OFFSET('Tabla VII.1.'!$G$73,I139-1,1),TABPAIS,2,FALSE)</f>
        <v>00</v>
      </c>
      <c r="G139" s="108">
        <f ca="1">OFFSET('Tabla VII.1.'!$I$73,I139-1,J139-1)</f>
        <v>0</v>
      </c>
      <c r="H139" s="107" t="str">
        <f ca="1">OFFSET('Tabla VII.1.'!$I$1,0,J139-1)</f>
        <v>02</v>
      </c>
      <c r="I139" s="110">
        <f>+I138</f>
        <v>45</v>
      </c>
      <c r="J139" s="110">
        <f>+J138+1</f>
        <v>2</v>
      </c>
      <c r="K139" s="110" t="str">
        <f ca="1">'Tabla VII.1.'!$B$10</f>
        <v>Tabla VII.1.</v>
      </c>
      <c r="L139" s="110" t="str">
        <f t="shared" si="18"/>
        <v>A.2</v>
      </c>
    </row>
    <row r="140" spans="1:13" ht="15.75">
      <c r="A140" s="412" t="s">
        <v>3450</v>
      </c>
      <c r="B140" s="412" t="str">
        <f t="shared" si="19"/>
        <v>202503</v>
      </c>
      <c r="C140" s="412" t="s">
        <v>2945</v>
      </c>
      <c r="D140" s="413" t="str">
        <f ca="1">OFFSET('Tabla VII.1.'!$G$73,I140-1,0)</f>
        <v>01.02.04.09.</v>
      </c>
      <c r="E140" s="412">
        <f t="shared" si="20"/>
        <v>0</v>
      </c>
      <c r="F140" s="464" t="str">
        <f ca="1">VLOOKUP(OFFSET('Tabla VII.1.'!$G$73,I140-1,1),TABPAIS,2,FALSE)</f>
        <v>00</v>
      </c>
      <c r="G140" s="414">
        <f ca="1">OFFSET('Tabla VII.1.'!$I$73,I140-1,J140-1)</f>
        <v>0</v>
      </c>
      <c r="H140" s="412" t="str">
        <f ca="1">OFFSET('Tabla VII.1.'!$I$1,0,J140-1)</f>
        <v>01</v>
      </c>
      <c r="I140" s="111">
        <f>+I138+1</f>
        <v>46</v>
      </c>
      <c r="J140" s="111">
        <v>1</v>
      </c>
      <c r="K140" s="111" t="str">
        <f ca="1">'Tabla VII.1.'!$B$10</f>
        <v>Tabla VII.1.</v>
      </c>
      <c r="L140" s="111" t="str">
        <f t="shared" si="18"/>
        <v>A.2</v>
      </c>
    </row>
    <row r="141" spans="1:13" ht="15.75">
      <c r="A141" s="412" t="s">
        <v>3450</v>
      </c>
      <c r="B141" s="412" t="str">
        <f t="shared" si="19"/>
        <v>202503</v>
      </c>
      <c r="C141" s="412" t="s">
        <v>2945</v>
      </c>
      <c r="D141" s="413" t="str">
        <f ca="1">OFFSET('Tabla VII.1.'!$G$73,I141-1,0)</f>
        <v>01.02.04.09.</v>
      </c>
      <c r="E141" s="412">
        <f t="shared" si="20"/>
        <v>0</v>
      </c>
      <c r="F141" s="464" t="str">
        <f ca="1">VLOOKUP(OFFSET('Tabla VII.1.'!$G$73,I141-1,1),TABPAIS,2,FALSE)</f>
        <v>00</v>
      </c>
      <c r="G141" s="414">
        <f ca="1">OFFSET('Tabla VII.1.'!$I$73,I141-1,J141-1)</f>
        <v>0</v>
      </c>
      <c r="H141" s="412" t="str">
        <f ca="1">OFFSET('Tabla VII.1.'!$I$1,0,J141-1)</f>
        <v>02</v>
      </c>
      <c r="I141" s="111">
        <f>+I140</f>
        <v>46</v>
      </c>
      <c r="J141" s="111">
        <f>+J140+1</f>
        <v>2</v>
      </c>
      <c r="K141" s="111" t="str">
        <f ca="1">'Tabla VII.1.'!$B$10</f>
        <v>Tabla VII.1.</v>
      </c>
      <c r="L141" s="111" t="str">
        <f t="shared" si="18"/>
        <v>A.2</v>
      </c>
    </row>
    <row r="142" spans="1:13" ht="15.75">
      <c r="A142" s="107" t="s">
        <v>3450</v>
      </c>
      <c r="B142" s="107" t="str">
        <f t="shared" si="19"/>
        <v>202503</v>
      </c>
      <c r="C142" s="107" t="s">
        <v>2945</v>
      </c>
      <c r="D142" s="399" t="str">
        <f ca="1">OFFSET('Tabla VII.1.'!$G$73,I142-1,0)</f>
        <v>01.02.04.10.</v>
      </c>
      <c r="E142" s="107">
        <f t="shared" si="20"/>
        <v>0</v>
      </c>
      <c r="F142" s="459" t="str">
        <f ca="1">VLOOKUP(OFFSET('Tabla VII.1.'!$G$73,I142-1,1),TABPAIS,2,FALSE)</f>
        <v>00</v>
      </c>
      <c r="G142" s="108">
        <f ca="1">OFFSET('Tabla VII.1.'!$I$73,I142-1,J142-1)</f>
        <v>0</v>
      </c>
      <c r="H142" s="107" t="str">
        <f ca="1">OFFSET('Tabla VII.1.'!$I$1,0,J142-1)</f>
        <v>01</v>
      </c>
      <c r="I142" s="110">
        <f>+I140+1</f>
        <v>47</v>
      </c>
      <c r="J142" s="110">
        <v>1</v>
      </c>
      <c r="K142" s="110" t="str">
        <f ca="1">'Tabla VII.1.'!$B$10</f>
        <v>Tabla VII.1.</v>
      </c>
      <c r="L142" s="110" t="str">
        <f t="shared" si="18"/>
        <v>A.2</v>
      </c>
    </row>
    <row r="143" spans="1:13" ht="15.75">
      <c r="A143" s="107" t="s">
        <v>3450</v>
      </c>
      <c r="B143" s="107" t="str">
        <f t="shared" si="19"/>
        <v>202503</v>
      </c>
      <c r="C143" s="107" t="s">
        <v>2945</v>
      </c>
      <c r="D143" s="399" t="str">
        <f ca="1">OFFSET('Tabla VII.1.'!$G$73,I143-1,0)</f>
        <v>01.02.04.10.</v>
      </c>
      <c r="E143" s="107">
        <f t="shared" si="20"/>
        <v>0</v>
      </c>
      <c r="F143" s="459" t="str">
        <f ca="1">VLOOKUP(OFFSET('Tabla VII.1.'!$G$73,I143-1,1),TABPAIS,2,FALSE)</f>
        <v>00</v>
      </c>
      <c r="G143" s="108">
        <f ca="1">OFFSET('Tabla VII.1.'!$I$73,I143-1,J143-1)</f>
        <v>0</v>
      </c>
      <c r="H143" s="107" t="str">
        <f ca="1">OFFSET('Tabla VII.1.'!$I$1,0,J143-1)</f>
        <v>02</v>
      </c>
      <c r="I143" s="110">
        <f>+I142</f>
        <v>47</v>
      </c>
      <c r="J143" s="110">
        <f>+J142+1</f>
        <v>2</v>
      </c>
      <c r="K143" s="110" t="str">
        <f ca="1">'Tabla VII.1.'!$B$10</f>
        <v>Tabla VII.1.</v>
      </c>
      <c r="L143" s="110" t="str">
        <f t="shared" si="18"/>
        <v>A.2</v>
      </c>
    </row>
    <row r="144" spans="1:13" ht="15.75">
      <c r="A144" s="412" t="s">
        <v>3450</v>
      </c>
      <c r="B144" s="412" t="str">
        <f t="shared" si="19"/>
        <v>202503</v>
      </c>
      <c r="C144" s="412" t="s">
        <v>2945</v>
      </c>
      <c r="D144" s="413" t="str">
        <f ca="1">OFFSET('Tabla VII.1.'!$G$73,I144-1,0)</f>
        <v>01.02.04.11.</v>
      </c>
      <c r="E144" s="412">
        <f t="shared" si="20"/>
        <v>0</v>
      </c>
      <c r="F144" s="464" t="str">
        <f ca="1">VLOOKUP(OFFSET('Tabla VII.1.'!$G$73,I144-1,1),TABPAIS,2,FALSE)</f>
        <v>zzz</v>
      </c>
      <c r="G144" s="414">
        <f ca="1">OFFSET('Tabla VII.1.'!$I$73,I144-1,J144-1)</f>
        <v>0</v>
      </c>
      <c r="H144" s="412" t="str">
        <f ca="1">OFFSET('Tabla VII.1.'!$I$1,0,J144-1)</f>
        <v>01</v>
      </c>
      <c r="I144" s="111">
        <f>+I142+1</f>
        <v>48</v>
      </c>
      <c r="J144" s="111">
        <v>1</v>
      </c>
      <c r="K144" s="111" t="str">
        <f ca="1">'Tabla VII.1.'!$B$10</f>
        <v>Tabla VII.1.</v>
      </c>
      <c r="L144" s="111" t="str">
        <f t="shared" si="18"/>
        <v>A.2</v>
      </c>
    </row>
    <row r="145" spans="1:13" ht="15.75">
      <c r="A145" s="412" t="s">
        <v>3450</v>
      </c>
      <c r="B145" s="412" t="str">
        <f t="shared" si="19"/>
        <v>202503</v>
      </c>
      <c r="C145" s="412" t="s">
        <v>2945</v>
      </c>
      <c r="D145" s="413" t="str">
        <f ca="1">OFFSET('Tabla VII.1.'!$G$73,I145-1,0)</f>
        <v>01.02.04.11.</v>
      </c>
      <c r="E145" s="412">
        <f t="shared" si="20"/>
        <v>0</v>
      </c>
      <c r="F145" s="464" t="str">
        <f ca="1">VLOOKUP(OFFSET('Tabla VII.1.'!$G$73,I145-1,1),TABPAIS,2,FALSE)</f>
        <v>zzz</v>
      </c>
      <c r="G145" s="414">
        <f ca="1">OFFSET('Tabla VII.1.'!$I$73,I145-1,J145-1)</f>
        <v>0</v>
      </c>
      <c r="H145" s="412" t="str">
        <f ca="1">OFFSET('Tabla VII.1.'!$I$1,0,J145-1)</f>
        <v>02</v>
      </c>
      <c r="I145" s="111">
        <f>+I144</f>
        <v>48</v>
      </c>
      <c r="J145" s="111">
        <f>+J144+1</f>
        <v>2</v>
      </c>
      <c r="K145" s="111" t="str">
        <f ca="1">'Tabla VII.1.'!$B$10</f>
        <v>Tabla VII.1.</v>
      </c>
      <c r="L145" s="111" t="str">
        <f t="shared" si="18"/>
        <v>A.2</v>
      </c>
    </row>
    <row r="146" spans="1:13" ht="15.75">
      <c r="A146" s="107" t="s">
        <v>3450</v>
      </c>
      <c r="B146" s="107" t="str">
        <f t="shared" si="19"/>
        <v>202503</v>
      </c>
      <c r="C146" s="107" t="s">
        <v>2945</v>
      </c>
      <c r="D146" s="399" t="str">
        <f ca="1">OFFSET('Tabla VII.2.'!$G$14,I146-1,0)</f>
        <v>02.01.01.</v>
      </c>
      <c r="E146" s="107">
        <f t="shared" ref="E146:E208" si="21">RUC</f>
        <v>0</v>
      </c>
      <c r="F146" s="462" t="s">
        <v>3451</v>
      </c>
      <c r="G146" s="108">
        <f ca="1">OFFSET('Tabla VII.2.'!$I$14,I146-1,J146-1)</f>
        <v>0</v>
      </c>
      <c r="H146" s="107" t="str">
        <f ca="1">OFFSET('Tabla VII.2.'!$I$1,0,J146-1)</f>
        <v>01</v>
      </c>
      <c r="I146" s="110">
        <v>1</v>
      </c>
      <c r="J146" s="110">
        <v>1</v>
      </c>
      <c r="K146" s="110" t="str">
        <f ca="1">'Tabla VII.2.'!$B$10</f>
        <v>Tabla VII.2.</v>
      </c>
      <c r="L146" s="110" t="s">
        <v>2937</v>
      </c>
      <c r="M146" s="107">
        <v>1</v>
      </c>
    </row>
    <row r="147" spans="1:13" ht="15.75">
      <c r="A147" s="107" t="s">
        <v>3450</v>
      </c>
      <c r="B147" s="107" t="str">
        <f t="shared" si="19"/>
        <v>202503</v>
      </c>
      <c r="C147" s="107" t="s">
        <v>2945</v>
      </c>
      <c r="D147" s="399" t="str">
        <f ca="1">OFFSET('Tabla VII.2.'!$G$14,I147-1,0)</f>
        <v>02.01.01.01.</v>
      </c>
      <c r="E147" s="107">
        <f t="shared" si="21"/>
        <v>0</v>
      </c>
      <c r="F147" s="459" t="str">
        <f ca="1">VLOOKUP(OFFSET('Tabla VII.2.'!$G$14,I147-1,1),TABPAIS,2,FALSE)</f>
        <v>00</v>
      </c>
      <c r="G147" s="108">
        <f ca="1">OFFSET('Tabla VII.2.'!$I$14,I147-1,J147-1)</f>
        <v>0</v>
      </c>
      <c r="H147" s="107" t="str">
        <f ca="1">OFFSET('Tabla VII.2.'!$I$1,0,J147-1)</f>
        <v>01</v>
      </c>
      <c r="I147" s="110">
        <f t="shared" ref="I147:I193" si="22">+I146+1</f>
        <v>2</v>
      </c>
      <c r="J147" s="110">
        <f t="shared" ref="J147:J157" si="23">+J146</f>
        <v>1</v>
      </c>
      <c r="K147" s="110" t="str">
        <f ca="1">'Tabla VII.2.'!$B$10</f>
        <v>Tabla VII.2.</v>
      </c>
      <c r="L147" s="110" t="str">
        <f t="shared" ref="L147:L157" si="24">+L146</f>
        <v>A.1</v>
      </c>
      <c r="M147" s="107"/>
    </row>
    <row r="148" spans="1:13" ht="15.75">
      <c r="A148" s="107" t="s">
        <v>3450</v>
      </c>
      <c r="B148" s="107" t="str">
        <f t="shared" si="19"/>
        <v>202503</v>
      </c>
      <c r="C148" s="107" t="s">
        <v>2945</v>
      </c>
      <c r="D148" s="399" t="str">
        <f ca="1">OFFSET('Tabla VII.2.'!$G$14,I148-1,0)</f>
        <v>02.01.01.02.</v>
      </c>
      <c r="E148" s="107">
        <f t="shared" si="21"/>
        <v>0</v>
      </c>
      <c r="F148" s="459" t="str">
        <f ca="1">VLOOKUP(OFFSET('Tabla VII.2.'!$G$14,I148-1,1),TABPAIS,2,FALSE)</f>
        <v>00</v>
      </c>
      <c r="G148" s="108">
        <f ca="1">OFFSET('Tabla VII.2.'!$I$14,I148-1,J148-1)</f>
        <v>0</v>
      </c>
      <c r="H148" s="107" t="str">
        <f ca="1">OFFSET('Tabla VII.2.'!$I$1,0,J148-1)</f>
        <v>01</v>
      </c>
      <c r="I148" s="110">
        <f t="shared" si="22"/>
        <v>3</v>
      </c>
      <c r="J148" s="110">
        <f t="shared" si="23"/>
        <v>1</v>
      </c>
      <c r="K148" s="110" t="str">
        <f ca="1">'Tabla VII.2.'!$B$10</f>
        <v>Tabla VII.2.</v>
      </c>
      <c r="L148" s="110" t="str">
        <f t="shared" si="24"/>
        <v>A.1</v>
      </c>
      <c r="M148" s="107"/>
    </row>
    <row r="149" spans="1:13" ht="15.75">
      <c r="A149" s="107" t="s">
        <v>3450</v>
      </c>
      <c r="B149" s="107" t="str">
        <f t="shared" si="19"/>
        <v>202503</v>
      </c>
      <c r="C149" s="107" t="s">
        <v>2945</v>
      </c>
      <c r="D149" s="399" t="str">
        <f ca="1">OFFSET('Tabla VII.2.'!$G$14,I149-1,0)</f>
        <v>02.01.01.03.</v>
      </c>
      <c r="E149" s="107">
        <f t="shared" si="21"/>
        <v>0</v>
      </c>
      <c r="F149" s="459" t="str">
        <f ca="1">VLOOKUP(OFFSET('Tabla VII.2.'!$G$14,I149-1,1),TABPAIS,2,FALSE)</f>
        <v>00</v>
      </c>
      <c r="G149" s="108">
        <f ca="1">OFFSET('Tabla VII.2.'!$I$14,I149-1,J149-1)</f>
        <v>0</v>
      </c>
      <c r="H149" s="107" t="str">
        <f ca="1">OFFSET('Tabla VII.2.'!$I$1,0,J149-1)</f>
        <v>01</v>
      </c>
      <c r="I149" s="110">
        <f t="shared" si="22"/>
        <v>4</v>
      </c>
      <c r="J149" s="110">
        <f t="shared" si="23"/>
        <v>1</v>
      </c>
      <c r="K149" s="110" t="str">
        <f ca="1">'Tabla VII.2.'!$B$10</f>
        <v>Tabla VII.2.</v>
      </c>
      <c r="L149" s="110" t="str">
        <f t="shared" si="24"/>
        <v>A.1</v>
      </c>
      <c r="M149" s="107"/>
    </row>
    <row r="150" spans="1:13" ht="15.75">
      <c r="A150" s="107" t="s">
        <v>3450</v>
      </c>
      <c r="B150" s="107" t="str">
        <f t="shared" si="19"/>
        <v>202503</v>
      </c>
      <c r="C150" s="107" t="s">
        <v>2945</v>
      </c>
      <c r="D150" s="399" t="str">
        <f ca="1">OFFSET('Tabla VII.2.'!$G$14,I150-1,0)</f>
        <v>02.01.01.04.</v>
      </c>
      <c r="E150" s="107">
        <f t="shared" si="21"/>
        <v>0</v>
      </c>
      <c r="F150" s="459" t="str">
        <f ca="1">VLOOKUP(OFFSET('Tabla VII.2.'!$G$14,I150-1,1),TABPAIS,2,FALSE)</f>
        <v>00</v>
      </c>
      <c r="G150" s="108">
        <f ca="1">OFFSET('Tabla VII.2.'!$I$14,I150-1,J150-1)</f>
        <v>0</v>
      </c>
      <c r="H150" s="107" t="str">
        <f ca="1">OFFSET('Tabla VII.2.'!$I$1,0,J150-1)</f>
        <v>01</v>
      </c>
      <c r="I150" s="110">
        <f t="shared" si="22"/>
        <v>5</v>
      </c>
      <c r="J150" s="110">
        <f t="shared" si="23"/>
        <v>1</v>
      </c>
      <c r="K150" s="110" t="str">
        <f ca="1">'Tabla VII.2.'!$B$10</f>
        <v>Tabla VII.2.</v>
      </c>
      <c r="L150" s="110" t="str">
        <f t="shared" si="24"/>
        <v>A.1</v>
      </c>
      <c r="M150" s="107"/>
    </row>
    <row r="151" spans="1:13" ht="15.75">
      <c r="A151" s="107" t="s">
        <v>3450</v>
      </c>
      <c r="B151" s="107" t="str">
        <f t="shared" si="19"/>
        <v>202503</v>
      </c>
      <c r="C151" s="107" t="s">
        <v>2945</v>
      </c>
      <c r="D151" s="399" t="str">
        <f ca="1">OFFSET('Tabla VII.2.'!$G$14,I151-1,0)</f>
        <v>02.01.01.05.</v>
      </c>
      <c r="E151" s="107">
        <f t="shared" si="21"/>
        <v>0</v>
      </c>
      <c r="F151" s="459" t="str">
        <f ca="1">VLOOKUP(OFFSET('Tabla VII.2.'!$G$14,I151-1,1),TABPAIS,2,FALSE)</f>
        <v>00</v>
      </c>
      <c r="G151" s="108">
        <f ca="1">OFFSET('Tabla VII.2.'!$I$14,I151-1,J151-1)</f>
        <v>0</v>
      </c>
      <c r="H151" s="107" t="str">
        <f ca="1">OFFSET('Tabla VII.2.'!$I$1,0,J151-1)</f>
        <v>01</v>
      </c>
      <c r="I151" s="110">
        <f t="shared" si="22"/>
        <v>6</v>
      </c>
      <c r="J151" s="110">
        <f t="shared" si="23"/>
        <v>1</v>
      </c>
      <c r="K151" s="110" t="str">
        <f ca="1">'Tabla VII.2.'!$B$10</f>
        <v>Tabla VII.2.</v>
      </c>
      <c r="L151" s="110" t="str">
        <f t="shared" si="24"/>
        <v>A.1</v>
      </c>
      <c r="M151" s="107"/>
    </row>
    <row r="152" spans="1:13" ht="15.75">
      <c r="A152" s="107" t="s">
        <v>3450</v>
      </c>
      <c r="B152" s="107" t="str">
        <f t="shared" si="19"/>
        <v>202503</v>
      </c>
      <c r="C152" s="107" t="s">
        <v>2945</v>
      </c>
      <c r="D152" s="399" t="str">
        <f ca="1">OFFSET('Tabla VII.2.'!$G$14,I152-1,0)</f>
        <v>02.01.01.06.</v>
      </c>
      <c r="E152" s="107">
        <f t="shared" si="21"/>
        <v>0</v>
      </c>
      <c r="F152" s="459" t="str">
        <f ca="1">VLOOKUP(OFFSET('Tabla VII.2.'!$G$14,I152-1,1),TABPAIS,2,FALSE)</f>
        <v>00</v>
      </c>
      <c r="G152" s="108">
        <f ca="1">OFFSET('Tabla VII.2.'!$I$14,I152-1,J152-1)</f>
        <v>0</v>
      </c>
      <c r="H152" s="107" t="str">
        <f ca="1">OFFSET('Tabla VII.2.'!$I$1,0,J152-1)</f>
        <v>01</v>
      </c>
      <c r="I152" s="110">
        <f t="shared" si="22"/>
        <v>7</v>
      </c>
      <c r="J152" s="110">
        <f t="shared" si="23"/>
        <v>1</v>
      </c>
      <c r="K152" s="110" t="str">
        <f ca="1">'Tabla VII.2.'!$B$10</f>
        <v>Tabla VII.2.</v>
      </c>
      <c r="L152" s="110" t="str">
        <f t="shared" si="24"/>
        <v>A.1</v>
      </c>
      <c r="M152" s="107"/>
    </row>
    <row r="153" spans="1:13" ht="15.75">
      <c r="A153" s="107" t="s">
        <v>3450</v>
      </c>
      <c r="B153" s="107" t="str">
        <f t="shared" si="19"/>
        <v>202503</v>
      </c>
      <c r="C153" s="107" t="s">
        <v>2945</v>
      </c>
      <c r="D153" s="399" t="str">
        <f ca="1">OFFSET('Tabla VII.2.'!$G$14,I153-1,0)</f>
        <v>02.01.01.07.</v>
      </c>
      <c r="E153" s="107">
        <f t="shared" si="21"/>
        <v>0</v>
      </c>
      <c r="F153" s="459" t="str">
        <f ca="1">VLOOKUP(OFFSET('Tabla VII.2.'!$G$14,I153-1,1),TABPAIS,2,FALSE)</f>
        <v>00</v>
      </c>
      <c r="G153" s="108">
        <f ca="1">OFFSET('Tabla VII.2.'!$I$14,I153-1,J153-1)</f>
        <v>0</v>
      </c>
      <c r="H153" s="107" t="str">
        <f ca="1">OFFSET('Tabla VII.2.'!$I$1,0,J153-1)</f>
        <v>01</v>
      </c>
      <c r="I153" s="110">
        <f t="shared" si="22"/>
        <v>8</v>
      </c>
      <c r="J153" s="110">
        <f t="shared" si="23"/>
        <v>1</v>
      </c>
      <c r="K153" s="110" t="str">
        <f ca="1">'Tabla VII.2.'!$B$10</f>
        <v>Tabla VII.2.</v>
      </c>
      <c r="L153" s="110" t="str">
        <f t="shared" si="24"/>
        <v>A.1</v>
      </c>
      <c r="M153" s="458"/>
    </row>
    <row r="154" spans="1:13" ht="15.75">
      <c r="A154" s="107" t="s">
        <v>3450</v>
      </c>
      <c r="B154" s="107" t="str">
        <f t="shared" si="19"/>
        <v>202503</v>
      </c>
      <c r="C154" s="107" t="s">
        <v>2945</v>
      </c>
      <c r="D154" s="399" t="str">
        <f ca="1">OFFSET('Tabla VII.2.'!$G$14,I154-1,0)</f>
        <v>02.01.01.08.</v>
      </c>
      <c r="E154" s="107">
        <f t="shared" si="21"/>
        <v>0</v>
      </c>
      <c r="F154" s="459" t="str">
        <f ca="1">VLOOKUP(OFFSET('Tabla VII.2.'!$G$14,I154-1,1),TABPAIS,2,FALSE)</f>
        <v>00</v>
      </c>
      <c r="G154" s="108">
        <f ca="1">OFFSET('Tabla VII.2.'!$I$14,I154-1,J154-1)</f>
        <v>0</v>
      </c>
      <c r="H154" s="107" t="str">
        <f ca="1">OFFSET('Tabla VII.2.'!$I$1,0,J154-1)</f>
        <v>01</v>
      </c>
      <c r="I154" s="110">
        <f t="shared" si="22"/>
        <v>9</v>
      </c>
      <c r="J154" s="110">
        <f t="shared" si="23"/>
        <v>1</v>
      </c>
      <c r="K154" s="110" t="str">
        <f ca="1">'Tabla VII.2.'!$B$10</f>
        <v>Tabla VII.2.</v>
      </c>
      <c r="L154" s="110" t="str">
        <f t="shared" si="24"/>
        <v>A.1</v>
      </c>
      <c r="M154" s="458"/>
    </row>
    <row r="155" spans="1:13" ht="15.75">
      <c r="A155" s="107" t="s">
        <v>3450</v>
      </c>
      <c r="B155" s="107" t="str">
        <f t="shared" si="19"/>
        <v>202503</v>
      </c>
      <c r="C155" s="107" t="s">
        <v>2945</v>
      </c>
      <c r="D155" s="399" t="str">
        <f ca="1">OFFSET('Tabla VII.2.'!$G$14,I155-1,0)</f>
        <v>02.01.01.09.</v>
      </c>
      <c r="E155" s="107">
        <f t="shared" si="21"/>
        <v>0</v>
      </c>
      <c r="F155" s="459" t="str">
        <f ca="1">VLOOKUP(OFFSET('Tabla VII.2.'!$G$14,I155-1,1),TABPAIS,2,FALSE)</f>
        <v>00</v>
      </c>
      <c r="G155" s="108">
        <f ca="1">OFFSET('Tabla VII.2.'!$I$14,I155-1,J155-1)</f>
        <v>0</v>
      </c>
      <c r="H155" s="107" t="str">
        <f ca="1">OFFSET('Tabla VII.2.'!$I$1,0,J155-1)</f>
        <v>01</v>
      </c>
      <c r="I155" s="110">
        <f t="shared" si="22"/>
        <v>10</v>
      </c>
      <c r="J155" s="110">
        <f t="shared" si="23"/>
        <v>1</v>
      </c>
      <c r="K155" s="110" t="str">
        <f ca="1">'Tabla VII.2.'!$B$10</f>
        <v>Tabla VII.2.</v>
      </c>
      <c r="L155" s="110" t="str">
        <f t="shared" si="24"/>
        <v>A.1</v>
      </c>
      <c r="M155" s="458"/>
    </row>
    <row r="156" spans="1:13" ht="15.75">
      <c r="A156" s="107" t="s">
        <v>3450</v>
      </c>
      <c r="B156" s="107" t="str">
        <f t="shared" si="19"/>
        <v>202503</v>
      </c>
      <c r="C156" s="107" t="s">
        <v>2945</v>
      </c>
      <c r="D156" s="399" t="str">
        <f ca="1">OFFSET('Tabla VII.2.'!$G$14,I156-1,0)</f>
        <v>02.01.01.10.</v>
      </c>
      <c r="E156" s="107">
        <f t="shared" si="21"/>
        <v>0</v>
      </c>
      <c r="F156" s="459" t="str">
        <f ca="1">VLOOKUP(OFFSET('Tabla VII.2.'!$G$14,I156-1,1),TABPAIS,2,FALSE)</f>
        <v>00</v>
      </c>
      <c r="G156" s="108">
        <f ca="1">OFFSET('Tabla VII.2.'!$I$14,I156-1,J156-1)</f>
        <v>0</v>
      </c>
      <c r="H156" s="107" t="str">
        <f ca="1">OFFSET('Tabla VII.2.'!$I$1,0,J156-1)</f>
        <v>01</v>
      </c>
      <c r="I156" s="110">
        <f t="shared" si="22"/>
        <v>11</v>
      </c>
      <c r="J156" s="110">
        <f t="shared" si="23"/>
        <v>1</v>
      </c>
      <c r="K156" s="110" t="str">
        <f ca="1">'Tabla VII.2.'!$B$10</f>
        <v>Tabla VII.2.</v>
      </c>
      <c r="L156" s="110" t="str">
        <f t="shared" si="24"/>
        <v>A.1</v>
      </c>
      <c r="M156" s="458"/>
    </row>
    <row r="157" spans="1:13" ht="15.75">
      <c r="A157" s="107" t="s">
        <v>3450</v>
      </c>
      <c r="B157" s="107" t="str">
        <f t="shared" si="19"/>
        <v>202503</v>
      </c>
      <c r="C157" s="107" t="s">
        <v>2945</v>
      </c>
      <c r="D157" s="399" t="str">
        <f ca="1">OFFSET('Tabla VII.2.'!$G$14,I157-1,0)</f>
        <v>02.01.01.11.</v>
      </c>
      <c r="E157" s="107">
        <f t="shared" si="21"/>
        <v>0</v>
      </c>
      <c r="F157" s="459" t="str">
        <f ca="1">VLOOKUP(OFFSET('Tabla VII.2.'!$G$14,I157-1,1),TABPAIS,2,FALSE)</f>
        <v>zzz</v>
      </c>
      <c r="G157" s="108">
        <f ca="1">OFFSET('Tabla VII.2.'!$I$14,I157-1,J157-1)</f>
        <v>0</v>
      </c>
      <c r="H157" s="107" t="str">
        <f ca="1">OFFSET('Tabla VII.2.'!$I$1,0,J157-1)</f>
        <v>01</v>
      </c>
      <c r="I157" s="110">
        <f t="shared" si="22"/>
        <v>12</v>
      </c>
      <c r="J157" s="110">
        <f t="shared" si="23"/>
        <v>1</v>
      </c>
      <c r="K157" s="110" t="str">
        <f ca="1">'Tabla VII.2.'!$B$10</f>
        <v>Tabla VII.2.</v>
      </c>
      <c r="L157" s="110" t="str">
        <f t="shared" si="24"/>
        <v>A.1</v>
      </c>
      <c r="M157" s="458"/>
    </row>
    <row r="158" spans="1:13" ht="15.75">
      <c r="A158" s="412" t="s">
        <v>3450</v>
      </c>
      <c r="B158" s="412" t="str">
        <f t="shared" si="19"/>
        <v>202503</v>
      </c>
      <c r="C158" s="412" t="s">
        <v>2945</v>
      </c>
      <c r="D158" s="413" t="str">
        <f ca="1">OFFSET('Tabla VII.2.'!$G$14,I158-1,0)</f>
        <v>02.01.02.</v>
      </c>
      <c r="E158" s="412">
        <f t="shared" si="21"/>
        <v>0</v>
      </c>
      <c r="F158" s="463" t="s">
        <v>3451</v>
      </c>
      <c r="G158" s="414">
        <f ca="1">OFFSET('Tabla VII.2.'!$I$14,I158-1,J158-1)</f>
        <v>0</v>
      </c>
      <c r="H158" s="412" t="str">
        <f ca="1">OFFSET('Tabla VII.2.'!$I$1,0,J158-1)</f>
        <v>01</v>
      </c>
      <c r="I158" s="111">
        <f>+I157+1</f>
        <v>13</v>
      </c>
      <c r="J158" s="111">
        <v>1</v>
      </c>
      <c r="K158" s="111" t="str">
        <f ca="1">'Tabla VII.2.'!$B$10</f>
        <v>Tabla VII.2.</v>
      </c>
      <c r="L158" s="111" t="s">
        <v>2937</v>
      </c>
      <c r="M158" s="111">
        <f>+M146+1</f>
        <v>2</v>
      </c>
    </row>
    <row r="159" spans="1:13" ht="15.75">
      <c r="A159" s="412" t="s">
        <v>3450</v>
      </c>
      <c r="B159" s="412" t="str">
        <f t="shared" si="19"/>
        <v>202503</v>
      </c>
      <c r="C159" s="412" t="s">
        <v>2945</v>
      </c>
      <c r="D159" s="413" t="str">
        <f ca="1">OFFSET('Tabla VII.2.'!$G$14,I159-1,0)</f>
        <v>02.01.02.01.</v>
      </c>
      <c r="E159" s="412">
        <f t="shared" si="21"/>
        <v>0</v>
      </c>
      <c r="F159" s="464" t="str">
        <f ca="1">VLOOKUP(OFFSET('Tabla VII.2.'!$G$14,I159-1,1),TABPAIS,2,FALSE)</f>
        <v>00</v>
      </c>
      <c r="G159" s="414">
        <f ca="1">OFFSET('Tabla VII.2.'!$I$14,I159-1,J159-1)</f>
        <v>0</v>
      </c>
      <c r="H159" s="412" t="str">
        <f ca="1">OFFSET('Tabla VII.2.'!$I$1,0,J159-1)</f>
        <v>01</v>
      </c>
      <c r="I159" s="111">
        <f t="shared" si="22"/>
        <v>14</v>
      </c>
      <c r="J159" s="111">
        <f t="shared" ref="J159:J169" si="25">+J158</f>
        <v>1</v>
      </c>
      <c r="K159" s="111" t="str">
        <f ca="1">'Tabla VII.2.'!$B$10</f>
        <v>Tabla VII.2.</v>
      </c>
      <c r="L159" s="111" t="str">
        <f>+L158</f>
        <v>A.1</v>
      </c>
    </row>
    <row r="160" spans="1:13" ht="15.75">
      <c r="A160" s="412" t="s">
        <v>3450</v>
      </c>
      <c r="B160" s="412" t="str">
        <f t="shared" si="19"/>
        <v>202503</v>
      </c>
      <c r="C160" s="412" t="s">
        <v>2945</v>
      </c>
      <c r="D160" s="413" t="str">
        <f ca="1">OFFSET('Tabla VII.2.'!$G$14,I160-1,0)</f>
        <v>02.01.02.02.</v>
      </c>
      <c r="E160" s="412">
        <f t="shared" si="21"/>
        <v>0</v>
      </c>
      <c r="F160" s="464" t="str">
        <f ca="1">VLOOKUP(OFFSET('Tabla VII.2.'!$G$14,I160-1,1),TABPAIS,2,FALSE)</f>
        <v>00</v>
      </c>
      <c r="G160" s="414">
        <f ca="1">OFFSET('Tabla VII.2.'!$I$14,I160-1,J160-1)</f>
        <v>0</v>
      </c>
      <c r="H160" s="412" t="str">
        <f ca="1">OFFSET('Tabla VII.2.'!$I$1,0,J160-1)</f>
        <v>01</v>
      </c>
      <c r="I160" s="111">
        <f t="shared" si="22"/>
        <v>15</v>
      </c>
      <c r="J160" s="111">
        <f t="shared" si="25"/>
        <v>1</v>
      </c>
      <c r="K160" s="111" t="str">
        <f ca="1">'Tabla VII.2.'!$B$10</f>
        <v>Tabla VII.2.</v>
      </c>
      <c r="L160" s="111" t="str">
        <f>+L159</f>
        <v>A.1</v>
      </c>
    </row>
    <row r="161" spans="1:13" ht="15.75">
      <c r="A161" s="412" t="s">
        <v>3450</v>
      </c>
      <c r="B161" s="412" t="str">
        <f t="shared" si="19"/>
        <v>202503</v>
      </c>
      <c r="C161" s="412" t="s">
        <v>2945</v>
      </c>
      <c r="D161" s="413" t="str">
        <f ca="1">OFFSET('Tabla VII.2.'!$G$14,I161-1,0)</f>
        <v>02.01.02.03.</v>
      </c>
      <c r="E161" s="412">
        <f t="shared" si="21"/>
        <v>0</v>
      </c>
      <c r="F161" s="464" t="str">
        <f ca="1">VLOOKUP(OFFSET('Tabla VII.2.'!$G$14,I161-1,1),TABPAIS,2,FALSE)</f>
        <v>00</v>
      </c>
      <c r="G161" s="414">
        <f ca="1">OFFSET('Tabla VII.2.'!$I$14,I161-1,J161-1)</f>
        <v>0</v>
      </c>
      <c r="H161" s="412" t="str">
        <f ca="1">OFFSET('Tabla VII.2.'!$I$1,0,J161-1)</f>
        <v>01</v>
      </c>
      <c r="I161" s="111">
        <f t="shared" si="22"/>
        <v>16</v>
      </c>
      <c r="J161" s="111">
        <f t="shared" si="25"/>
        <v>1</v>
      </c>
      <c r="K161" s="111" t="str">
        <f ca="1">'Tabla VII.2.'!$B$10</f>
        <v>Tabla VII.2.</v>
      </c>
      <c r="L161" s="111" t="str">
        <f t="shared" ref="L161:L169" si="26">+L160</f>
        <v>A.1</v>
      </c>
    </row>
    <row r="162" spans="1:13" ht="15.75">
      <c r="A162" s="412" t="s">
        <v>3450</v>
      </c>
      <c r="B162" s="412" t="str">
        <f t="shared" si="19"/>
        <v>202503</v>
      </c>
      <c r="C162" s="412" t="s">
        <v>2945</v>
      </c>
      <c r="D162" s="413" t="str">
        <f ca="1">OFFSET('Tabla VII.2.'!$G$14,I162-1,0)</f>
        <v>02.01.02.04.</v>
      </c>
      <c r="E162" s="412">
        <f t="shared" si="21"/>
        <v>0</v>
      </c>
      <c r="F162" s="464" t="str">
        <f ca="1">VLOOKUP(OFFSET('Tabla VII.2.'!$G$14,I162-1,1),TABPAIS,2,FALSE)</f>
        <v>00</v>
      </c>
      <c r="G162" s="414">
        <f ca="1">OFFSET('Tabla VII.2.'!$I$14,I162-1,J162-1)</f>
        <v>0</v>
      </c>
      <c r="H162" s="412" t="str">
        <f ca="1">OFFSET('Tabla VII.2.'!$I$1,0,J162-1)</f>
        <v>01</v>
      </c>
      <c r="I162" s="111">
        <f t="shared" si="22"/>
        <v>17</v>
      </c>
      <c r="J162" s="111">
        <f t="shared" si="25"/>
        <v>1</v>
      </c>
      <c r="K162" s="111" t="str">
        <f ca="1">'Tabla VII.2.'!$B$10</f>
        <v>Tabla VII.2.</v>
      </c>
      <c r="L162" s="111" t="str">
        <f t="shared" si="26"/>
        <v>A.1</v>
      </c>
    </row>
    <row r="163" spans="1:13" ht="15.75">
      <c r="A163" s="412" t="s">
        <v>3450</v>
      </c>
      <c r="B163" s="412" t="str">
        <f t="shared" si="19"/>
        <v>202503</v>
      </c>
      <c r="C163" s="412" t="s">
        <v>2945</v>
      </c>
      <c r="D163" s="413" t="str">
        <f ca="1">OFFSET('Tabla VII.2.'!$G$14,I163-1,0)</f>
        <v>02.01.02.05.</v>
      </c>
      <c r="E163" s="412">
        <f t="shared" si="21"/>
        <v>0</v>
      </c>
      <c r="F163" s="464" t="str">
        <f ca="1">VLOOKUP(OFFSET('Tabla VII.2.'!$G$14,I163-1,1),TABPAIS,2,FALSE)</f>
        <v>00</v>
      </c>
      <c r="G163" s="414">
        <f ca="1">OFFSET('Tabla VII.2.'!$I$14,I163-1,J163-1)</f>
        <v>0</v>
      </c>
      <c r="H163" s="412" t="str">
        <f ca="1">OFFSET('Tabla VII.2.'!$I$1,0,J163-1)</f>
        <v>01</v>
      </c>
      <c r="I163" s="111">
        <f t="shared" si="22"/>
        <v>18</v>
      </c>
      <c r="J163" s="111">
        <f t="shared" si="25"/>
        <v>1</v>
      </c>
      <c r="K163" s="111" t="str">
        <f ca="1">'Tabla VII.2.'!$B$10</f>
        <v>Tabla VII.2.</v>
      </c>
      <c r="L163" s="111" t="str">
        <f t="shared" si="26"/>
        <v>A.1</v>
      </c>
    </row>
    <row r="164" spans="1:13" ht="15.75">
      <c r="A164" s="412" t="s">
        <v>3450</v>
      </c>
      <c r="B164" s="412" t="str">
        <f t="shared" si="19"/>
        <v>202503</v>
      </c>
      <c r="C164" s="412" t="s">
        <v>2945</v>
      </c>
      <c r="D164" s="413" t="str">
        <f ca="1">OFFSET('Tabla VII.2.'!$G$14,I164-1,0)</f>
        <v>02.01.02.06.</v>
      </c>
      <c r="E164" s="412">
        <f t="shared" si="21"/>
        <v>0</v>
      </c>
      <c r="F164" s="464" t="str">
        <f ca="1">VLOOKUP(OFFSET('Tabla VII.2.'!$G$14,I164-1,1),TABPAIS,2,FALSE)</f>
        <v>00</v>
      </c>
      <c r="G164" s="414">
        <f ca="1">OFFSET('Tabla VII.2.'!$I$14,I164-1,J164-1)</f>
        <v>0</v>
      </c>
      <c r="H164" s="412" t="str">
        <f ca="1">OFFSET('Tabla VII.2.'!$I$1,0,J164-1)</f>
        <v>01</v>
      </c>
      <c r="I164" s="111">
        <f t="shared" si="22"/>
        <v>19</v>
      </c>
      <c r="J164" s="111">
        <f t="shared" si="25"/>
        <v>1</v>
      </c>
      <c r="K164" s="111" t="str">
        <f ca="1">'Tabla VII.2.'!$B$10</f>
        <v>Tabla VII.2.</v>
      </c>
      <c r="L164" s="111" t="str">
        <f t="shared" si="26"/>
        <v>A.1</v>
      </c>
    </row>
    <row r="165" spans="1:13" ht="15.75">
      <c r="A165" s="412" t="s">
        <v>3450</v>
      </c>
      <c r="B165" s="412" t="str">
        <f t="shared" si="19"/>
        <v>202503</v>
      </c>
      <c r="C165" s="412" t="s">
        <v>2945</v>
      </c>
      <c r="D165" s="413" t="str">
        <f ca="1">OFFSET('Tabla VII.2.'!$G$14,I165-1,0)</f>
        <v>02.01.02.07.</v>
      </c>
      <c r="E165" s="412">
        <f t="shared" si="21"/>
        <v>0</v>
      </c>
      <c r="F165" s="464" t="str">
        <f ca="1">VLOOKUP(OFFSET('Tabla VII.2.'!$G$14,I165-1,1),TABPAIS,2,FALSE)</f>
        <v>00</v>
      </c>
      <c r="G165" s="414">
        <f ca="1">OFFSET('Tabla VII.2.'!$I$14,I165-1,J165-1)</f>
        <v>0</v>
      </c>
      <c r="H165" s="412" t="str">
        <f ca="1">OFFSET('Tabla VII.2.'!$I$1,0,J165-1)</f>
        <v>01</v>
      </c>
      <c r="I165" s="111">
        <f t="shared" si="22"/>
        <v>20</v>
      </c>
      <c r="J165" s="111">
        <f t="shared" si="25"/>
        <v>1</v>
      </c>
      <c r="K165" s="111" t="str">
        <f ca="1">'Tabla VII.2.'!$B$10</f>
        <v>Tabla VII.2.</v>
      </c>
      <c r="L165" s="111" t="str">
        <f t="shared" si="26"/>
        <v>A.1</v>
      </c>
    </row>
    <row r="166" spans="1:13" ht="15.75">
      <c r="A166" s="412" t="s">
        <v>3450</v>
      </c>
      <c r="B166" s="412" t="str">
        <f t="shared" si="19"/>
        <v>202503</v>
      </c>
      <c r="C166" s="412" t="s">
        <v>2945</v>
      </c>
      <c r="D166" s="413" t="str">
        <f ca="1">OFFSET('Tabla VII.2.'!$G$14,I166-1,0)</f>
        <v>02.01.02.08.</v>
      </c>
      <c r="E166" s="412">
        <f t="shared" si="21"/>
        <v>0</v>
      </c>
      <c r="F166" s="464" t="str">
        <f ca="1">VLOOKUP(OFFSET('Tabla VII.2.'!$G$14,I166-1,1),TABPAIS,2,FALSE)</f>
        <v>00</v>
      </c>
      <c r="G166" s="414">
        <f ca="1">OFFSET('Tabla VII.2.'!$I$14,I166-1,J166-1)</f>
        <v>0</v>
      </c>
      <c r="H166" s="412" t="str">
        <f ca="1">OFFSET('Tabla VII.2.'!$I$1,0,J166-1)</f>
        <v>01</v>
      </c>
      <c r="I166" s="111">
        <f t="shared" si="22"/>
        <v>21</v>
      </c>
      <c r="J166" s="111">
        <f t="shared" si="25"/>
        <v>1</v>
      </c>
      <c r="K166" s="111" t="str">
        <f ca="1">'Tabla VII.2.'!$B$10</f>
        <v>Tabla VII.2.</v>
      </c>
      <c r="L166" s="111" t="str">
        <f t="shared" si="26"/>
        <v>A.1</v>
      </c>
    </row>
    <row r="167" spans="1:13" ht="15.75">
      <c r="A167" s="412" t="s">
        <v>3450</v>
      </c>
      <c r="B167" s="412" t="str">
        <f t="shared" si="19"/>
        <v>202503</v>
      </c>
      <c r="C167" s="412" t="s">
        <v>2945</v>
      </c>
      <c r="D167" s="413" t="str">
        <f ca="1">OFFSET('Tabla VII.2.'!$G$14,I167-1,0)</f>
        <v>02.01.02.09.</v>
      </c>
      <c r="E167" s="412">
        <f t="shared" si="21"/>
        <v>0</v>
      </c>
      <c r="F167" s="464" t="str">
        <f ca="1">VLOOKUP(OFFSET('Tabla VII.2.'!$G$14,I167-1,1),TABPAIS,2,FALSE)</f>
        <v>00</v>
      </c>
      <c r="G167" s="414">
        <f ca="1">OFFSET('Tabla VII.2.'!$I$14,I167-1,J167-1)</f>
        <v>0</v>
      </c>
      <c r="H167" s="412" t="str">
        <f ca="1">OFFSET('Tabla VII.2.'!$I$1,0,J167-1)</f>
        <v>01</v>
      </c>
      <c r="I167" s="111">
        <f t="shared" si="22"/>
        <v>22</v>
      </c>
      <c r="J167" s="111">
        <f t="shared" si="25"/>
        <v>1</v>
      </c>
      <c r="K167" s="111" t="str">
        <f ca="1">'Tabla VII.2.'!$B$10</f>
        <v>Tabla VII.2.</v>
      </c>
      <c r="L167" s="111" t="str">
        <f t="shared" si="26"/>
        <v>A.1</v>
      </c>
    </row>
    <row r="168" spans="1:13" ht="15.75">
      <c r="A168" s="412" t="s">
        <v>3450</v>
      </c>
      <c r="B168" s="412" t="str">
        <f t="shared" si="19"/>
        <v>202503</v>
      </c>
      <c r="C168" s="412" t="s">
        <v>2945</v>
      </c>
      <c r="D168" s="413" t="str">
        <f ca="1">OFFSET('Tabla VII.2.'!$G$14,I168-1,0)</f>
        <v>02.01.02.10.</v>
      </c>
      <c r="E168" s="412">
        <f t="shared" si="21"/>
        <v>0</v>
      </c>
      <c r="F168" s="464" t="str">
        <f ca="1">VLOOKUP(OFFSET('Tabla VII.2.'!$G$14,I168-1,1),TABPAIS,2,FALSE)</f>
        <v>00</v>
      </c>
      <c r="G168" s="414">
        <f ca="1">OFFSET('Tabla VII.2.'!$I$14,I168-1,J168-1)</f>
        <v>0</v>
      </c>
      <c r="H168" s="412" t="str">
        <f ca="1">OFFSET('Tabla VII.2.'!$I$1,0,J168-1)</f>
        <v>01</v>
      </c>
      <c r="I168" s="111">
        <f t="shared" si="22"/>
        <v>23</v>
      </c>
      <c r="J168" s="111">
        <f t="shared" si="25"/>
        <v>1</v>
      </c>
      <c r="K168" s="111" t="str">
        <f ca="1">'Tabla VII.2.'!$B$10</f>
        <v>Tabla VII.2.</v>
      </c>
      <c r="L168" s="111" t="str">
        <f t="shared" si="26"/>
        <v>A.1</v>
      </c>
    </row>
    <row r="169" spans="1:13" ht="15.75">
      <c r="A169" s="412" t="s">
        <v>3450</v>
      </c>
      <c r="B169" s="412" t="str">
        <f t="shared" si="19"/>
        <v>202503</v>
      </c>
      <c r="C169" s="412" t="s">
        <v>2945</v>
      </c>
      <c r="D169" s="413" t="str">
        <f ca="1">OFFSET('Tabla VII.2.'!$G$14,I169-1,0)</f>
        <v>02.01.02.11.</v>
      </c>
      <c r="E169" s="412">
        <f t="shared" si="21"/>
        <v>0</v>
      </c>
      <c r="F169" s="464" t="str">
        <f ca="1">VLOOKUP(OFFSET('Tabla VII.2.'!$G$14,I169-1,1),TABPAIS,2,FALSE)</f>
        <v>zzz</v>
      </c>
      <c r="G169" s="414">
        <f ca="1">OFFSET('Tabla VII.2.'!$I$14,I169-1,J169-1)</f>
        <v>0</v>
      </c>
      <c r="H169" s="412" t="str">
        <f ca="1">OFFSET('Tabla VII.2.'!$I$1,0,J169-1)</f>
        <v>01</v>
      </c>
      <c r="I169" s="111">
        <f t="shared" si="22"/>
        <v>24</v>
      </c>
      <c r="J169" s="111">
        <f t="shared" si="25"/>
        <v>1</v>
      </c>
      <c r="K169" s="111" t="str">
        <f ca="1">'Tabla VII.2.'!$B$10</f>
        <v>Tabla VII.2.</v>
      </c>
      <c r="L169" s="111" t="str">
        <f t="shared" si="26"/>
        <v>A.1</v>
      </c>
    </row>
    <row r="170" spans="1:13" ht="15.75">
      <c r="A170" s="107" t="s">
        <v>3450</v>
      </c>
      <c r="B170" s="107" t="str">
        <f t="shared" si="19"/>
        <v>202503</v>
      </c>
      <c r="C170" s="107" t="s">
        <v>2945</v>
      </c>
      <c r="D170" s="399" t="str">
        <f ca="1">OFFSET('Tabla VII.2.'!$G$14,I170-1,0)</f>
        <v>02.01.03.</v>
      </c>
      <c r="E170" s="107">
        <f t="shared" si="21"/>
        <v>0</v>
      </c>
      <c r="F170" s="462" t="s">
        <v>3451</v>
      </c>
      <c r="G170" s="108">
        <f ca="1">OFFSET('Tabla VII.2.'!$I$14,I170-1,J170-1)</f>
        <v>0</v>
      </c>
      <c r="H170" s="107" t="str">
        <f ca="1">OFFSET('Tabla VII.2.'!$I$1,0,J170-1)</f>
        <v>01</v>
      </c>
      <c r="I170" s="110">
        <f t="shared" si="22"/>
        <v>25</v>
      </c>
      <c r="J170" s="110">
        <v>1</v>
      </c>
      <c r="K170" s="110" t="str">
        <f ca="1">'Tabla VII.2.'!$B$10</f>
        <v>Tabla VII.2.</v>
      </c>
      <c r="L170" s="110" t="s">
        <v>2937</v>
      </c>
      <c r="M170" s="107">
        <f>+M158+1</f>
        <v>3</v>
      </c>
    </row>
    <row r="171" spans="1:13" ht="15.75">
      <c r="A171" s="107" t="s">
        <v>3450</v>
      </c>
      <c r="B171" s="107" t="str">
        <f t="shared" si="19"/>
        <v>202503</v>
      </c>
      <c r="C171" s="107" t="s">
        <v>2945</v>
      </c>
      <c r="D171" s="399" t="str">
        <f ca="1">OFFSET('Tabla VII.2.'!$G$14,I171-1,0)</f>
        <v>02.01.03.01.</v>
      </c>
      <c r="E171" s="107">
        <f t="shared" si="21"/>
        <v>0</v>
      </c>
      <c r="F171" s="459" t="str">
        <f ca="1">VLOOKUP(OFFSET('Tabla VII.2.'!$G$14,I171-1,1),TABPAIS,2,FALSE)</f>
        <v>00</v>
      </c>
      <c r="G171" s="108">
        <f ca="1">OFFSET('Tabla VII.2.'!$I$14,I171-1,J171-1)</f>
        <v>0</v>
      </c>
      <c r="H171" s="107" t="str">
        <f ca="1">OFFSET('Tabla VII.2.'!$I$1,0,J171-1)</f>
        <v>01</v>
      </c>
      <c r="I171" s="110">
        <f t="shared" si="22"/>
        <v>26</v>
      </c>
      <c r="J171" s="110">
        <f t="shared" ref="J171:J181" si="27">+J170</f>
        <v>1</v>
      </c>
      <c r="K171" s="110" t="str">
        <f ca="1">'Tabla VII.2.'!$B$10</f>
        <v>Tabla VII.2.</v>
      </c>
      <c r="L171" s="110" t="str">
        <f>+L170</f>
        <v>A.1</v>
      </c>
      <c r="M171" s="107"/>
    </row>
    <row r="172" spans="1:13" ht="15.75">
      <c r="A172" s="107" t="s">
        <v>3450</v>
      </c>
      <c r="B172" s="107" t="str">
        <f t="shared" si="19"/>
        <v>202503</v>
      </c>
      <c r="C172" s="107" t="s">
        <v>2945</v>
      </c>
      <c r="D172" s="399" t="str">
        <f ca="1">OFFSET('Tabla VII.2.'!$G$14,I172-1,0)</f>
        <v>02.01.03.02.</v>
      </c>
      <c r="E172" s="107">
        <f t="shared" si="21"/>
        <v>0</v>
      </c>
      <c r="F172" s="459" t="str">
        <f ca="1">VLOOKUP(OFFSET('Tabla VII.2.'!$G$14,I172-1,1),TABPAIS,2,FALSE)</f>
        <v>00</v>
      </c>
      <c r="G172" s="108">
        <f ca="1">OFFSET('Tabla VII.2.'!$I$14,I172-1,J172-1)</f>
        <v>0</v>
      </c>
      <c r="H172" s="107" t="str">
        <f ca="1">OFFSET('Tabla VII.2.'!$I$1,0,J172-1)</f>
        <v>01</v>
      </c>
      <c r="I172" s="110">
        <f t="shared" si="22"/>
        <v>27</v>
      </c>
      <c r="J172" s="110">
        <f t="shared" si="27"/>
        <v>1</v>
      </c>
      <c r="K172" s="110" t="str">
        <f ca="1">'Tabla VII.2.'!$B$10</f>
        <v>Tabla VII.2.</v>
      </c>
      <c r="L172" s="110" t="str">
        <f>+L171</f>
        <v>A.1</v>
      </c>
      <c r="M172" s="107"/>
    </row>
    <row r="173" spans="1:13" ht="15.75">
      <c r="A173" s="107" t="s">
        <v>3450</v>
      </c>
      <c r="B173" s="107" t="str">
        <f t="shared" si="19"/>
        <v>202503</v>
      </c>
      <c r="C173" s="107" t="s">
        <v>2945</v>
      </c>
      <c r="D173" s="399" t="str">
        <f ca="1">OFFSET('Tabla VII.2.'!$G$14,I173-1,0)</f>
        <v>02.01.03.03.</v>
      </c>
      <c r="E173" s="107">
        <f t="shared" si="21"/>
        <v>0</v>
      </c>
      <c r="F173" s="459" t="str">
        <f ca="1">VLOOKUP(OFFSET('Tabla VII.2.'!$G$14,I173-1,1),TABPAIS,2,FALSE)</f>
        <v>00</v>
      </c>
      <c r="G173" s="108">
        <f ca="1">OFFSET('Tabla VII.2.'!$I$14,I173-1,J173-1)</f>
        <v>0</v>
      </c>
      <c r="H173" s="107" t="str">
        <f ca="1">OFFSET('Tabla VII.2.'!$I$1,0,J173-1)</f>
        <v>01</v>
      </c>
      <c r="I173" s="110">
        <f t="shared" si="22"/>
        <v>28</v>
      </c>
      <c r="J173" s="110">
        <f t="shared" si="27"/>
        <v>1</v>
      </c>
      <c r="K173" s="110" t="str">
        <f ca="1">'Tabla VII.2.'!$B$10</f>
        <v>Tabla VII.2.</v>
      </c>
      <c r="L173" s="110" t="str">
        <f t="shared" ref="L173:L181" si="28">+L172</f>
        <v>A.1</v>
      </c>
      <c r="M173" s="107"/>
    </row>
    <row r="174" spans="1:13" ht="15.75">
      <c r="A174" s="107" t="s">
        <v>3450</v>
      </c>
      <c r="B174" s="107" t="str">
        <f t="shared" si="19"/>
        <v>202503</v>
      </c>
      <c r="C174" s="107" t="s">
        <v>2945</v>
      </c>
      <c r="D174" s="399" t="str">
        <f ca="1">OFFSET('Tabla VII.2.'!$G$14,I174-1,0)</f>
        <v>02.01.03.04.</v>
      </c>
      <c r="E174" s="107">
        <f t="shared" si="21"/>
        <v>0</v>
      </c>
      <c r="F174" s="459" t="str">
        <f ca="1">VLOOKUP(OFFSET('Tabla VII.2.'!$G$14,I174-1,1),TABPAIS,2,FALSE)</f>
        <v>00</v>
      </c>
      <c r="G174" s="108">
        <f ca="1">OFFSET('Tabla VII.2.'!$I$14,I174-1,J174-1)</f>
        <v>0</v>
      </c>
      <c r="H174" s="107" t="str">
        <f ca="1">OFFSET('Tabla VII.2.'!$I$1,0,J174-1)</f>
        <v>01</v>
      </c>
      <c r="I174" s="110">
        <f t="shared" si="22"/>
        <v>29</v>
      </c>
      <c r="J174" s="110">
        <f t="shared" si="27"/>
        <v>1</v>
      </c>
      <c r="K174" s="110" t="str">
        <f ca="1">'Tabla VII.2.'!$B$10</f>
        <v>Tabla VII.2.</v>
      </c>
      <c r="L174" s="110" t="str">
        <f t="shared" si="28"/>
        <v>A.1</v>
      </c>
      <c r="M174" s="107"/>
    </row>
    <row r="175" spans="1:13" ht="15.75">
      <c r="A175" s="107" t="s">
        <v>3450</v>
      </c>
      <c r="B175" s="107" t="str">
        <f t="shared" si="19"/>
        <v>202503</v>
      </c>
      <c r="C175" s="107" t="s">
        <v>2945</v>
      </c>
      <c r="D175" s="399" t="str">
        <f ca="1">OFFSET('Tabla VII.2.'!$G$14,I175-1,0)</f>
        <v>02.01.03.05.</v>
      </c>
      <c r="E175" s="107">
        <f t="shared" si="21"/>
        <v>0</v>
      </c>
      <c r="F175" s="459" t="str">
        <f ca="1">VLOOKUP(OFFSET('Tabla VII.2.'!$G$14,I175-1,1),TABPAIS,2,FALSE)</f>
        <v>00</v>
      </c>
      <c r="G175" s="108">
        <f ca="1">OFFSET('Tabla VII.2.'!$I$14,I175-1,J175-1)</f>
        <v>0</v>
      </c>
      <c r="H175" s="107" t="str">
        <f ca="1">OFFSET('Tabla VII.2.'!$I$1,0,J175-1)</f>
        <v>01</v>
      </c>
      <c r="I175" s="110">
        <f t="shared" si="22"/>
        <v>30</v>
      </c>
      <c r="J175" s="110">
        <f t="shared" si="27"/>
        <v>1</v>
      </c>
      <c r="K175" s="110" t="str">
        <f ca="1">'Tabla VII.2.'!$B$10</f>
        <v>Tabla VII.2.</v>
      </c>
      <c r="L175" s="110" t="str">
        <f t="shared" si="28"/>
        <v>A.1</v>
      </c>
      <c r="M175" s="107"/>
    </row>
    <row r="176" spans="1:13" ht="15.75">
      <c r="A176" s="107" t="s">
        <v>3450</v>
      </c>
      <c r="B176" s="107" t="str">
        <f t="shared" si="19"/>
        <v>202503</v>
      </c>
      <c r="C176" s="107" t="s">
        <v>2945</v>
      </c>
      <c r="D176" s="399" t="str">
        <f ca="1">OFFSET('Tabla VII.2.'!$G$14,I176-1,0)</f>
        <v>02.01.03.06.</v>
      </c>
      <c r="E176" s="107">
        <f t="shared" si="21"/>
        <v>0</v>
      </c>
      <c r="F176" s="459" t="str">
        <f ca="1">VLOOKUP(OFFSET('Tabla VII.2.'!$G$14,I176-1,1),TABPAIS,2,FALSE)</f>
        <v>00</v>
      </c>
      <c r="G176" s="108">
        <f ca="1">OFFSET('Tabla VII.2.'!$I$14,I176-1,J176-1)</f>
        <v>0</v>
      </c>
      <c r="H176" s="107" t="str">
        <f ca="1">OFFSET('Tabla VII.2.'!$I$1,0,J176-1)</f>
        <v>01</v>
      </c>
      <c r="I176" s="110">
        <f t="shared" si="22"/>
        <v>31</v>
      </c>
      <c r="J176" s="110">
        <f t="shared" si="27"/>
        <v>1</v>
      </c>
      <c r="K176" s="110" t="str">
        <f ca="1">'Tabla VII.2.'!$B$10</f>
        <v>Tabla VII.2.</v>
      </c>
      <c r="L176" s="110" t="str">
        <f t="shared" si="28"/>
        <v>A.1</v>
      </c>
      <c r="M176" s="107"/>
    </row>
    <row r="177" spans="1:13" ht="15.75">
      <c r="A177" s="107" t="s">
        <v>3450</v>
      </c>
      <c r="B177" s="107" t="str">
        <f t="shared" si="19"/>
        <v>202503</v>
      </c>
      <c r="C177" s="107" t="s">
        <v>2945</v>
      </c>
      <c r="D177" s="399" t="str">
        <f ca="1">OFFSET('Tabla VII.2.'!$G$14,I177-1,0)</f>
        <v>02.01.03.07.</v>
      </c>
      <c r="E177" s="107">
        <f t="shared" si="21"/>
        <v>0</v>
      </c>
      <c r="F177" s="459" t="str">
        <f ca="1">VLOOKUP(OFFSET('Tabla VII.2.'!$G$14,I177-1,1),TABPAIS,2,FALSE)</f>
        <v>00</v>
      </c>
      <c r="G177" s="108">
        <f ca="1">OFFSET('Tabla VII.2.'!$I$14,I177-1,J177-1)</f>
        <v>0</v>
      </c>
      <c r="H177" s="107" t="str">
        <f ca="1">OFFSET('Tabla VII.2.'!$I$1,0,J177-1)</f>
        <v>01</v>
      </c>
      <c r="I177" s="110">
        <f t="shared" si="22"/>
        <v>32</v>
      </c>
      <c r="J177" s="110">
        <f t="shared" si="27"/>
        <v>1</v>
      </c>
      <c r="K177" s="110" t="str">
        <f ca="1">'Tabla VII.2.'!$B$10</f>
        <v>Tabla VII.2.</v>
      </c>
      <c r="L177" s="110" t="str">
        <f t="shared" si="28"/>
        <v>A.1</v>
      </c>
      <c r="M177" s="458"/>
    </row>
    <row r="178" spans="1:13" ht="15.75">
      <c r="A178" s="107" t="s">
        <v>3450</v>
      </c>
      <c r="B178" s="107" t="str">
        <f t="shared" si="19"/>
        <v>202503</v>
      </c>
      <c r="C178" s="107" t="s">
        <v>2945</v>
      </c>
      <c r="D178" s="399" t="str">
        <f ca="1">OFFSET('Tabla VII.2.'!$G$14,I178-1,0)</f>
        <v>02.01.03.08.</v>
      </c>
      <c r="E178" s="107">
        <f t="shared" si="21"/>
        <v>0</v>
      </c>
      <c r="F178" s="459" t="str">
        <f ca="1">VLOOKUP(OFFSET('Tabla VII.2.'!$G$14,I178-1,1),TABPAIS,2,FALSE)</f>
        <v>00</v>
      </c>
      <c r="G178" s="108">
        <f ca="1">OFFSET('Tabla VII.2.'!$I$14,I178-1,J178-1)</f>
        <v>0</v>
      </c>
      <c r="H178" s="107" t="str">
        <f ca="1">OFFSET('Tabla VII.2.'!$I$1,0,J178-1)</f>
        <v>01</v>
      </c>
      <c r="I178" s="110">
        <f t="shared" si="22"/>
        <v>33</v>
      </c>
      <c r="J178" s="110">
        <f t="shared" si="27"/>
        <v>1</v>
      </c>
      <c r="K178" s="110" t="str">
        <f ca="1">'Tabla VII.2.'!$B$10</f>
        <v>Tabla VII.2.</v>
      </c>
      <c r="L178" s="110" t="str">
        <f t="shared" si="28"/>
        <v>A.1</v>
      </c>
      <c r="M178" s="458"/>
    </row>
    <row r="179" spans="1:13" ht="15.75">
      <c r="A179" s="107" t="s">
        <v>3450</v>
      </c>
      <c r="B179" s="107" t="str">
        <f t="shared" si="19"/>
        <v>202503</v>
      </c>
      <c r="C179" s="107" t="s">
        <v>2945</v>
      </c>
      <c r="D179" s="399" t="str">
        <f ca="1">OFFSET('Tabla VII.2.'!$G$14,I179-1,0)</f>
        <v>02.01.03.09.</v>
      </c>
      <c r="E179" s="107">
        <f t="shared" si="21"/>
        <v>0</v>
      </c>
      <c r="F179" s="459" t="str">
        <f ca="1">VLOOKUP(OFFSET('Tabla VII.2.'!$G$14,I179-1,1),TABPAIS,2,FALSE)</f>
        <v>00</v>
      </c>
      <c r="G179" s="108">
        <f ca="1">OFFSET('Tabla VII.2.'!$I$14,I179-1,J179-1)</f>
        <v>0</v>
      </c>
      <c r="H179" s="107" t="str">
        <f ca="1">OFFSET('Tabla VII.2.'!$I$1,0,J179-1)</f>
        <v>01</v>
      </c>
      <c r="I179" s="110">
        <f t="shared" si="22"/>
        <v>34</v>
      </c>
      <c r="J179" s="110">
        <f t="shared" si="27"/>
        <v>1</v>
      </c>
      <c r="K179" s="110" t="str">
        <f ca="1">'Tabla VII.2.'!$B$10</f>
        <v>Tabla VII.2.</v>
      </c>
      <c r="L179" s="110" t="str">
        <f t="shared" si="28"/>
        <v>A.1</v>
      </c>
      <c r="M179" s="458"/>
    </row>
    <row r="180" spans="1:13" ht="15.75">
      <c r="A180" s="107" t="s">
        <v>3450</v>
      </c>
      <c r="B180" s="107" t="str">
        <f t="shared" si="19"/>
        <v>202503</v>
      </c>
      <c r="C180" s="107" t="s">
        <v>2945</v>
      </c>
      <c r="D180" s="399" t="str">
        <f ca="1">OFFSET('Tabla VII.2.'!$G$14,I180-1,0)</f>
        <v>02.01.03.10.</v>
      </c>
      <c r="E180" s="107">
        <f t="shared" si="21"/>
        <v>0</v>
      </c>
      <c r="F180" s="459" t="str">
        <f ca="1">VLOOKUP(OFFSET('Tabla VII.2.'!$G$14,I180-1,1),TABPAIS,2,FALSE)</f>
        <v>00</v>
      </c>
      <c r="G180" s="108">
        <f ca="1">OFFSET('Tabla VII.2.'!$I$14,I180-1,J180-1)</f>
        <v>0</v>
      </c>
      <c r="H180" s="107" t="str">
        <f ca="1">OFFSET('Tabla VII.2.'!$I$1,0,J180-1)</f>
        <v>01</v>
      </c>
      <c r="I180" s="110">
        <f t="shared" si="22"/>
        <v>35</v>
      </c>
      <c r="J180" s="110">
        <f t="shared" si="27"/>
        <v>1</v>
      </c>
      <c r="K180" s="110" t="str">
        <f ca="1">'Tabla VII.2.'!$B$10</f>
        <v>Tabla VII.2.</v>
      </c>
      <c r="L180" s="110" t="str">
        <f t="shared" si="28"/>
        <v>A.1</v>
      </c>
      <c r="M180" s="458"/>
    </row>
    <row r="181" spans="1:13" ht="15.75">
      <c r="A181" s="107" t="s">
        <v>3450</v>
      </c>
      <c r="B181" s="107" t="str">
        <f t="shared" si="19"/>
        <v>202503</v>
      </c>
      <c r="C181" s="107" t="s">
        <v>2945</v>
      </c>
      <c r="D181" s="399" t="str">
        <f ca="1">OFFSET('Tabla VII.2.'!$G$14,I181-1,0)</f>
        <v>02.01.03.11.</v>
      </c>
      <c r="E181" s="107">
        <f t="shared" si="21"/>
        <v>0</v>
      </c>
      <c r="F181" s="459" t="str">
        <f ca="1">VLOOKUP(OFFSET('Tabla VII.2.'!$G$14,I181-1,1),TABPAIS,2,FALSE)</f>
        <v>zzz</v>
      </c>
      <c r="G181" s="108">
        <f ca="1">OFFSET('Tabla VII.2.'!$I$14,I181-1,J181-1)</f>
        <v>0</v>
      </c>
      <c r="H181" s="107" t="str">
        <f ca="1">OFFSET('Tabla VII.2.'!$I$1,0,J181-1)</f>
        <v>01</v>
      </c>
      <c r="I181" s="110">
        <f t="shared" si="22"/>
        <v>36</v>
      </c>
      <c r="J181" s="110">
        <f t="shared" si="27"/>
        <v>1</v>
      </c>
      <c r="K181" s="110" t="str">
        <f ca="1">'Tabla VII.2.'!$B$10</f>
        <v>Tabla VII.2.</v>
      </c>
      <c r="L181" s="110" t="str">
        <f t="shared" si="28"/>
        <v>A.1</v>
      </c>
      <c r="M181" s="458"/>
    </row>
    <row r="182" spans="1:13" ht="15.75">
      <c r="A182" s="412" t="s">
        <v>3450</v>
      </c>
      <c r="B182" s="412" t="str">
        <f t="shared" si="19"/>
        <v>202503</v>
      </c>
      <c r="C182" s="412" t="s">
        <v>2945</v>
      </c>
      <c r="D182" s="413" t="str">
        <f ca="1">OFFSET('Tabla VII.2.'!$G$14,I182-1,0)</f>
        <v>02.01.04.</v>
      </c>
      <c r="E182" s="412">
        <f t="shared" si="21"/>
        <v>0</v>
      </c>
      <c r="F182" s="463" t="s">
        <v>3451</v>
      </c>
      <c r="G182" s="414">
        <f ca="1">OFFSET('Tabla VII.2.'!$I$14,I182-1,J182-1)</f>
        <v>0</v>
      </c>
      <c r="H182" s="412" t="str">
        <f ca="1">OFFSET('Tabla VII.2.'!$I$1,0,J182-1)</f>
        <v>01</v>
      </c>
      <c r="I182" s="111">
        <f t="shared" si="22"/>
        <v>37</v>
      </c>
      <c r="J182" s="111">
        <v>1</v>
      </c>
      <c r="K182" s="111" t="str">
        <f ca="1">'Tabla VII.2.'!$B$10</f>
        <v>Tabla VII.2.</v>
      </c>
      <c r="L182" s="111" t="s">
        <v>2937</v>
      </c>
      <c r="M182" s="111">
        <f>+M170+1</f>
        <v>4</v>
      </c>
    </row>
    <row r="183" spans="1:13" ht="15.75">
      <c r="A183" s="412" t="s">
        <v>3450</v>
      </c>
      <c r="B183" s="412" t="str">
        <f t="shared" si="19"/>
        <v>202503</v>
      </c>
      <c r="C183" s="412" t="s">
        <v>2945</v>
      </c>
      <c r="D183" s="413" t="str">
        <f ca="1">OFFSET('Tabla VII.2.'!$G$14,I183-1,0)</f>
        <v>02.01.04.01.</v>
      </c>
      <c r="E183" s="412">
        <f t="shared" si="21"/>
        <v>0</v>
      </c>
      <c r="F183" s="464" t="str">
        <f ca="1">VLOOKUP(OFFSET('Tabla VII.2.'!$G$14,I183-1,1),TABPAIS,2,FALSE)</f>
        <v>00</v>
      </c>
      <c r="G183" s="414">
        <f ca="1">OFFSET('Tabla VII.2.'!$I$14,I183-1,J183-1)</f>
        <v>0</v>
      </c>
      <c r="H183" s="412" t="str">
        <f ca="1">OFFSET('Tabla VII.2.'!$I$1,0,J183-1)</f>
        <v>01</v>
      </c>
      <c r="I183" s="111">
        <f t="shared" si="22"/>
        <v>38</v>
      </c>
      <c r="J183" s="111">
        <f t="shared" ref="J183:J193" si="29">+J182</f>
        <v>1</v>
      </c>
      <c r="K183" s="111" t="str">
        <f ca="1">'Tabla VII.2.'!$B$10</f>
        <v>Tabla VII.2.</v>
      </c>
      <c r="L183" s="111" t="str">
        <f>+L182</f>
        <v>A.1</v>
      </c>
    </row>
    <row r="184" spans="1:13" ht="15.75">
      <c r="A184" s="412" t="s">
        <v>3450</v>
      </c>
      <c r="B184" s="412" t="str">
        <f t="shared" si="19"/>
        <v>202503</v>
      </c>
      <c r="C184" s="412" t="s">
        <v>2945</v>
      </c>
      <c r="D184" s="413" t="str">
        <f ca="1">OFFSET('Tabla VII.2.'!$G$14,I184-1,0)</f>
        <v>02.01.04.02.</v>
      </c>
      <c r="E184" s="412">
        <f t="shared" si="21"/>
        <v>0</v>
      </c>
      <c r="F184" s="464" t="str">
        <f ca="1">VLOOKUP(OFFSET('Tabla VII.2.'!$G$14,I184-1,1),TABPAIS,2,FALSE)</f>
        <v>00</v>
      </c>
      <c r="G184" s="414">
        <f ca="1">OFFSET('Tabla VII.2.'!$I$14,I184-1,J184-1)</f>
        <v>0</v>
      </c>
      <c r="H184" s="412" t="str">
        <f ca="1">OFFSET('Tabla VII.2.'!$I$1,0,J184-1)</f>
        <v>01</v>
      </c>
      <c r="I184" s="111">
        <f t="shared" si="22"/>
        <v>39</v>
      </c>
      <c r="J184" s="111">
        <f t="shared" si="29"/>
        <v>1</v>
      </c>
      <c r="K184" s="111" t="str">
        <f ca="1">'Tabla VII.2.'!$B$10</f>
        <v>Tabla VII.2.</v>
      </c>
      <c r="L184" s="111" t="str">
        <f>+L183</f>
        <v>A.1</v>
      </c>
    </row>
    <row r="185" spans="1:13" ht="15.75">
      <c r="A185" s="412" t="s">
        <v>3450</v>
      </c>
      <c r="B185" s="412" t="str">
        <f t="shared" si="19"/>
        <v>202503</v>
      </c>
      <c r="C185" s="412" t="s">
        <v>2945</v>
      </c>
      <c r="D185" s="413" t="str">
        <f ca="1">OFFSET('Tabla VII.2.'!$G$14,I185-1,0)</f>
        <v>02.01.04.03.</v>
      </c>
      <c r="E185" s="412">
        <f t="shared" si="21"/>
        <v>0</v>
      </c>
      <c r="F185" s="464" t="str">
        <f ca="1">VLOOKUP(OFFSET('Tabla VII.2.'!$G$14,I185-1,1),TABPAIS,2,FALSE)</f>
        <v>00</v>
      </c>
      <c r="G185" s="414">
        <f ca="1">OFFSET('Tabla VII.2.'!$I$14,I185-1,J185-1)</f>
        <v>0</v>
      </c>
      <c r="H185" s="412" t="str">
        <f ca="1">OFFSET('Tabla VII.2.'!$I$1,0,J185-1)</f>
        <v>01</v>
      </c>
      <c r="I185" s="111">
        <f t="shared" si="22"/>
        <v>40</v>
      </c>
      <c r="J185" s="111">
        <f t="shared" si="29"/>
        <v>1</v>
      </c>
      <c r="K185" s="111" t="str">
        <f ca="1">'Tabla VII.2.'!$B$10</f>
        <v>Tabla VII.2.</v>
      </c>
      <c r="L185" s="111" t="str">
        <f t="shared" ref="L185:L193" si="30">+L184</f>
        <v>A.1</v>
      </c>
    </row>
    <row r="186" spans="1:13" ht="15.75">
      <c r="A186" s="412" t="s">
        <v>3450</v>
      </c>
      <c r="B186" s="412" t="str">
        <f t="shared" si="19"/>
        <v>202503</v>
      </c>
      <c r="C186" s="412" t="s">
        <v>2945</v>
      </c>
      <c r="D186" s="413" t="str">
        <f ca="1">OFFSET('Tabla VII.2.'!$G$14,I186-1,0)</f>
        <v>02.01.04.04.</v>
      </c>
      <c r="E186" s="412">
        <f t="shared" si="21"/>
        <v>0</v>
      </c>
      <c r="F186" s="464" t="str">
        <f ca="1">VLOOKUP(OFFSET('Tabla VII.2.'!$G$14,I186-1,1),TABPAIS,2,FALSE)</f>
        <v>00</v>
      </c>
      <c r="G186" s="414">
        <f ca="1">OFFSET('Tabla VII.2.'!$I$14,I186-1,J186-1)</f>
        <v>0</v>
      </c>
      <c r="H186" s="412" t="str">
        <f ca="1">OFFSET('Tabla VII.2.'!$I$1,0,J186-1)</f>
        <v>01</v>
      </c>
      <c r="I186" s="111">
        <f t="shared" si="22"/>
        <v>41</v>
      </c>
      <c r="J186" s="111">
        <f t="shared" si="29"/>
        <v>1</v>
      </c>
      <c r="K186" s="111" t="str">
        <f ca="1">'Tabla VII.2.'!$B$10</f>
        <v>Tabla VII.2.</v>
      </c>
      <c r="L186" s="111" t="str">
        <f t="shared" si="30"/>
        <v>A.1</v>
      </c>
    </row>
    <row r="187" spans="1:13" ht="15.75">
      <c r="A187" s="412" t="s">
        <v>3450</v>
      </c>
      <c r="B187" s="412" t="str">
        <f t="shared" si="19"/>
        <v>202503</v>
      </c>
      <c r="C187" s="412" t="s">
        <v>2945</v>
      </c>
      <c r="D187" s="413" t="str">
        <f ca="1">OFFSET('Tabla VII.2.'!$G$14,I187-1,0)</f>
        <v>02.01.04.05.</v>
      </c>
      <c r="E187" s="412">
        <f t="shared" si="21"/>
        <v>0</v>
      </c>
      <c r="F187" s="464" t="str">
        <f ca="1">VLOOKUP(OFFSET('Tabla VII.2.'!$G$14,I187-1,1),TABPAIS,2,FALSE)</f>
        <v>00</v>
      </c>
      <c r="G187" s="414">
        <f ca="1">OFFSET('Tabla VII.2.'!$I$14,I187-1,J187-1)</f>
        <v>0</v>
      </c>
      <c r="H187" s="412" t="str">
        <f ca="1">OFFSET('Tabla VII.2.'!$I$1,0,J187-1)</f>
        <v>01</v>
      </c>
      <c r="I187" s="111">
        <f t="shared" si="22"/>
        <v>42</v>
      </c>
      <c r="J187" s="111">
        <f t="shared" si="29"/>
        <v>1</v>
      </c>
      <c r="K187" s="111" t="str">
        <f ca="1">'Tabla VII.2.'!$B$10</f>
        <v>Tabla VII.2.</v>
      </c>
      <c r="L187" s="111" t="str">
        <f t="shared" si="30"/>
        <v>A.1</v>
      </c>
    </row>
    <row r="188" spans="1:13" ht="15.75">
      <c r="A188" s="412" t="s">
        <v>3450</v>
      </c>
      <c r="B188" s="412" t="str">
        <f t="shared" si="19"/>
        <v>202503</v>
      </c>
      <c r="C188" s="412" t="s">
        <v>2945</v>
      </c>
      <c r="D188" s="413" t="str">
        <f ca="1">OFFSET('Tabla VII.2.'!$G$14,I188-1,0)</f>
        <v>02.01.04.06.</v>
      </c>
      <c r="E188" s="412">
        <f t="shared" si="21"/>
        <v>0</v>
      </c>
      <c r="F188" s="464" t="str">
        <f ca="1">VLOOKUP(OFFSET('Tabla VII.2.'!$G$14,I188-1,1),TABPAIS,2,FALSE)</f>
        <v>00</v>
      </c>
      <c r="G188" s="414">
        <f ca="1">OFFSET('Tabla VII.2.'!$I$14,I188-1,J188-1)</f>
        <v>0</v>
      </c>
      <c r="H188" s="412" t="str">
        <f ca="1">OFFSET('Tabla VII.2.'!$I$1,0,J188-1)</f>
        <v>01</v>
      </c>
      <c r="I188" s="111">
        <f t="shared" si="22"/>
        <v>43</v>
      </c>
      <c r="J188" s="111">
        <f t="shared" si="29"/>
        <v>1</v>
      </c>
      <c r="K188" s="111" t="str">
        <f ca="1">'Tabla VII.2.'!$B$10</f>
        <v>Tabla VII.2.</v>
      </c>
      <c r="L188" s="111" t="str">
        <f t="shared" si="30"/>
        <v>A.1</v>
      </c>
    </row>
    <row r="189" spans="1:13" ht="15.75">
      <c r="A189" s="412" t="s">
        <v>3450</v>
      </c>
      <c r="B189" s="412" t="str">
        <f t="shared" si="19"/>
        <v>202503</v>
      </c>
      <c r="C189" s="412" t="s">
        <v>2945</v>
      </c>
      <c r="D189" s="413" t="str">
        <f ca="1">OFFSET('Tabla VII.2.'!$G$14,I189-1,0)</f>
        <v>02.01.04.07.</v>
      </c>
      <c r="E189" s="412">
        <f t="shared" si="21"/>
        <v>0</v>
      </c>
      <c r="F189" s="464" t="str">
        <f ca="1">VLOOKUP(OFFSET('Tabla VII.2.'!$G$14,I189-1,1),TABPAIS,2,FALSE)</f>
        <v>00</v>
      </c>
      <c r="G189" s="414">
        <f ca="1">OFFSET('Tabla VII.2.'!$I$14,I189-1,J189-1)</f>
        <v>0</v>
      </c>
      <c r="H189" s="412" t="str">
        <f ca="1">OFFSET('Tabla VII.2.'!$I$1,0,J189-1)</f>
        <v>01</v>
      </c>
      <c r="I189" s="111">
        <f t="shared" si="22"/>
        <v>44</v>
      </c>
      <c r="J189" s="111">
        <f t="shared" si="29"/>
        <v>1</v>
      </c>
      <c r="K189" s="111" t="str">
        <f ca="1">'Tabla VII.2.'!$B$10</f>
        <v>Tabla VII.2.</v>
      </c>
      <c r="L189" s="111" t="str">
        <f t="shared" si="30"/>
        <v>A.1</v>
      </c>
    </row>
    <row r="190" spans="1:13" ht="15.75">
      <c r="A190" s="412" t="s">
        <v>3450</v>
      </c>
      <c r="B190" s="412" t="str">
        <f t="shared" si="19"/>
        <v>202503</v>
      </c>
      <c r="C190" s="412" t="s">
        <v>2945</v>
      </c>
      <c r="D190" s="413" t="str">
        <f ca="1">OFFSET('Tabla VII.2.'!$G$14,I190-1,0)</f>
        <v>02.01.04.08.</v>
      </c>
      <c r="E190" s="412">
        <f t="shared" si="21"/>
        <v>0</v>
      </c>
      <c r="F190" s="464" t="str">
        <f ca="1">VLOOKUP(OFFSET('Tabla VII.2.'!$G$14,I190-1,1),TABPAIS,2,FALSE)</f>
        <v>00</v>
      </c>
      <c r="G190" s="414">
        <f ca="1">OFFSET('Tabla VII.2.'!$I$14,I190-1,J190-1)</f>
        <v>0</v>
      </c>
      <c r="H190" s="412" t="str">
        <f ca="1">OFFSET('Tabla VII.2.'!$I$1,0,J190-1)</f>
        <v>01</v>
      </c>
      <c r="I190" s="111">
        <f t="shared" si="22"/>
        <v>45</v>
      </c>
      <c r="J190" s="111">
        <f t="shared" si="29"/>
        <v>1</v>
      </c>
      <c r="K190" s="111" t="str">
        <f ca="1">'Tabla VII.2.'!$B$10</f>
        <v>Tabla VII.2.</v>
      </c>
      <c r="L190" s="111" t="str">
        <f t="shared" si="30"/>
        <v>A.1</v>
      </c>
    </row>
    <row r="191" spans="1:13" ht="15.75">
      <c r="A191" s="412" t="s">
        <v>3450</v>
      </c>
      <c r="B191" s="412" t="str">
        <f t="shared" si="19"/>
        <v>202503</v>
      </c>
      <c r="C191" s="412" t="s">
        <v>2945</v>
      </c>
      <c r="D191" s="413" t="str">
        <f ca="1">OFFSET('Tabla VII.2.'!$G$14,I191-1,0)</f>
        <v>02.01.04.09.</v>
      </c>
      <c r="E191" s="412">
        <f t="shared" si="21"/>
        <v>0</v>
      </c>
      <c r="F191" s="464" t="str">
        <f ca="1">VLOOKUP(OFFSET('Tabla VII.2.'!$G$14,I191-1,1),TABPAIS,2,FALSE)</f>
        <v>00</v>
      </c>
      <c r="G191" s="414">
        <f ca="1">OFFSET('Tabla VII.2.'!$I$14,I191-1,J191-1)</f>
        <v>0</v>
      </c>
      <c r="H191" s="412" t="str">
        <f ca="1">OFFSET('Tabla VII.2.'!$I$1,0,J191-1)</f>
        <v>01</v>
      </c>
      <c r="I191" s="111">
        <f t="shared" si="22"/>
        <v>46</v>
      </c>
      <c r="J191" s="111">
        <f t="shared" si="29"/>
        <v>1</v>
      </c>
      <c r="K191" s="111" t="str">
        <f ca="1">'Tabla VII.2.'!$B$10</f>
        <v>Tabla VII.2.</v>
      </c>
      <c r="L191" s="111" t="str">
        <f t="shared" si="30"/>
        <v>A.1</v>
      </c>
    </row>
    <row r="192" spans="1:13" ht="15.75">
      <c r="A192" s="412" t="s">
        <v>3450</v>
      </c>
      <c r="B192" s="412" t="str">
        <f t="shared" si="19"/>
        <v>202503</v>
      </c>
      <c r="C192" s="412" t="s">
        <v>2945</v>
      </c>
      <c r="D192" s="413" t="str">
        <f ca="1">OFFSET('Tabla VII.2.'!$G$14,I192-1,0)</f>
        <v>02.01.04.10.</v>
      </c>
      <c r="E192" s="412">
        <f t="shared" si="21"/>
        <v>0</v>
      </c>
      <c r="F192" s="464" t="str">
        <f ca="1">VLOOKUP(OFFSET('Tabla VII.2.'!$G$14,I192-1,1),TABPAIS,2,FALSE)</f>
        <v>00</v>
      </c>
      <c r="G192" s="414">
        <f ca="1">OFFSET('Tabla VII.2.'!$I$14,I192-1,J192-1)</f>
        <v>0</v>
      </c>
      <c r="H192" s="412" t="str">
        <f ca="1">OFFSET('Tabla VII.2.'!$I$1,0,J192-1)</f>
        <v>01</v>
      </c>
      <c r="I192" s="111">
        <f t="shared" si="22"/>
        <v>47</v>
      </c>
      <c r="J192" s="111">
        <f t="shared" si="29"/>
        <v>1</v>
      </c>
      <c r="K192" s="111" t="str">
        <f ca="1">'Tabla VII.2.'!$B$10</f>
        <v>Tabla VII.2.</v>
      </c>
      <c r="L192" s="111" t="str">
        <f t="shared" si="30"/>
        <v>A.1</v>
      </c>
    </row>
    <row r="193" spans="1:13" ht="15.75">
      <c r="A193" s="412" t="s">
        <v>3450</v>
      </c>
      <c r="B193" s="412" t="str">
        <f t="shared" si="19"/>
        <v>202503</v>
      </c>
      <c r="C193" s="412" t="s">
        <v>2945</v>
      </c>
      <c r="D193" s="413" t="str">
        <f ca="1">OFFSET('Tabla VII.2.'!$G$14,I193-1,0)</f>
        <v>02.01.04.11.</v>
      </c>
      <c r="E193" s="412">
        <f t="shared" si="21"/>
        <v>0</v>
      </c>
      <c r="F193" s="464" t="str">
        <f ca="1">VLOOKUP(OFFSET('Tabla VII.2.'!$G$14,I193-1,1),TABPAIS,2,FALSE)</f>
        <v>zzz</v>
      </c>
      <c r="G193" s="414">
        <f ca="1">OFFSET('Tabla VII.2.'!$I$14,I193-1,J193-1)</f>
        <v>0</v>
      </c>
      <c r="H193" s="412" t="str">
        <f ca="1">OFFSET('Tabla VII.2.'!$I$1,0,J193-1)</f>
        <v>01</v>
      </c>
      <c r="I193" s="111">
        <f t="shared" si="22"/>
        <v>48</v>
      </c>
      <c r="J193" s="111">
        <f t="shared" si="29"/>
        <v>1</v>
      </c>
      <c r="K193" s="111" t="str">
        <f ca="1">'Tabla VII.2.'!$B$10</f>
        <v>Tabla VII.2.</v>
      </c>
      <c r="L193" s="111" t="str">
        <f t="shared" si="30"/>
        <v>A.1</v>
      </c>
    </row>
    <row r="194" spans="1:13" ht="15.75">
      <c r="A194" s="107" t="s">
        <v>3450</v>
      </c>
      <c r="B194" s="107" t="str">
        <f t="shared" ref="B194:B241" si="31">PERIODO</f>
        <v>202503</v>
      </c>
      <c r="C194" s="107" t="s">
        <v>2945</v>
      </c>
      <c r="D194" s="399" t="str">
        <f ca="1">OFFSET('Tabla VII.2.'!$G$72,I194-1,0)</f>
        <v>02.02.01.</v>
      </c>
      <c r="E194" s="107">
        <f t="shared" si="21"/>
        <v>0</v>
      </c>
      <c r="F194" s="462" t="s">
        <v>3451</v>
      </c>
      <c r="G194" s="108">
        <f ca="1">OFFSET('Tabla VII.2.'!$I$72,I194-1,J194-1)</f>
        <v>0</v>
      </c>
      <c r="H194" s="107" t="str">
        <f ca="1">OFFSET('Tabla VII.2.'!$I$1,0,J194-1)</f>
        <v>01</v>
      </c>
      <c r="I194" s="110">
        <v>1</v>
      </c>
      <c r="J194" s="110">
        <v>1</v>
      </c>
      <c r="K194" s="110" t="str">
        <f ca="1">'Tabla VII.2.'!$B$10</f>
        <v>Tabla VII.2.</v>
      </c>
      <c r="L194" s="110" t="s">
        <v>2938</v>
      </c>
      <c r="M194" s="107">
        <v>1</v>
      </c>
    </row>
    <row r="195" spans="1:13" ht="15.75">
      <c r="A195" s="107" t="s">
        <v>3450</v>
      </c>
      <c r="B195" s="107" t="str">
        <f t="shared" si="31"/>
        <v>202503</v>
      </c>
      <c r="C195" s="107" t="s">
        <v>2945</v>
      </c>
      <c r="D195" s="399" t="str">
        <f ca="1">OFFSET('Tabla VII.2.'!$G$72,I195-1,0)</f>
        <v>02.02.01.01.</v>
      </c>
      <c r="E195" s="107">
        <f t="shared" si="21"/>
        <v>0</v>
      </c>
      <c r="F195" s="459" t="str">
        <f ca="1">VLOOKUP(OFFSET('Tabla VII.2.'!$G$72,I195-1,1),TABPAIS,2,FALSE)</f>
        <v>00</v>
      </c>
      <c r="G195" s="108">
        <f ca="1">OFFSET('Tabla VII.2.'!$I$72,I195-1,J195-1)</f>
        <v>0</v>
      </c>
      <c r="H195" s="107" t="str">
        <f ca="1">OFFSET('Tabla VII.2.'!$I$1,0,J195-1)</f>
        <v>01</v>
      </c>
      <c r="I195" s="110">
        <f t="shared" ref="I195:I206" si="32">+I194+1</f>
        <v>2</v>
      </c>
      <c r="J195" s="110">
        <f t="shared" ref="J195:J205" si="33">+J194</f>
        <v>1</v>
      </c>
      <c r="K195" s="110" t="str">
        <f ca="1">'Tabla VII.2.'!$B$10</f>
        <v>Tabla VII.2.</v>
      </c>
      <c r="L195" s="110" t="str">
        <f t="shared" ref="L195:L205" si="34">+L194</f>
        <v>A.2</v>
      </c>
      <c r="M195" s="107"/>
    </row>
    <row r="196" spans="1:13" ht="15.75">
      <c r="A196" s="107" t="s">
        <v>3450</v>
      </c>
      <c r="B196" s="107" t="str">
        <f t="shared" si="31"/>
        <v>202503</v>
      </c>
      <c r="C196" s="107" t="s">
        <v>2945</v>
      </c>
      <c r="D196" s="399" t="str">
        <f ca="1">OFFSET('Tabla VII.2.'!$G$72,I196-1,0)</f>
        <v>02.02.01.02.</v>
      </c>
      <c r="E196" s="107">
        <f t="shared" si="21"/>
        <v>0</v>
      </c>
      <c r="F196" s="459" t="str">
        <f ca="1">VLOOKUP(OFFSET('Tabla VII.2.'!$G$72,I196-1,1),TABPAIS,2,FALSE)</f>
        <v>00</v>
      </c>
      <c r="G196" s="108">
        <f ca="1">OFFSET('Tabla VII.2.'!$I$72,I196-1,J196-1)</f>
        <v>0</v>
      </c>
      <c r="H196" s="107" t="str">
        <f ca="1">OFFSET('Tabla VII.2.'!$I$1,0,J196-1)</f>
        <v>01</v>
      </c>
      <c r="I196" s="110">
        <f t="shared" si="32"/>
        <v>3</v>
      </c>
      <c r="J196" s="110">
        <f t="shared" si="33"/>
        <v>1</v>
      </c>
      <c r="K196" s="110" t="str">
        <f ca="1">'Tabla VII.2.'!$B$10</f>
        <v>Tabla VII.2.</v>
      </c>
      <c r="L196" s="110" t="str">
        <f t="shared" si="34"/>
        <v>A.2</v>
      </c>
      <c r="M196" s="107"/>
    </row>
    <row r="197" spans="1:13" ht="15.75">
      <c r="A197" s="107" t="s">
        <v>3450</v>
      </c>
      <c r="B197" s="107" t="str">
        <f t="shared" si="31"/>
        <v>202503</v>
      </c>
      <c r="C197" s="107" t="s">
        <v>2945</v>
      </c>
      <c r="D197" s="399" t="str">
        <f ca="1">OFFSET('Tabla VII.2.'!$G$72,I197-1,0)</f>
        <v>02.02.01.03.</v>
      </c>
      <c r="E197" s="107">
        <f t="shared" si="21"/>
        <v>0</v>
      </c>
      <c r="F197" s="459" t="str">
        <f ca="1">VLOOKUP(OFFSET('Tabla VII.2.'!$G$72,I197-1,1),TABPAIS,2,FALSE)</f>
        <v>00</v>
      </c>
      <c r="G197" s="108">
        <f ca="1">OFFSET('Tabla VII.2.'!$I$72,I197-1,J197-1)</f>
        <v>0</v>
      </c>
      <c r="H197" s="107" t="str">
        <f ca="1">OFFSET('Tabla VII.2.'!$I$1,0,J197-1)</f>
        <v>01</v>
      </c>
      <c r="I197" s="110">
        <f t="shared" si="32"/>
        <v>4</v>
      </c>
      <c r="J197" s="110">
        <f t="shared" si="33"/>
        <v>1</v>
      </c>
      <c r="K197" s="110" t="str">
        <f ca="1">'Tabla VII.2.'!$B$10</f>
        <v>Tabla VII.2.</v>
      </c>
      <c r="L197" s="110" t="str">
        <f t="shared" si="34"/>
        <v>A.2</v>
      </c>
      <c r="M197" s="107"/>
    </row>
    <row r="198" spans="1:13" ht="15.75">
      <c r="A198" s="107" t="s">
        <v>3450</v>
      </c>
      <c r="B198" s="107" t="str">
        <f t="shared" si="31"/>
        <v>202503</v>
      </c>
      <c r="C198" s="107" t="s">
        <v>2945</v>
      </c>
      <c r="D198" s="399" t="str">
        <f ca="1">OFFSET('Tabla VII.2.'!$G$72,I198-1,0)</f>
        <v>02.02.01.04.</v>
      </c>
      <c r="E198" s="107">
        <f t="shared" si="21"/>
        <v>0</v>
      </c>
      <c r="F198" s="459" t="str">
        <f ca="1">VLOOKUP(OFFSET('Tabla VII.2.'!$G$72,I198-1,1),TABPAIS,2,FALSE)</f>
        <v>00</v>
      </c>
      <c r="G198" s="108">
        <f ca="1">OFFSET('Tabla VII.2.'!$I$72,I198-1,J198-1)</f>
        <v>0</v>
      </c>
      <c r="H198" s="107" t="str">
        <f ca="1">OFFSET('Tabla VII.2.'!$I$1,0,J198-1)</f>
        <v>01</v>
      </c>
      <c r="I198" s="110">
        <f t="shared" si="32"/>
        <v>5</v>
      </c>
      <c r="J198" s="110">
        <f t="shared" si="33"/>
        <v>1</v>
      </c>
      <c r="K198" s="110" t="str">
        <f ca="1">'Tabla VII.2.'!$B$10</f>
        <v>Tabla VII.2.</v>
      </c>
      <c r="L198" s="110" t="str">
        <f t="shared" si="34"/>
        <v>A.2</v>
      </c>
      <c r="M198" s="107"/>
    </row>
    <row r="199" spans="1:13" ht="15.75">
      <c r="A199" s="107" t="s">
        <v>3450</v>
      </c>
      <c r="B199" s="107" t="str">
        <f t="shared" si="31"/>
        <v>202503</v>
      </c>
      <c r="C199" s="107" t="s">
        <v>2945</v>
      </c>
      <c r="D199" s="399" t="str">
        <f ca="1">OFFSET('Tabla VII.2.'!$G$72,I199-1,0)</f>
        <v>02.02.01.05.</v>
      </c>
      <c r="E199" s="107">
        <f t="shared" si="21"/>
        <v>0</v>
      </c>
      <c r="F199" s="459" t="str">
        <f ca="1">VLOOKUP(OFFSET('Tabla VII.2.'!$G$72,I199-1,1),TABPAIS,2,FALSE)</f>
        <v>00</v>
      </c>
      <c r="G199" s="108">
        <f ca="1">OFFSET('Tabla VII.2.'!$I$72,I199-1,J199-1)</f>
        <v>0</v>
      </c>
      <c r="H199" s="107" t="str">
        <f ca="1">OFFSET('Tabla VII.2.'!$I$1,0,J199-1)</f>
        <v>01</v>
      </c>
      <c r="I199" s="110">
        <f t="shared" si="32"/>
        <v>6</v>
      </c>
      <c r="J199" s="110">
        <f t="shared" si="33"/>
        <v>1</v>
      </c>
      <c r="K199" s="110" t="str">
        <f ca="1">'Tabla VII.2.'!$B$10</f>
        <v>Tabla VII.2.</v>
      </c>
      <c r="L199" s="110" t="str">
        <f t="shared" si="34"/>
        <v>A.2</v>
      </c>
      <c r="M199" s="107"/>
    </row>
    <row r="200" spans="1:13" ht="15.75">
      <c r="A200" s="107" t="s">
        <v>3450</v>
      </c>
      <c r="B200" s="107" t="str">
        <f t="shared" si="31"/>
        <v>202503</v>
      </c>
      <c r="C200" s="107" t="s">
        <v>2945</v>
      </c>
      <c r="D200" s="399" t="str">
        <f ca="1">OFFSET('Tabla VII.2.'!$G$72,I200-1,0)</f>
        <v>02.02.01.06.</v>
      </c>
      <c r="E200" s="107">
        <f t="shared" si="21"/>
        <v>0</v>
      </c>
      <c r="F200" s="459" t="str">
        <f ca="1">VLOOKUP(OFFSET('Tabla VII.2.'!$G$72,I200-1,1),TABPAIS,2,FALSE)</f>
        <v>00</v>
      </c>
      <c r="G200" s="108">
        <f ca="1">OFFSET('Tabla VII.2.'!$I$72,I200-1,J200-1)</f>
        <v>0</v>
      </c>
      <c r="H200" s="107" t="str">
        <f ca="1">OFFSET('Tabla VII.2.'!$I$1,0,J200-1)</f>
        <v>01</v>
      </c>
      <c r="I200" s="110">
        <f t="shared" si="32"/>
        <v>7</v>
      </c>
      <c r="J200" s="110">
        <f t="shared" si="33"/>
        <v>1</v>
      </c>
      <c r="K200" s="110" t="str">
        <f ca="1">'Tabla VII.2.'!$B$10</f>
        <v>Tabla VII.2.</v>
      </c>
      <c r="L200" s="110" t="str">
        <f t="shared" si="34"/>
        <v>A.2</v>
      </c>
      <c r="M200" s="107"/>
    </row>
    <row r="201" spans="1:13" ht="15.75">
      <c r="A201" s="107" t="s">
        <v>3450</v>
      </c>
      <c r="B201" s="107" t="str">
        <f t="shared" si="31"/>
        <v>202503</v>
      </c>
      <c r="C201" s="107" t="s">
        <v>2945</v>
      </c>
      <c r="D201" s="399" t="str">
        <f ca="1">OFFSET('Tabla VII.2.'!$G$72,I201-1,0)</f>
        <v>02.02.01.07.</v>
      </c>
      <c r="E201" s="107">
        <f t="shared" si="21"/>
        <v>0</v>
      </c>
      <c r="F201" s="459" t="str">
        <f ca="1">VLOOKUP(OFFSET('Tabla VII.2.'!$G$72,I201-1,1),TABPAIS,2,FALSE)</f>
        <v>00</v>
      </c>
      <c r="G201" s="108">
        <f ca="1">OFFSET('Tabla VII.2.'!$I$72,I201-1,J201-1)</f>
        <v>0</v>
      </c>
      <c r="H201" s="107" t="str">
        <f ca="1">OFFSET('Tabla VII.2.'!$I$1,0,J201-1)</f>
        <v>01</v>
      </c>
      <c r="I201" s="110">
        <f t="shared" si="32"/>
        <v>8</v>
      </c>
      <c r="J201" s="110">
        <f t="shared" si="33"/>
        <v>1</v>
      </c>
      <c r="K201" s="110" t="str">
        <f ca="1">'Tabla VII.2.'!$B$10</f>
        <v>Tabla VII.2.</v>
      </c>
      <c r="L201" s="110" t="str">
        <f t="shared" si="34"/>
        <v>A.2</v>
      </c>
      <c r="M201" s="458"/>
    </row>
    <row r="202" spans="1:13" ht="15.75">
      <c r="A202" s="107" t="s">
        <v>3450</v>
      </c>
      <c r="B202" s="107" t="str">
        <f t="shared" si="31"/>
        <v>202503</v>
      </c>
      <c r="C202" s="107" t="s">
        <v>2945</v>
      </c>
      <c r="D202" s="399" t="str">
        <f ca="1">OFFSET('Tabla VII.2.'!$G$72,I202-1,0)</f>
        <v>02.02.01.08.</v>
      </c>
      <c r="E202" s="107">
        <f t="shared" si="21"/>
        <v>0</v>
      </c>
      <c r="F202" s="459" t="str">
        <f ca="1">VLOOKUP(OFFSET('Tabla VII.2.'!$G$72,I202-1,1),TABPAIS,2,FALSE)</f>
        <v>00</v>
      </c>
      <c r="G202" s="108">
        <f ca="1">OFFSET('Tabla VII.2.'!$I$72,I202-1,J202-1)</f>
        <v>0</v>
      </c>
      <c r="H202" s="107" t="str">
        <f ca="1">OFFSET('Tabla VII.2.'!$I$1,0,J202-1)</f>
        <v>01</v>
      </c>
      <c r="I202" s="110">
        <f t="shared" si="32"/>
        <v>9</v>
      </c>
      <c r="J202" s="110">
        <f t="shared" si="33"/>
        <v>1</v>
      </c>
      <c r="K202" s="110" t="str">
        <f ca="1">'Tabla VII.2.'!$B$10</f>
        <v>Tabla VII.2.</v>
      </c>
      <c r="L202" s="110" t="str">
        <f t="shared" si="34"/>
        <v>A.2</v>
      </c>
      <c r="M202" s="458"/>
    </row>
    <row r="203" spans="1:13" ht="15.75">
      <c r="A203" s="107" t="s">
        <v>3450</v>
      </c>
      <c r="B203" s="107" t="str">
        <f t="shared" si="31"/>
        <v>202503</v>
      </c>
      <c r="C203" s="107" t="s">
        <v>2945</v>
      </c>
      <c r="D203" s="399" t="str">
        <f ca="1">OFFSET('Tabla VII.2.'!$G$72,I203-1,0)</f>
        <v>02.02.01.09.</v>
      </c>
      <c r="E203" s="107">
        <f t="shared" si="21"/>
        <v>0</v>
      </c>
      <c r="F203" s="459" t="str">
        <f ca="1">VLOOKUP(OFFSET('Tabla VII.2.'!$G$72,I203-1,1),TABPAIS,2,FALSE)</f>
        <v>00</v>
      </c>
      <c r="G203" s="108">
        <f ca="1">OFFSET('Tabla VII.2.'!$I$72,I203-1,J203-1)</f>
        <v>0</v>
      </c>
      <c r="H203" s="107" t="str">
        <f ca="1">OFFSET('Tabla VII.2.'!$I$1,0,J203-1)</f>
        <v>01</v>
      </c>
      <c r="I203" s="110">
        <f t="shared" si="32"/>
        <v>10</v>
      </c>
      <c r="J203" s="110">
        <f t="shared" si="33"/>
        <v>1</v>
      </c>
      <c r="K203" s="110" t="str">
        <f ca="1">'Tabla VII.2.'!$B$10</f>
        <v>Tabla VII.2.</v>
      </c>
      <c r="L203" s="110" t="str">
        <f t="shared" si="34"/>
        <v>A.2</v>
      </c>
      <c r="M203" s="458"/>
    </row>
    <row r="204" spans="1:13" ht="15.75">
      <c r="A204" s="107" t="s">
        <v>3450</v>
      </c>
      <c r="B204" s="107" t="str">
        <f t="shared" si="31"/>
        <v>202503</v>
      </c>
      <c r="C204" s="107" t="s">
        <v>2945</v>
      </c>
      <c r="D204" s="399" t="str">
        <f ca="1">OFFSET('Tabla VII.2.'!$G$72,I204-1,0)</f>
        <v>02.02.01.10.</v>
      </c>
      <c r="E204" s="107">
        <f t="shared" si="21"/>
        <v>0</v>
      </c>
      <c r="F204" s="459" t="str">
        <f ca="1">VLOOKUP(OFFSET('Tabla VII.2.'!$G$72,I204-1,1),TABPAIS,2,FALSE)</f>
        <v>00</v>
      </c>
      <c r="G204" s="108">
        <f ca="1">OFFSET('Tabla VII.2.'!$I$72,I204-1,J204-1)</f>
        <v>0</v>
      </c>
      <c r="H204" s="107" t="str">
        <f ca="1">OFFSET('Tabla VII.2.'!$I$1,0,J204-1)</f>
        <v>01</v>
      </c>
      <c r="I204" s="110">
        <f t="shared" si="32"/>
        <v>11</v>
      </c>
      <c r="J204" s="110">
        <f t="shared" si="33"/>
        <v>1</v>
      </c>
      <c r="K204" s="110" t="str">
        <f ca="1">'Tabla VII.2.'!$B$10</f>
        <v>Tabla VII.2.</v>
      </c>
      <c r="L204" s="110" t="str">
        <f t="shared" si="34"/>
        <v>A.2</v>
      </c>
      <c r="M204" s="458"/>
    </row>
    <row r="205" spans="1:13" ht="15.75">
      <c r="A205" s="107" t="s">
        <v>3450</v>
      </c>
      <c r="B205" s="107" t="str">
        <f t="shared" si="31"/>
        <v>202503</v>
      </c>
      <c r="C205" s="107" t="s">
        <v>2945</v>
      </c>
      <c r="D205" s="399" t="str">
        <f ca="1">OFFSET('Tabla VII.2.'!$G$72,I205-1,0)</f>
        <v>02.02.01.11.</v>
      </c>
      <c r="E205" s="107">
        <f t="shared" si="21"/>
        <v>0</v>
      </c>
      <c r="F205" s="459" t="str">
        <f ca="1">VLOOKUP(OFFSET('Tabla VII.2.'!$G$72,I205-1,1),TABPAIS,2,FALSE)</f>
        <v>zzz</v>
      </c>
      <c r="G205" s="108">
        <f ca="1">OFFSET('Tabla VII.2.'!$I$72,I205-1,J205-1)</f>
        <v>0</v>
      </c>
      <c r="H205" s="107" t="str">
        <f ca="1">OFFSET('Tabla VII.2.'!$I$1,0,J205-1)</f>
        <v>01</v>
      </c>
      <c r="I205" s="110">
        <f t="shared" si="32"/>
        <v>12</v>
      </c>
      <c r="J205" s="110">
        <f t="shared" si="33"/>
        <v>1</v>
      </c>
      <c r="K205" s="110" t="str">
        <f ca="1">'Tabla VII.2.'!$B$10</f>
        <v>Tabla VII.2.</v>
      </c>
      <c r="L205" s="110" t="str">
        <f t="shared" si="34"/>
        <v>A.2</v>
      </c>
      <c r="M205" s="458"/>
    </row>
    <row r="206" spans="1:13" ht="15.75">
      <c r="A206" s="412" t="s">
        <v>3450</v>
      </c>
      <c r="B206" s="412" t="str">
        <f t="shared" si="31"/>
        <v>202503</v>
      </c>
      <c r="C206" s="412" t="s">
        <v>2945</v>
      </c>
      <c r="D206" s="413" t="str">
        <f ca="1">OFFSET('Tabla VII.2.'!$G$72,I206-1,0)</f>
        <v>02.02.02.</v>
      </c>
      <c r="E206" s="412">
        <f t="shared" si="21"/>
        <v>0</v>
      </c>
      <c r="F206" s="463" t="s">
        <v>3451</v>
      </c>
      <c r="G206" s="414">
        <f ca="1">OFFSET('Tabla VII.2.'!$I$72,I206-1,J206-1)</f>
        <v>0</v>
      </c>
      <c r="H206" s="412" t="str">
        <f ca="1">OFFSET('Tabla VII.2.'!$I$1,0,J206-1)</f>
        <v>01</v>
      </c>
      <c r="I206" s="111">
        <f t="shared" si="32"/>
        <v>13</v>
      </c>
      <c r="J206" s="111">
        <v>1</v>
      </c>
      <c r="K206" s="111" t="str">
        <f ca="1">'Tabla VII.2.'!$B$10</f>
        <v>Tabla VII.2.</v>
      </c>
      <c r="L206" s="111" t="str">
        <f>+L205</f>
        <v>A.2</v>
      </c>
      <c r="M206" s="111">
        <f>+M194+1</f>
        <v>2</v>
      </c>
    </row>
    <row r="207" spans="1:13" ht="15.75">
      <c r="A207" s="412" t="s">
        <v>3450</v>
      </c>
      <c r="B207" s="412" t="str">
        <f t="shared" si="31"/>
        <v>202503</v>
      </c>
      <c r="C207" s="412" t="s">
        <v>2945</v>
      </c>
      <c r="D207" s="413" t="str">
        <f ca="1">OFFSET('Tabla VII.2.'!$G$72,I207-1,0)</f>
        <v>02.02.02.01.</v>
      </c>
      <c r="E207" s="412">
        <f t="shared" si="21"/>
        <v>0</v>
      </c>
      <c r="F207" s="464" t="str">
        <f ca="1">VLOOKUP(OFFSET('Tabla VII.2.'!$G$72,I207-1,1),TABPAIS,2,FALSE)</f>
        <v>00</v>
      </c>
      <c r="G207" s="414">
        <f ca="1">OFFSET('Tabla VII.2.'!$I$72,I207-1,J207-1)</f>
        <v>0</v>
      </c>
      <c r="H207" s="412" t="str">
        <f ca="1">OFFSET('Tabla VII.2.'!$I$1,0,J207-1)</f>
        <v>01</v>
      </c>
      <c r="I207" s="111">
        <f t="shared" ref="I207:I241" si="35">+I206+1</f>
        <v>14</v>
      </c>
      <c r="J207" s="111">
        <f t="shared" ref="J207:J217" si="36">+J206</f>
        <v>1</v>
      </c>
      <c r="K207" s="111" t="str">
        <f ca="1">'Tabla VII.2.'!$B$10</f>
        <v>Tabla VII.2.</v>
      </c>
      <c r="L207" s="111" t="str">
        <f t="shared" ref="L207:L241" si="37">+L206</f>
        <v>A.2</v>
      </c>
    </row>
    <row r="208" spans="1:13" ht="15.75">
      <c r="A208" s="412" t="s">
        <v>3450</v>
      </c>
      <c r="B208" s="412" t="str">
        <f t="shared" si="31"/>
        <v>202503</v>
      </c>
      <c r="C208" s="412" t="s">
        <v>2945</v>
      </c>
      <c r="D208" s="413" t="str">
        <f ca="1">OFFSET('Tabla VII.2.'!$G$72,I208-1,0)</f>
        <v>02.02.02.02.</v>
      </c>
      <c r="E208" s="412">
        <f t="shared" si="21"/>
        <v>0</v>
      </c>
      <c r="F208" s="464" t="str">
        <f ca="1">VLOOKUP(OFFSET('Tabla VII.2.'!$G$72,I208-1,1),TABPAIS,2,FALSE)</f>
        <v>00</v>
      </c>
      <c r="G208" s="414">
        <f ca="1">OFFSET('Tabla VII.2.'!$I$72,I208-1,J208-1)</f>
        <v>0</v>
      </c>
      <c r="H208" s="412" t="str">
        <f ca="1">OFFSET('Tabla VII.2.'!$I$1,0,J208-1)</f>
        <v>01</v>
      </c>
      <c r="I208" s="111">
        <f t="shared" si="35"/>
        <v>15</v>
      </c>
      <c r="J208" s="111">
        <f t="shared" si="36"/>
        <v>1</v>
      </c>
      <c r="K208" s="111" t="str">
        <f ca="1">'Tabla VII.2.'!$B$10</f>
        <v>Tabla VII.2.</v>
      </c>
      <c r="L208" s="111" t="str">
        <f t="shared" si="37"/>
        <v>A.2</v>
      </c>
    </row>
    <row r="209" spans="1:13" ht="15.75">
      <c r="A209" s="412" t="s">
        <v>3450</v>
      </c>
      <c r="B209" s="412" t="str">
        <f t="shared" si="31"/>
        <v>202503</v>
      </c>
      <c r="C209" s="412" t="s">
        <v>2945</v>
      </c>
      <c r="D209" s="413" t="str">
        <f ca="1">OFFSET('Tabla VII.2.'!$G$72,I209-1,0)</f>
        <v>02.02.02.03.</v>
      </c>
      <c r="E209" s="412">
        <f t="shared" ref="E209:E241" si="38">RUC</f>
        <v>0</v>
      </c>
      <c r="F209" s="464" t="str">
        <f ca="1">VLOOKUP(OFFSET('Tabla VII.2.'!$G$72,I209-1,1),TABPAIS,2,FALSE)</f>
        <v>00</v>
      </c>
      <c r="G209" s="414">
        <f ca="1">OFFSET('Tabla VII.2.'!$I$72,I209-1,J209-1)</f>
        <v>0</v>
      </c>
      <c r="H209" s="412" t="str">
        <f ca="1">OFFSET('Tabla VII.2.'!$I$1,0,J209-1)</f>
        <v>01</v>
      </c>
      <c r="I209" s="111">
        <f t="shared" si="35"/>
        <v>16</v>
      </c>
      <c r="J209" s="111">
        <f t="shared" si="36"/>
        <v>1</v>
      </c>
      <c r="K209" s="111" t="str">
        <f ca="1">'Tabla VII.2.'!$B$10</f>
        <v>Tabla VII.2.</v>
      </c>
      <c r="L209" s="111" t="str">
        <f t="shared" si="37"/>
        <v>A.2</v>
      </c>
    </row>
    <row r="210" spans="1:13" ht="15.75">
      <c r="A210" s="412" t="s">
        <v>3450</v>
      </c>
      <c r="B210" s="412" t="str">
        <f t="shared" si="31"/>
        <v>202503</v>
      </c>
      <c r="C210" s="412" t="s">
        <v>2945</v>
      </c>
      <c r="D210" s="413" t="str">
        <f ca="1">OFFSET('Tabla VII.2.'!$G$72,I210-1,0)</f>
        <v>02.02.02.04.</v>
      </c>
      <c r="E210" s="412">
        <f t="shared" si="38"/>
        <v>0</v>
      </c>
      <c r="F210" s="464" t="str">
        <f ca="1">VLOOKUP(OFFSET('Tabla VII.2.'!$G$72,I210-1,1),TABPAIS,2,FALSE)</f>
        <v>00</v>
      </c>
      <c r="G210" s="414">
        <f ca="1">OFFSET('Tabla VII.2.'!$I$72,I210-1,J210-1)</f>
        <v>0</v>
      </c>
      <c r="H210" s="412" t="str">
        <f ca="1">OFFSET('Tabla VII.2.'!$I$1,0,J210-1)</f>
        <v>01</v>
      </c>
      <c r="I210" s="111">
        <f t="shared" si="35"/>
        <v>17</v>
      </c>
      <c r="J210" s="111">
        <f t="shared" si="36"/>
        <v>1</v>
      </c>
      <c r="K210" s="111" t="str">
        <f ca="1">'Tabla VII.2.'!$B$10</f>
        <v>Tabla VII.2.</v>
      </c>
      <c r="L210" s="111" t="str">
        <f t="shared" si="37"/>
        <v>A.2</v>
      </c>
    </row>
    <row r="211" spans="1:13" ht="15.75">
      <c r="A211" s="412" t="s">
        <v>3450</v>
      </c>
      <c r="B211" s="412" t="str">
        <f t="shared" si="31"/>
        <v>202503</v>
      </c>
      <c r="C211" s="412" t="s">
        <v>2945</v>
      </c>
      <c r="D211" s="413" t="str">
        <f ca="1">OFFSET('Tabla VII.2.'!$G$72,I211-1,0)</f>
        <v>02.02.02.05.</v>
      </c>
      <c r="E211" s="412">
        <f t="shared" si="38"/>
        <v>0</v>
      </c>
      <c r="F211" s="464" t="str">
        <f ca="1">VLOOKUP(OFFSET('Tabla VII.2.'!$G$72,I211-1,1),TABPAIS,2,FALSE)</f>
        <v>00</v>
      </c>
      <c r="G211" s="414">
        <f ca="1">OFFSET('Tabla VII.2.'!$I$72,I211-1,J211-1)</f>
        <v>0</v>
      </c>
      <c r="H211" s="412" t="str">
        <f ca="1">OFFSET('Tabla VII.2.'!$I$1,0,J211-1)</f>
        <v>01</v>
      </c>
      <c r="I211" s="111">
        <f t="shared" si="35"/>
        <v>18</v>
      </c>
      <c r="J211" s="111">
        <f t="shared" si="36"/>
        <v>1</v>
      </c>
      <c r="K211" s="111" t="str">
        <f ca="1">'Tabla VII.2.'!$B$10</f>
        <v>Tabla VII.2.</v>
      </c>
      <c r="L211" s="111" t="str">
        <f t="shared" si="37"/>
        <v>A.2</v>
      </c>
    </row>
    <row r="212" spans="1:13" ht="15.75">
      <c r="A212" s="412" t="s">
        <v>3450</v>
      </c>
      <c r="B212" s="412" t="str">
        <f t="shared" si="31"/>
        <v>202503</v>
      </c>
      <c r="C212" s="412" t="s">
        <v>2945</v>
      </c>
      <c r="D212" s="413" t="str">
        <f ca="1">OFFSET('Tabla VII.2.'!$G$72,I212-1,0)</f>
        <v>02.02.02.06.</v>
      </c>
      <c r="E212" s="412">
        <f t="shared" si="38"/>
        <v>0</v>
      </c>
      <c r="F212" s="464" t="str">
        <f ca="1">VLOOKUP(OFFSET('Tabla VII.2.'!$G$72,I212-1,1),TABPAIS,2,FALSE)</f>
        <v>00</v>
      </c>
      <c r="G212" s="414">
        <f ca="1">OFFSET('Tabla VII.2.'!$I$72,I212-1,J212-1)</f>
        <v>0</v>
      </c>
      <c r="H212" s="412" t="str">
        <f ca="1">OFFSET('Tabla VII.2.'!$I$1,0,J212-1)</f>
        <v>01</v>
      </c>
      <c r="I212" s="111">
        <f t="shared" si="35"/>
        <v>19</v>
      </c>
      <c r="J212" s="111">
        <f t="shared" si="36"/>
        <v>1</v>
      </c>
      <c r="K212" s="111" t="str">
        <f ca="1">'Tabla VII.2.'!$B$10</f>
        <v>Tabla VII.2.</v>
      </c>
      <c r="L212" s="111" t="str">
        <f t="shared" si="37"/>
        <v>A.2</v>
      </c>
    </row>
    <row r="213" spans="1:13" ht="15.75">
      <c r="A213" s="412" t="s">
        <v>3450</v>
      </c>
      <c r="B213" s="412" t="str">
        <f t="shared" si="31"/>
        <v>202503</v>
      </c>
      <c r="C213" s="412" t="s">
        <v>2945</v>
      </c>
      <c r="D213" s="413" t="str">
        <f ca="1">OFFSET('Tabla VII.2.'!$G$72,I213-1,0)</f>
        <v>02.02.02.07.</v>
      </c>
      <c r="E213" s="412">
        <f t="shared" si="38"/>
        <v>0</v>
      </c>
      <c r="F213" s="464" t="str">
        <f ca="1">VLOOKUP(OFFSET('Tabla VII.2.'!$G$72,I213-1,1),TABPAIS,2,FALSE)</f>
        <v>00</v>
      </c>
      <c r="G213" s="414">
        <f ca="1">OFFSET('Tabla VII.2.'!$I$72,I213-1,J213-1)</f>
        <v>0</v>
      </c>
      <c r="H213" s="412" t="str">
        <f ca="1">OFFSET('Tabla VII.2.'!$I$1,0,J213-1)</f>
        <v>01</v>
      </c>
      <c r="I213" s="111">
        <f t="shared" si="35"/>
        <v>20</v>
      </c>
      <c r="J213" s="111">
        <f t="shared" si="36"/>
        <v>1</v>
      </c>
      <c r="K213" s="111" t="str">
        <f ca="1">'Tabla VII.2.'!$B$10</f>
        <v>Tabla VII.2.</v>
      </c>
      <c r="L213" s="111" t="str">
        <f t="shared" si="37"/>
        <v>A.2</v>
      </c>
    </row>
    <row r="214" spans="1:13" ht="15.75">
      <c r="A214" s="412" t="s">
        <v>3450</v>
      </c>
      <c r="B214" s="412" t="str">
        <f t="shared" si="31"/>
        <v>202503</v>
      </c>
      <c r="C214" s="412" t="s">
        <v>2945</v>
      </c>
      <c r="D214" s="413" t="str">
        <f ca="1">OFFSET('Tabla VII.2.'!$G$72,I214-1,0)</f>
        <v>02.02.02.08.</v>
      </c>
      <c r="E214" s="412">
        <f t="shared" si="38"/>
        <v>0</v>
      </c>
      <c r="F214" s="464" t="str">
        <f ca="1">VLOOKUP(OFFSET('Tabla VII.2.'!$G$72,I214-1,1),TABPAIS,2,FALSE)</f>
        <v>00</v>
      </c>
      <c r="G214" s="414">
        <f ca="1">OFFSET('Tabla VII.2.'!$I$72,I214-1,J214-1)</f>
        <v>0</v>
      </c>
      <c r="H214" s="412" t="str">
        <f ca="1">OFFSET('Tabla VII.2.'!$I$1,0,J214-1)</f>
        <v>01</v>
      </c>
      <c r="I214" s="111">
        <f t="shared" si="35"/>
        <v>21</v>
      </c>
      <c r="J214" s="111">
        <f t="shared" si="36"/>
        <v>1</v>
      </c>
      <c r="K214" s="111" t="str">
        <f ca="1">'Tabla VII.2.'!$B$10</f>
        <v>Tabla VII.2.</v>
      </c>
      <c r="L214" s="111" t="str">
        <f t="shared" si="37"/>
        <v>A.2</v>
      </c>
    </row>
    <row r="215" spans="1:13" ht="15.75">
      <c r="A215" s="412" t="s">
        <v>3450</v>
      </c>
      <c r="B215" s="412" t="str">
        <f t="shared" si="31"/>
        <v>202503</v>
      </c>
      <c r="C215" s="412" t="s">
        <v>2945</v>
      </c>
      <c r="D215" s="413" t="str">
        <f ca="1">OFFSET('Tabla VII.2.'!$G$72,I215-1,0)</f>
        <v>02.02.02.09.</v>
      </c>
      <c r="E215" s="412">
        <f t="shared" si="38"/>
        <v>0</v>
      </c>
      <c r="F215" s="464" t="str">
        <f ca="1">VLOOKUP(OFFSET('Tabla VII.2.'!$G$72,I215-1,1),TABPAIS,2,FALSE)</f>
        <v>00</v>
      </c>
      <c r="G215" s="414">
        <f ca="1">OFFSET('Tabla VII.2.'!$I$72,I215-1,J215-1)</f>
        <v>0</v>
      </c>
      <c r="H215" s="412" t="str">
        <f ca="1">OFFSET('Tabla VII.2.'!$I$1,0,J215-1)</f>
        <v>01</v>
      </c>
      <c r="I215" s="111">
        <f t="shared" si="35"/>
        <v>22</v>
      </c>
      <c r="J215" s="111">
        <f t="shared" si="36"/>
        <v>1</v>
      </c>
      <c r="K215" s="111" t="str">
        <f ca="1">'Tabla VII.2.'!$B$10</f>
        <v>Tabla VII.2.</v>
      </c>
      <c r="L215" s="111" t="str">
        <f t="shared" si="37"/>
        <v>A.2</v>
      </c>
    </row>
    <row r="216" spans="1:13" ht="15.75">
      <c r="A216" s="412" t="s">
        <v>3450</v>
      </c>
      <c r="B216" s="412" t="str">
        <f t="shared" si="31"/>
        <v>202503</v>
      </c>
      <c r="C216" s="412" t="s">
        <v>2945</v>
      </c>
      <c r="D216" s="413" t="str">
        <f ca="1">OFFSET('Tabla VII.2.'!$G$72,I216-1,0)</f>
        <v>02.02.02.10.</v>
      </c>
      <c r="E216" s="412">
        <f t="shared" si="38"/>
        <v>0</v>
      </c>
      <c r="F216" s="464" t="str">
        <f ca="1">VLOOKUP(OFFSET('Tabla VII.2.'!$G$72,I216-1,1),TABPAIS,2,FALSE)</f>
        <v>00</v>
      </c>
      <c r="G216" s="414">
        <f ca="1">OFFSET('Tabla VII.2.'!$I$72,I216-1,J216-1)</f>
        <v>0</v>
      </c>
      <c r="H216" s="412" t="str">
        <f ca="1">OFFSET('Tabla VII.2.'!$I$1,0,J216-1)</f>
        <v>01</v>
      </c>
      <c r="I216" s="111">
        <f t="shared" si="35"/>
        <v>23</v>
      </c>
      <c r="J216" s="111">
        <f t="shared" si="36"/>
        <v>1</v>
      </c>
      <c r="K216" s="111" t="str">
        <f ca="1">'Tabla VII.2.'!$B$10</f>
        <v>Tabla VII.2.</v>
      </c>
      <c r="L216" s="111" t="str">
        <f t="shared" si="37"/>
        <v>A.2</v>
      </c>
    </row>
    <row r="217" spans="1:13" ht="15.75">
      <c r="A217" s="412" t="s">
        <v>3450</v>
      </c>
      <c r="B217" s="412" t="str">
        <f t="shared" si="31"/>
        <v>202503</v>
      </c>
      <c r="C217" s="412" t="s">
        <v>2945</v>
      </c>
      <c r="D217" s="413" t="str">
        <f ca="1">OFFSET('Tabla VII.2.'!$G$72,I217-1,0)</f>
        <v>02.02.02.11.</v>
      </c>
      <c r="E217" s="412">
        <f t="shared" si="38"/>
        <v>0</v>
      </c>
      <c r="F217" s="464" t="str">
        <f ca="1">VLOOKUP(OFFSET('Tabla VII.2.'!$G$72,I217-1,1),TABPAIS,2,FALSE)</f>
        <v>zzz</v>
      </c>
      <c r="G217" s="414">
        <f ca="1">OFFSET('Tabla VII.2.'!$I$72,I217-1,J217-1)</f>
        <v>0</v>
      </c>
      <c r="H217" s="412" t="str">
        <f ca="1">OFFSET('Tabla VII.2.'!$I$1,0,J217-1)</f>
        <v>01</v>
      </c>
      <c r="I217" s="111">
        <f t="shared" si="35"/>
        <v>24</v>
      </c>
      <c r="J217" s="111">
        <f t="shared" si="36"/>
        <v>1</v>
      </c>
      <c r="K217" s="111" t="str">
        <f ca="1">'Tabla VII.2.'!$B$10</f>
        <v>Tabla VII.2.</v>
      </c>
      <c r="L217" s="111" t="str">
        <f t="shared" si="37"/>
        <v>A.2</v>
      </c>
    </row>
    <row r="218" spans="1:13" ht="15.75">
      <c r="A218" s="107" t="s">
        <v>3450</v>
      </c>
      <c r="B218" s="107" t="str">
        <f t="shared" si="31"/>
        <v>202503</v>
      </c>
      <c r="C218" s="107" t="s">
        <v>2945</v>
      </c>
      <c r="D218" s="399" t="str">
        <f ca="1">OFFSET('Tabla VII.2.'!$G$72,I218-1,0)</f>
        <v>02.02.03.</v>
      </c>
      <c r="E218" s="107">
        <f t="shared" si="38"/>
        <v>0</v>
      </c>
      <c r="F218" s="462" t="s">
        <v>3451</v>
      </c>
      <c r="G218" s="108">
        <f ca="1">OFFSET('Tabla VII.2.'!$I$72,I218-1,J218-1)</f>
        <v>0</v>
      </c>
      <c r="H218" s="107" t="str">
        <f ca="1">OFFSET('Tabla VII.2.'!$I$1,0,J218-1)</f>
        <v>01</v>
      </c>
      <c r="I218" s="110">
        <f t="shared" si="35"/>
        <v>25</v>
      </c>
      <c r="J218" s="110">
        <v>1</v>
      </c>
      <c r="K218" s="110" t="str">
        <f ca="1">'Tabla VII.2.'!$B$10</f>
        <v>Tabla VII.2.</v>
      </c>
      <c r="L218" s="110" t="str">
        <f t="shared" si="37"/>
        <v>A.2</v>
      </c>
      <c r="M218" s="107">
        <f>+M206+1</f>
        <v>3</v>
      </c>
    </row>
    <row r="219" spans="1:13" ht="15.75">
      <c r="A219" s="107" t="s">
        <v>3450</v>
      </c>
      <c r="B219" s="107" t="str">
        <f t="shared" si="31"/>
        <v>202503</v>
      </c>
      <c r="C219" s="107" t="s">
        <v>2945</v>
      </c>
      <c r="D219" s="399" t="str">
        <f ca="1">OFFSET('Tabla VII.2.'!$G$72,I219-1,0)</f>
        <v>02.02.03.01.</v>
      </c>
      <c r="E219" s="107">
        <f t="shared" si="38"/>
        <v>0</v>
      </c>
      <c r="F219" s="459" t="str">
        <f ca="1">VLOOKUP(OFFSET('Tabla VII.2.'!$G$72,I219-1,1),TABPAIS,2,FALSE)</f>
        <v>00</v>
      </c>
      <c r="G219" s="108">
        <f ca="1">OFFSET('Tabla VII.2.'!$I$72,I219-1,J219-1)</f>
        <v>0</v>
      </c>
      <c r="H219" s="107" t="str">
        <f ca="1">OFFSET('Tabla VII.2.'!$I$1,0,J219-1)</f>
        <v>01</v>
      </c>
      <c r="I219" s="110">
        <f t="shared" si="35"/>
        <v>26</v>
      </c>
      <c r="J219" s="110">
        <f t="shared" ref="J219:J229" si="39">+J218</f>
        <v>1</v>
      </c>
      <c r="K219" s="110" t="str">
        <f ca="1">'Tabla VII.2.'!$B$10</f>
        <v>Tabla VII.2.</v>
      </c>
      <c r="L219" s="110" t="str">
        <f t="shared" si="37"/>
        <v>A.2</v>
      </c>
      <c r="M219" s="107"/>
    </row>
    <row r="220" spans="1:13" ht="15.75">
      <c r="A220" s="107" t="s">
        <v>3450</v>
      </c>
      <c r="B220" s="107" t="str">
        <f t="shared" si="31"/>
        <v>202503</v>
      </c>
      <c r="C220" s="107" t="s">
        <v>2945</v>
      </c>
      <c r="D220" s="399" t="str">
        <f ca="1">OFFSET('Tabla VII.2.'!$G$72,I220-1,0)</f>
        <v>02.02.03.02.</v>
      </c>
      <c r="E220" s="107">
        <f t="shared" si="38"/>
        <v>0</v>
      </c>
      <c r="F220" s="459" t="str">
        <f ca="1">VLOOKUP(OFFSET('Tabla VII.2.'!$G$72,I220-1,1),TABPAIS,2,FALSE)</f>
        <v>00</v>
      </c>
      <c r="G220" s="108">
        <f ca="1">OFFSET('Tabla VII.2.'!$I$72,I220-1,J220-1)</f>
        <v>0</v>
      </c>
      <c r="H220" s="107" t="str">
        <f ca="1">OFFSET('Tabla VII.2.'!$I$1,0,J220-1)</f>
        <v>01</v>
      </c>
      <c r="I220" s="110">
        <f t="shared" si="35"/>
        <v>27</v>
      </c>
      <c r="J220" s="110">
        <f t="shared" si="39"/>
        <v>1</v>
      </c>
      <c r="K220" s="110" t="str">
        <f ca="1">'Tabla VII.2.'!$B$10</f>
        <v>Tabla VII.2.</v>
      </c>
      <c r="L220" s="110" t="str">
        <f t="shared" si="37"/>
        <v>A.2</v>
      </c>
      <c r="M220" s="107"/>
    </row>
    <row r="221" spans="1:13" ht="15.75">
      <c r="A221" s="107" t="s">
        <v>3450</v>
      </c>
      <c r="B221" s="107" t="str">
        <f t="shared" si="31"/>
        <v>202503</v>
      </c>
      <c r="C221" s="107" t="s">
        <v>2945</v>
      </c>
      <c r="D221" s="399" t="str">
        <f ca="1">OFFSET('Tabla VII.2.'!$G$72,I221-1,0)</f>
        <v>02.02.03.03.</v>
      </c>
      <c r="E221" s="107">
        <f t="shared" si="38"/>
        <v>0</v>
      </c>
      <c r="F221" s="459" t="str">
        <f ca="1">VLOOKUP(OFFSET('Tabla VII.2.'!$G$72,I221-1,1),TABPAIS,2,FALSE)</f>
        <v>00</v>
      </c>
      <c r="G221" s="108">
        <f ca="1">OFFSET('Tabla VII.2.'!$I$72,I221-1,J221-1)</f>
        <v>0</v>
      </c>
      <c r="H221" s="107" t="str">
        <f ca="1">OFFSET('Tabla VII.2.'!$I$1,0,J221-1)</f>
        <v>01</v>
      </c>
      <c r="I221" s="110">
        <f t="shared" si="35"/>
        <v>28</v>
      </c>
      <c r="J221" s="110">
        <f t="shared" si="39"/>
        <v>1</v>
      </c>
      <c r="K221" s="110" t="str">
        <f ca="1">'Tabla VII.2.'!$B$10</f>
        <v>Tabla VII.2.</v>
      </c>
      <c r="L221" s="110" t="str">
        <f t="shared" si="37"/>
        <v>A.2</v>
      </c>
      <c r="M221" s="107"/>
    </row>
    <row r="222" spans="1:13" ht="15.75">
      <c r="A222" s="107" t="s">
        <v>3450</v>
      </c>
      <c r="B222" s="107" t="str">
        <f t="shared" si="31"/>
        <v>202503</v>
      </c>
      <c r="C222" s="107" t="s">
        <v>2945</v>
      </c>
      <c r="D222" s="399" t="str">
        <f ca="1">OFFSET('Tabla VII.2.'!$G$72,I222-1,0)</f>
        <v>02.02.03.04.</v>
      </c>
      <c r="E222" s="107">
        <f t="shared" si="38"/>
        <v>0</v>
      </c>
      <c r="F222" s="459" t="str">
        <f ca="1">VLOOKUP(OFFSET('Tabla VII.2.'!$G$72,I222-1,1),TABPAIS,2,FALSE)</f>
        <v>00</v>
      </c>
      <c r="G222" s="108">
        <f ca="1">OFFSET('Tabla VII.2.'!$I$72,I222-1,J222-1)</f>
        <v>0</v>
      </c>
      <c r="H222" s="107" t="str">
        <f ca="1">OFFSET('Tabla VII.2.'!$I$1,0,J222-1)</f>
        <v>01</v>
      </c>
      <c r="I222" s="110">
        <f t="shared" si="35"/>
        <v>29</v>
      </c>
      <c r="J222" s="110">
        <f t="shared" si="39"/>
        <v>1</v>
      </c>
      <c r="K222" s="110" t="str">
        <f ca="1">'Tabla VII.2.'!$B$10</f>
        <v>Tabla VII.2.</v>
      </c>
      <c r="L222" s="110" t="str">
        <f t="shared" si="37"/>
        <v>A.2</v>
      </c>
      <c r="M222" s="107"/>
    </row>
    <row r="223" spans="1:13" ht="15.75">
      <c r="A223" s="107" t="s">
        <v>3450</v>
      </c>
      <c r="B223" s="107" t="str">
        <f t="shared" si="31"/>
        <v>202503</v>
      </c>
      <c r="C223" s="107" t="s">
        <v>2945</v>
      </c>
      <c r="D223" s="399" t="str">
        <f ca="1">OFFSET('Tabla VII.2.'!$G$72,I223-1,0)</f>
        <v>02.02.03.05.</v>
      </c>
      <c r="E223" s="107">
        <f t="shared" si="38"/>
        <v>0</v>
      </c>
      <c r="F223" s="459" t="str">
        <f ca="1">VLOOKUP(OFFSET('Tabla VII.2.'!$G$72,I223-1,1),TABPAIS,2,FALSE)</f>
        <v>00</v>
      </c>
      <c r="G223" s="108">
        <f ca="1">OFFSET('Tabla VII.2.'!$I$72,I223-1,J223-1)</f>
        <v>0</v>
      </c>
      <c r="H223" s="107" t="str">
        <f ca="1">OFFSET('Tabla VII.2.'!$I$1,0,J223-1)</f>
        <v>01</v>
      </c>
      <c r="I223" s="110">
        <f t="shared" si="35"/>
        <v>30</v>
      </c>
      <c r="J223" s="110">
        <f t="shared" si="39"/>
        <v>1</v>
      </c>
      <c r="K223" s="110" t="str">
        <f ca="1">'Tabla VII.2.'!$B$10</f>
        <v>Tabla VII.2.</v>
      </c>
      <c r="L223" s="110" t="str">
        <f t="shared" si="37"/>
        <v>A.2</v>
      </c>
      <c r="M223" s="107"/>
    </row>
    <row r="224" spans="1:13" ht="15.75">
      <c r="A224" s="107" t="s">
        <v>3450</v>
      </c>
      <c r="B224" s="107" t="str">
        <f t="shared" si="31"/>
        <v>202503</v>
      </c>
      <c r="C224" s="107" t="s">
        <v>2945</v>
      </c>
      <c r="D224" s="399" t="str">
        <f ca="1">OFFSET('Tabla VII.2.'!$G$72,I224-1,0)</f>
        <v>02.02.03.06.</v>
      </c>
      <c r="E224" s="107">
        <f t="shared" si="38"/>
        <v>0</v>
      </c>
      <c r="F224" s="459" t="str">
        <f ca="1">VLOOKUP(OFFSET('Tabla VII.2.'!$G$72,I224-1,1),TABPAIS,2,FALSE)</f>
        <v>00</v>
      </c>
      <c r="G224" s="108">
        <f ca="1">OFFSET('Tabla VII.2.'!$I$72,I224-1,J224-1)</f>
        <v>0</v>
      </c>
      <c r="H224" s="107" t="str">
        <f ca="1">OFFSET('Tabla VII.2.'!$I$1,0,J224-1)</f>
        <v>01</v>
      </c>
      <c r="I224" s="110">
        <f t="shared" si="35"/>
        <v>31</v>
      </c>
      <c r="J224" s="110">
        <f t="shared" si="39"/>
        <v>1</v>
      </c>
      <c r="K224" s="110" t="str">
        <f ca="1">'Tabla VII.2.'!$B$10</f>
        <v>Tabla VII.2.</v>
      </c>
      <c r="L224" s="110" t="str">
        <f t="shared" si="37"/>
        <v>A.2</v>
      </c>
      <c r="M224" s="107"/>
    </row>
    <row r="225" spans="1:13" ht="15.75">
      <c r="A225" s="107" t="s">
        <v>3450</v>
      </c>
      <c r="B225" s="107" t="str">
        <f t="shared" si="31"/>
        <v>202503</v>
      </c>
      <c r="C225" s="107" t="s">
        <v>2945</v>
      </c>
      <c r="D225" s="399" t="str">
        <f ca="1">OFFSET('Tabla VII.2.'!$G$72,I225-1,0)</f>
        <v>02.02.03.07.</v>
      </c>
      <c r="E225" s="107">
        <f t="shared" si="38"/>
        <v>0</v>
      </c>
      <c r="F225" s="459" t="str">
        <f ca="1">VLOOKUP(OFFSET('Tabla VII.2.'!$G$72,I225-1,1),TABPAIS,2,FALSE)</f>
        <v>00</v>
      </c>
      <c r="G225" s="108">
        <f ca="1">OFFSET('Tabla VII.2.'!$I$72,I225-1,J225-1)</f>
        <v>0</v>
      </c>
      <c r="H225" s="107" t="str">
        <f ca="1">OFFSET('Tabla VII.2.'!$I$1,0,J225-1)</f>
        <v>01</v>
      </c>
      <c r="I225" s="110">
        <f t="shared" si="35"/>
        <v>32</v>
      </c>
      <c r="J225" s="110">
        <f t="shared" si="39"/>
        <v>1</v>
      </c>
      <c r="K225" s="110" t="str">
        <f ca="1">'Tabla VII.2.'!$B$10</f>
        <v>Tabla VII.2.</v>
      </c>
      <c r="L225" s="110" t="str">
        <f t="shared" si="37"/>
        <v>A.2</v>
      </c>
      <c r="M225" s="458"/>
    </row>
    <row r="226" spans="1:13" ht="15.75">
      <c r="A226" s="107" t="s">
        <v>3450</v>
      </c>
      <c r="B226" s="107" t="str">
        <f t="shared" si="31"/>
        <v>202503</v>
      </c>
      <c r="C226" s="107" t="s">
        <v>2945</v>
      </c>
      <c r="D226" s="399" t="str">
        <f ca="1">OFFSET('Tabla VII.2.'!$G$72,I226-1,0)</f>
        <v>02.02.03.08.</v>
      </c>
      <c r="E226" s="107">
        <f t="shared" si="38"/>
        <v>0</v>
      </c>
      <c r="F226" s="459" t="str">
        <f ca="1">VLOOKUP(OFFSET('Tabla VII.2.'!$G$72,I226-1,1),TABPAIS,2,FALSE)</f>
        <v>00</v>
      </c>
      <c r="G226" s="108">
        <f ca="1">OFFSET('Tabla VII.2.'!$I$72,I226-1,J226-1)</f>
        <v>0</v>
      </c>
      <c r="H226" s="107" t="str">
        <f ca="1">OFFSET('Tabla VII.2.'!$I$1,0,J226-1)</f>
        <v>01</v>
      </c>
      <c r="I226" s="110">
        <f t="shared" si="35"/>
        <v>33</v>
      </c>
      <c r="J226" s="110">
        <f t="shared" si="39"/>
        <v>1</v>
      </c>
      <c r="K226" s="110" t="str">
        <f ca="1">'Tabla VII.2.'!$B$10</f>
        <v>Tabla VII.2.</v>
      </c>
      <c r="L226" s="110" t="str">
        <f t="shared" si="37"/>
        <v>A.2</v>
      </c>
      <c r="M226" s="458"/>
    </row>
    <row r="227" spans="1:13" ht="15.75">
      <c r="A227" s="107" t="s">
        <v>3450</v>
      </c>
      <c r="B227" s="107" t="str">
        <f t="shared" si="31"/>
        <v>202503</v>
      </c>
      <c r="C227" s="107" t="s">
        <v>2945</v>
      </c>
      <c r="D227" s="399" t="str">
        <f ca="1">OFFSET('Tabla VII.2.'!$G$72,I227-1,0)</f>
        <v>02.02.03.09.</v>
      </c>
      <c r="E227" s="107">
        <f t="shared" si="38"/>
        <v>0</v>
      </c>
      <c r="F227" s="459" t="str">
        <f ca="1">VLOOKUP(OFFSET('Tabla VII.2.'!$G$72,I227-1,1),TABPAIS,2,FALSE)</f>
        <v>00</v>
      </c>
      <c r="G227" s="108">
        <f ca="1">OFFSET('Tabla VII.2.'!$I$72,I227-1,J227-1)</f>
        <v>0</v>
      </c>
      <c r="H227" s="107" t="str">
        <f ca="1">OFFSET('Tabla VII.2.'!$I$1,0,J227-1)</f>
        <v>01</v>
      </c>
      <c r="I227" s="110">
        <f t="shared" si="35"/>
        <v>34</v>
      </c>
      <c r="J227" s="110">
        <f t="shared" si="39"/>
        <v>1</v>
      </c>
      <c r="K227" s="110" t="str">
        <f ca="1">'Tabla VII.2.'!$B$10</f>
        <v>Tabla VII.2.</v>
      </c>
      <c r="L227" s="110" t="str">
        <f t="shared" si="37"/>
        <v>A.2</v>
      </c>
      <c r="M227" s="458"/>
    </row>
    <row r="228" spans="1:13" ht="15.75">
      <c r="A228" s="107" t="s">
        <v>3450</v>
      </c>
      <c r="B228" s="107" t="str">
        <f t="shared" si="31"/>
        <v>202503</v>
      </c>
      <c r="C228" s="107" t="s">
        <v>2945</v>
      </c>
      <c r="D228" s="399" t="str">
        <f ca="1">OFFSET('Tabla VII.2.'!$G$72,I228-1,0)</f>
        <v>02.02.03.10.</v>
      </c>
      <c r="E228" s="107">
        <f t="shared" si="38"/>
        <v>0</v>
      </c>
      <c r="F228" s="459" t="str">
        <f ca="1">VLOOKUP(OFFSET('Tabla VII.2.'!$G$72,I228-1,1),TABPAIS,2,FALSE)</f>
        <v>00</v>
      </c>
      <c r="G228" s="108">
        <f ca="1">OFFSET('Tabla VII.2.'!$I$72,I228-1,J228-1)</f>
        <v>0</v>
      </c>
      <c r="H228" s="107" t="str">
        <f ca="1">OFFSET('Tabla VII.2.'!$I$1,0,J228-1)</f>
        <v>01</v>
      </c>
      <c r="I228" s="110">
        <f t="shared" si="35"/>
        <v>35</v>
      </c>
      <c r="J228" s="110">
        <f t="shared" si="39"/>
        <v>1</v>
      </c>
      <c r="K228" s="110" t="str">
        <f ca="1">'Tabla VII.2.'!$B$10</f>
        <v>Tabla VII.2.</v>
      </c>
      <c r="L228" s="110" t="str">
        <f t="shared" si="37"/>
        <v>A.2</v>
      </c>
      <c r="M228" s="458"/>
    </row>
    <row r="229" spans="1:13" ht="15.75">
      <c r="A229" s="107" t="s">
        <v>3450</v>
      </c>
      <c r="B229" s="107" t="str">
        <f t="shared" si="31"/>
        <v>202503</v>
      </c>
      <c r="C229" s="107" t="s">
        <v>2945</v>
      </c>
      <c r="D229" s="399" t="str">
        <f ca="1">OFFSET('Tabla VII.2.'!$G$72,I229-1,0)</f>
        <v>02.02.03.11.</v>
      </c>
      <c r="E229" s="107">
        <f t="shared" si="38"/>
        <v>0</v>
      </c>
      <c r="F229" s="459" t="str">
        <f ca="1">VLOOKUP(OFFSET('Tabla VII.2.'!$G$72,I229-1,1),TABPAIS,2,FALSE)</f>
        <v>zzz</v>
      </c>
      <c r="G229" s="108">
        <f ca="1">OFFSET('Tabla VII.2.'!$I$72,I229-1,J229-1)</f>
        <v>0</v>
      </c>
      <c r="H229" s="107" t="str">
        <f ca="1">OFFSET('Tabla VII.2.'!$I$1,0,J229-1)</f>
        <v>01</v>
      </c>
      <c r="I229" s="110">
        <f t="shared" si="35"/>
        <v>36</v>
      </c>
      <c r="J229" s="110">
        <f t="shared" si="39"/>
        <v>1</v>
      </c>
      <c r="K229" s="110" t="str">
        <f ca="1">'Tabla VII.2.'!$B$10</f>
        <v>Tabla VII.2.</v>
      </c>
      <c r="L229" s="110" t="str">
        <f t="shared" si="37"/>
        <v>A.2</v>
      </c>
      <c r="M229" s="458"/>
    </row>
    <row r="230" spans="1:13" ht="15.75">
      <c r="A230" s="412" t="s">
        <v>3450</v>
      </c>
      <c r="B230" s="412" t="str">
        <f t="shared" si="31"/>
        <v>202503</v>
      </c>
      <c r="C230" s="412" t="s">
        <v>2945</v>
      </c>
      <c r="D230" s="413" t="str">
        <f ca="1">OFFSET('Tabla VII.2.'!$G$72,I230-1,0)</f>
        <v>02.02.04.</v>
      </c>
      <c r="E230" s="412">
        <f t="shared" si="38"/>
        <v>0</v>
      </c>
      <c r="F230" s="463" t="s">
        <v>3451</v>
      </c>
      <c r="G230" s="414">
        <f ca="1">OFFSET('Tabla VII.2.'!$I$72,I230-1,J230-1)</f>
        <v>0</v>
      </c>
      <c r="H230" s="412" t="str">
        <f ca="1">OFFSET('Tabla VII.2.'!$I$1,0,J230-1)</f>
        <v>01</v>
      </c>
      <c r="I230" s="111">
        <f t="shared" si="35"/>
        <v>37</v>
      </c>
      <c r="J230" s="111">
        <v>1</v>
      </c>
      <c r="K230" s="111" t="str">
        <f ca="1">'Tabla VII.2.'!$B$10</f>
        <v>Tabla VII.2.</v>
      </c>
      <c r="L230" s="111" t="str">
        <f t="shared" si="37"/>
        <v>A.2</v>
      </c>
      <c r="M230" s="111">
        <f>+M218+1</f>
        <v>4</v>
      </c>
    </row>
    <row r="231" spans="1:13" ht="15.75">
      <c r="A231" s="412" t="s">
        <v>3450</v>
      </c>
      <c r="B231" s="412" t="str">
        <f t="shared" si="31"/>
        <v>202503</v>
      </c>
      <c r="C231" s="412" t="s">
        <v>2945</v>
      </c>
      <c r="D231" s="413" t="str">
        <f ca="1">OFFSET('Tabla VII.2.'!$G$72,I231-1,0)</f>
        <v>02.02.04.01.</v>
      </c>
      <c r="E231" s="412">
        <f t="shared" si="38"/>
        <v>0</v>
      </c>
      <c r="F231" s="464" t="str">
        <f ca="1">VLOOKUP(OFFSET('Tabla VII.2.'!$G$72,I231-1,1),TABPAIS,2,FALSE)</f>
        <v>00</v>
      </c>
      <c r="G231" s="414">
        <f ca="1">OFFSET('Tabla VII.2.'!$I$72,I231-1,J231-1)</f>
        <v>0</v>
      </c>
      <c r="H231" s="412" t="str">
        <f ca="1">OFFSET('Tabla VII.2.'!$I$1,0,J231-1)</f>
        <v>01</v>
      </c>
      <c r="I231" s="111">
        <f t="shared" si="35"/>
        <v>38</v>
      </c>
      <c r="J231" s="111">
        <f t="shared" ref="J231:J241" si="40">+J230</f>
        <v>1</v>
      </c>
      <c r="K231" s="111" t="str">
        <f ca="1">'Tabla VII.2.'!$B$10</f>
        <v>Tabla VII.2.</v>
      </c>
      <c r="L231" s="111" t="str">
        <f t="shared" si="37"/>
        <v>A.2</v>
      </c>
    </row>
    <row r="232" spans="1:13" ht="15.75">
      <c r="A232" s="412" t="s">
        <v>3450</v>
      </c>
      <c r="B232" s="412" t="str">
        <f t="shared" si="31"/>
        <v>202503</v>
      </c>
      <c r="C232" s="412" t="s">
        <v>2945</v>
      </c>
      <c r="D232" s="413" t="str">
        <f ca="1">OFFSET('Tabla VII.2.'!$G$72,I232-1,0)</f>
        <v>02.02.04.02.</v>
      </c>
      <c r="E232" s="412">
        <f t="shared" si="38"/>
        <v>0</v>
      </c>
      <c r="F232" s="464" t="str">
        <f ca="1">VLOOKUP(OFFSET('Tabla VII.2.'!$G$72,I232-1,1),TABPAIS,2,FALSE)</f>
        <v>00</v>
      </c>
      <c r="G232" s="414">
        <f ca="1">OFFSET('Tabla VII.2.'!$I$72,I232-1,J232-1)</f>
        <v>0</v>
      </c>
      <c r="H232" s="412" t="str">
        <f ca="1">OFFSET('Tabla VII.2.'!$I$1,0,J232-1)</f>
        <v>01</v>
      </c>
      <c r="I232" s="111">
        <f t="shared" si="35"/>
        <v>39</v>
      </c>
      <c r="J232" s="111">
        <f t="shared" si="40"/>
        <v>1</v>
      </c>
      <c r="K232" s="111" t="str">
        <f ca="1">'Tabla VII.2.'!$B$10</f>
        <v>Tabla VII.2.</v>
      </c>
      <c r="L232" s="111" t="str">
        <f t="shared" si="37"/>
        <v>A.2</v>
      </c>
    </row>
    <row r="233" spans="1:13" ht="15.75">
      <c r="A233" s="412" t="s">
        <v>3450</v>
      </c>
      <c r="B233" s="412" t="str">
        <f t="shared" si="31"/>
        <v>202503</v>
      </c>
      <c r="C233" s="412" t="s">
        <v>2945</v>
      </c>
      <c r="D233" s="413" t="str">
        <f ca="1">OFFSET('Tabla VII.2.'!$G$72,I233-1,0)</f>
        <v>02.02.04.03.</v>
      </c>
      <c r="E233" s="412">
        <f t="shared" si="38"/>
        <v>0</v>
      </c>
      <c r="F233" s="464" t="str">
        <f ca="1">VLOOKUP(OFFSET('Tabla VII.2.'!$G$72,I233-1,1),TABPAIS,2,FALSE)</f>
        <v>00</v>
      </c>
      <c r="G233" s="414">
        <f ca="1">OFFSET('Tabla VII.2.'!$I$72,I233-1,J233-1)</f>
        <v>0</v>
      </c>
      <c r="H233" s="412" t="str">
        <f ca="1">OFFSET('Tabla VII.2.'!$I$1,0,J233-1)</f>
        <v>01</v>
      </c>
      <c r="I233" s="111">
        <f t="shared" si="35"/>
        <v>40</v>
      </c>
      <c r="J233" s="111">
        <f t="shared" si="40"/>
        <v>1</v>
      </c>
      <c r="K233" s="111" t="str">
        <f ca="1">'Tabla VII.2.'!$B$10</f>
        <v>Tabla VII.2.</v>
      </c>
      <c r="L233" s="111" t="str">
        <f t="shared" si="37"/>
        <v>A.2</v>
      </c>
    </row>
    <row r="234" spans="1:13" ht="15.75">
      <c r="A234" s="412" t="s">
        <v>3450</v>
      </c>
      <c r="B234" s="412" t="str">
        <f t="shared" si="31"/>
        <v>202503</v>
      </c>
      <c r="C234" s="412" t="s">
        <v>2945</v>
      </c>
      <c r="D234" s="413" t="str">
        <f ca="1">OFFSET('Tabla VII.2.'!$G$72,I234-1,0)</f>
        <v>02.02.04.04.</v>
      </c>
      <c r="E234" s="412">
        <f t="shared" si="38"/>
        <v>0</v>
      </c>
      <c r="F234" s="464" t="str">
        <f ca="1">VLOOKUP(OFFSET('Tabla VII.2.'!$G$72,I234-1,1),TABPAIS,2,FALSE)</f>
        <v>00</v>
      </c>
      <c r="G234" s="414">
        <f ca="1">OFFSET('Tabla VII.2.'!$I$72,I234-1,J234-1)</f>
        <v>0</v>
      </c>
      <c r="H234" s="412" t="str">
        <f ca="1">OFFSET('Tabla VII.2.'!$I$1,0,J234-1)</f>
        <v>01</v>
      </c>
      <c r="I234" s="111">
        <f t="shared" si="35"/>
        <v>41</v>
      </c>
      <c r="J234" s="111">
        <f t="shared" si="40"/>
        <v>1</v>
      </c>
      <c r="K234" s="111" t="str">
        <f ca="1">'Tabla VII.2.'!$B$10</f>
        <v>Tabla VII.2.</v>
      </c>
      <c r="L234" s="111" t="str">
        <f t="shared" si="37"/>
        <v>A.2</v>
      </c>
    </row>
    <row r="235" spans="1:13" ht="15.75">
      <c r="A235" s="412" t="s">
        <v>3450</v>
      </c>
      <c r="B235" s="412" t="str">
        <f t="shared" si="31"/>
        <v>202503</v>
      </c>
      <c r="C235" s="412" t="s">
        <v>2945</v>
      </c>
      <c r="D235" s="413" t="str">
        <f ca="1">OFFSET('Tabla VII.2.'!$G$72,I235-1,0)</f>
        <v>02.02.04.05.</v>
      </c>
      <c r="E235" s="412">
        <f t="shared" si="38"/>
        <v>0</v>
      </c>
      <c r="F235" s="464" t="str">
        <f ca="1">VLOOKUP(OFFSET('Tabla VII.2.'!$G$72,I235-1,1),TABPAIS,2,FALSE)</f>
        <v>00</v>
      </c>
      <c r="G235" s="414">
        <f ca="1">OFFSET('Tabla VII.2.'!$I$72,I235-1,J235-1)</f>
        <v>0</v>
      </c>
      <c r="H235" s="412" t="str">
        <f ca="1">OFFSET('Tabla VII.2.'!$I$1,0,J235-1)</f>
        <v>01</v>
      </c>
      <c r="I235" s="111">
        <f t="shared" si="35"/>
        <v>42</v>
      </c>
      <c r="J235" s="111">
        <f t="shared" si="40"/>
        <v>1</v>
      </c>
      <c r="K235" s="111" t="str">
        <f ca="1">'Tabla VII.2.'!$B$10</f>
        <v>Tabla VII.2.</v>
      </c>
      <c r="L235" s="111" t="str">
        <f t="shared" si="37"/>
        <v>A.2</v>
      </c>
    </row>
    <row r="236" spans="1:13" ht="15.75">
      <c r="A236" s="412" t="s">
        <v>3450</v>
      </c>
      <c r="B236" s="412" t="str">
        <f t="shared" si="31"/>
        <v>202503</v>
      </c>
      <c r="C236" s="412" t="s">
        <v>2945</v>
      </c>
      <c r="D236" s="413" t="str">
        <f ca="1">OFFSET('Tabla VII.2.'!$G$72,I236-1,0)</f>
        <v>02.02.04.06.</v>
      </c>
      <c r="E236" s="412">
        <f t="shared" si="38"/>
        <v>0</v>
      </c>
      <c r="F236" s="464" t="str">
        <f ca="1">VLOOKUP(OFFSET('Tabla VII.2.'!$G$72,I236-1,1),TABPAIS,2,FALSE)</f>
        <v>00</v>
      </c>
      <c r="G236" s="414">
        <f ca="1">OFFSET('Tabla VII.2.'!$I$72,I236-1,J236-1)</f>
        <v>0</v>
      </c>
      <c r="H236" s="412" t="str">
        <f ca="1">OFFSET('Tabla VII.2.'!$I$1,0,J236-1)</f>
        <v>01</v>
      </c>
      <c r="I236" s="111">
        <f t="shared" si="35"/>
        <v>43</v>
      </c>
      <c r="J236" s="111">
        <f t="shared" si="40"/>
        <v>1</v>
      </c>
      <c r="K236" s="111" t="str">
        <f ca="1">'Tabla VII.2.'!$B$10</f>
        <v>Tabla VII.2.</v>
      </c>
      <c r="L236" s="111" t="str">
        <f t="shared" si="37"/>
        <v>A.2</v>
      </c>
    </row>
    <row r="237" spans="1:13" ht="15.75">
      <c r="A237" s="412" t="s">
        <v>3450</v>
      </c>
      <c r="B237" s="412" t="str">
        <f t="shared" si="31"/>
        <v>202503</v>
      </c>
      <c r="C237" s="412" t="s">
        <v>2945</v>
      </c>
      <c r="D237" s="413" t="str">
        <f ca="1">OFFSET('Tabla VII.2.'!$G$72,I237-1,0)</f>
        <v>02.02.04.07.</v>
      </c>
      <c r="E237" s="412">
        <f t="shared" si="38"/>
        <v>0</v>
      </c>
      <c r="F237" s="464" t="str">
        <f ca="1">VLOOKUP(OFFSET('Tabla VII.2.'!$G$72,I237-1,1),TABPAIS,2,FALSE)</f>
        <v>00</v>
      </c>
      <c r="G237" s="414">
        <f ca="1">OFFSET('Tabla VII.2.'!$I$72,I237-1,J237-1)</f>
        <v>0</v>
      </c>
      <c r="H237" s="412" t="str">
        <f ca="1">OFFSET('Tabla VII.2.'!$I$1,0,J237-1)</f>
        <v>01</v>
      </c>
      <c r="I237" s="111">
        <f t="shared" si="35"/>
        <v>44</v>
      </c>
      <c r="J237" s="111">
        <f t="shared" si="40"/>
        <v>1</v>
      </c>
      <c r="K237" s="111" t="str">
        <f ca="1">'Tabla VII.2.'!$B$10</f>
        <v>Tabla VII.2.</v>
      </c>
      <c r="L237" s="111" t="str">
        <f t="shared" si="37"/>
        <v>A.2</v>
      </c>
    </row>
    <row r="238" spans="1:13" ht="15.75">
      <c r="A238" s="412" t="s">
        <v>3450</v>
      </c>
      <c r="B238" s="412" t="str">
        <f t="shared" si="31"/>
        <v>202503</v>
      </c>
      <c r="C238" s="412" t="s">
        <v>2945</v>
      </c>
      <c r="D238" s="413" t="str">
        <f ca="1">OFFSET('Tabla VII.2.'!$G$72,I238-1,0)</f>
        <v>02.02.04.08.</v>
      </c>
      <c r="E238" s="412">
        <f t="shared" si="38"/>
        <v>0</v>
      </c>
      <c r="F238" s="464" t="str">
        <f ca="1">VLOOKUP(OFFSET('Tabla VII.2.'!$G$72,I238-1,1),TABPAIS,2,FALSE)</f>
        <v>00</v>
      </c>
      <c r="G238" s="414">
        <f ca="1">OFFSET('Tabla VII.2.'!$I$72,I238-1,J238-1)</f>
        <v>0</v>
      </c>
      <c r="H238" s="412" t="str">
        <f ca="1">OFFSET('Tabla VII.2.'!$I$1,0,J238-1)</f>
        <v>01</v>
      </c>
      <c r="I238" s="111">
        <f t="shared" si="35"/>
        <v>45</v>
      </c>
      <c r="J238" s="111">
        <f t="shared" si="40"/>
        <v>1</v>
      </c>
      <c r="K238" s="111" t="str">
        <f ca="1">'Tabla VII.2.'!$B$10</f>
        <v>Tabla VII.2.</v>
      </c>
      <c r="L238" s="111" t="str">
        <f t="shared" si="37"/>
        <v>A.2</v>
      </c>
    </row>
    <row r="239" spans="1:13" ht="15.75">
      <c r="A239" s="412" t="s">
        <v>3450</v>
      </c>
      <c r="B239" s="412" t="str">
        <f t="shared" si="31"/>
        <v>202503</v>
      </c>
      <c r="C239" s="412" t="s">
        <v>2945</v>
      </c>
      <c r="D239" s="413" t="str">
        <f ca="1">OFFSET('Tabla VII.2.'!$G$72,I239-1,0)</f>
        <v>02.02.04.09.</v>
      </c>
      <c r="E239" s="412">
        <f t="shared" si="38"/>
        <v>0</v>
      </c>
      <c r="F239" s="464" t="str">
        <f ca="1">VLOOKUP(OFFSET('Tabla VII.2.'!$G$72,I239-1,1),TABPAIS,2,FALSE)</f>
        <v>00</v>
      </c>
      <c r="G239" s="414">
        <f ca="1">OFFSET('Tabla VII.2.'!$I$72,I239-1,J239-1)</f>
        <v>0</v>
      </c>
      <c r="H239" s="412" t="str">
        <f ca="1">OFFSET('Tabla VII.2.'!$I$1,0,J239-1)</f>
        <v>01</v>
      </c>
      <c r="I239" s="111">
        <f t="shared" si="35"/>
        <v>46</v>
      </c>
      <c r="J239" s="111">
        <f t="shared" si="40"/>
        <v>1</v>
      </c>
      <c r="K239" s="111" t="str">
        <f ca="1">'Tabla VII.2.'!$B$10</f>
        <v>Tabla VII.2.</v>
      </c>
      <c r="L239" s="111" t="str">
        <f t="shared" si="37"/>
        <v>A.2</v>
      </c>
    </row>
    <row r="240" spans="1:13" ht="15.75">
      <c r="A240" s="412" t="s">
        <v>3450</v>
      </c>
      <c r="B240" s="412" t="str">
        <f t="shared" si="31"/>
        <v>202503</v>
      </c>
      <c r="C240" s="412" t="s">
        <v>2945</v>
      </c>
      <c r="D240" s="413" t="str">
        <f ca="1">OFFSET('Tabla VII.2.'!$G$72,I240-1,0)</f>
        <v>02.02.04.10.</v>
      </c>
      <c r="E240" s="412">
        <f t="shared" si="38"/>
        <v>0</v>
      </c>
      <c r="F240" s="464" t="str">
        <f ca="1">VLOOKUP(OFFSET('Tabla VII.2.'!$G$72,I240-1,1),TABPAIS,2,FALSE)</f>
        <v>00</v>
      </c>
      <c r="G240" s="414">
        <f ca="1">OFFSET('Tabla VII.2.'!$I$72,I240-1,J240-1)</f>
        <v>0</v>
      </c>
      <c r="H240" s="412" t="str">
        <f ca="1">OFFSET('Tabla VII.2.'!$I$1,0,J240-1)</f>
        <v>01</v>
      </c>
      <c r="I240" s="111">
        <f t="shared" si="35"/>
        <v>47</v>
      </c>
      <c r="J240" s="111">
        <f t="shared" si="40"/>
        <v>1</v>
      </c>
      <c r="K240" s="111" t="str">
        <f ca="1">'Tabla VII.2.'!$B$10</f>
        <v>Tabla VII.2.</v>
      </c>
      <c r="L240" s="111" t="str">
        <f t="shared" si="37"/>
        <v>A.2</v>
      </c>
    </row>
    <row r="241" spans="1:12" ht="15.75">
      <c r="A241" s="412" t="s">
        <v>3450</v>
      </c>
      <c r="B241" s="412" t="str">
        <f t="shared" si="31"/>
        <v>202503</v>
      </c>
      <c r="C241" s="412" t="s">
        <v>2945</v>
      </c>
      <c r="D241" s="413" t="str">
        <f ca="1">OFFSET('Tabla VII.2.'!$G$72,I241-1,0)</f>
        <v>02.02.04.11.</v>
      </c>
      <c r="E241" s="412">
        <f t="shared" si="38"/>
        <v>0</v>
      </c>
      <c r="F241" s="464" t="str">
        <f ca="1">VLOOKUP(OFFSET('Tabla VII.2.'!$G$72,I241-1,1),TABPAIS,2,FALSE)</f>
        <v>zzz</v>
      </c>
      <c r="G241" s="414">
        <f ca="1">OFFSET('Tabla VII.2.'!$I$72,I241-1,J241-1)</f>
        <v>0</v>
      </c>
      <c r="H241" s="412" t="str">
        <f ca="1">OFFSET('Tabla VII.2.'!$I$1,0,J241-1)</f>
        <v>01</v>
      </c>
      <c r="I241" s="111">
        <f t="shared" si="35"/>
        <v>48</v>
      </c>
      <c r="J241" s="111">
        <f t="shared" si="40"/>
        <v>1</v>
      </c>
      <c r="K241" s="111" t="str">
        <f ca="1">'Tabla VII.2.'!$B$10</f>
        <v>Tabla VII.2.</v>
      </c>
      <c r="L241" s="111" t="str">
        <f t="shared" si="37"/>
        <v>A.2</v>
      </c>
    </row>
  </sheetData>
  <autoFilter ref="A1:M241" xr:uid="{00000000-0009-0000-0000-00001D000000}"/>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16">
    <tabColor theme="9" tint="-0.499984740745262"/>
    <pageSetUpPr fitToPage="1"/>
  </sheetPr>
  <dimension ref="B1:G246"/>
  <sheetViews>
    <sheetView workbookViewId="0">
      <pane xSplit="2" ySplit="2" topLeftCell="C163" activePane="bottomRight" state="frozen"/>
      <selection pane="topRight" activeCell="C1" sqref="C1"/>
      <selection pane="bottomLeft" activeCell="A3" sqref="A3"/>
      <selection pane="bottomRight" activeCell="C189" sqref="C189"/>
    </sheetView>
  </sheetViews>
  <sheetFormatPr baseColWidth="10" defaultColWidth="11.42578125" defaultRowHeight="12.75"/>
  <cols>
    <col min="1" max="1" width="2.140625" style="188" customWidth="1"/>
    <col min="2" max="2" width="11.42578125" style="188"/>
    <col min="3" max="3" width="33.140625" style="199" customWidth="1"/>
    <col min="4" max="4" width="16.85546875" style="199" customWidth="1"/>
    <col min="5" max="5" width="17.140625" style="199" customWidth="1"/>
    <col min="6" max="6" width="44.7109375" style="199" customWidth="1"/>
    <col min="7" max="7" width="14.5703125" style="199" customWidth="1"/>
    <col min="8" max="8" width="7.28515625" style="188" customWidth="1"/>
    <col min="9" max="16384" width="11.42578125" style="188"/>
  </cols>
  <sheetData>
    <row r="1" spans="2:7" ht="21.75" customHeight="1" thickBot="1">
      <c r="B1" s="2545" t="s">
        <v>3452</v>
      </c>
      <c r="C1" s="2545"/>
      <c r="D1" s="2545"/>
      <c r="E1" s="2545"/>
      <c r="F1" s="2545"/>
      <c r="G1" s="2545"/>
    </row>
    <row r="2" spans="2:7" ht="30.75" thickBot="1">
      <c r="B2" s="189" t="s">
        <v>3453</v>
      </c>
      <c r="C2" s="190" t="s">
        <v>2932</v>
      </c>
      <c r="D2" s="191" t="s">
        <v>3454</v>
      </c>
      <c r="E2" s="192" t="s">
        <v>3455</v>
      </c>
      <c r="F2" s="190" t="s">
        <v>3456</v>
      </c>
      <c r="G2" s="193" t="s">
        <v>3457</v>
      </c>
    </row>
    <row r="3" spans="2:7">
      <c r="B3" s="194" t="s">
        <v>3458</v>
      </c>
      <c r="C3" s="195" t="s">
        <v>2189</v>
      </c>
      <c r="D3" s="196" t="s">
        <v>3459</v>
      </c>
      <c r="E3" s="197" t="s">
        <v>3459</v>
      </c>
      <c r="F3" s="196" t="s">
        <v>3459</v>
      </c>
      <c r="G3" s="198" t="s">
        <v>3459</v>
      </c>
    </row>
    <row r="4" spans="2:7">
      <c r="B4" s="1779" t="s">
        <v>3460</v>
      </c>
      <c r="C4" s="1780" t="s">
        <v>3461</v>
      </c>
      <c r="D4" s="1781" t="s">
        <v>3462</v>
      </c>
      <c r="E4" s="1782" t="s">
        <v>3463</v>
      </c>
      <c r="F4" s="199" t="s">
        <v>3464</v>
      </c>
      <c r="G4" s="198" t="s">
        <v>3465</v>
      </c>
    </row>
    <row r="5" spans="2:7">
      <c r="B5" s="1779" t="s">
        <v>3466</v>
      </c>
      <c r="C5" s="1780" t="s">
        <v>3467</v>
      </c>
      <c r="D5" s="1781" t="s">
        <v>3468</v>
      </c>
      <c r="E5" s="1782" t="s">
        <v>3469</v>
      </c>
      <c r="F5" s="199" t="s">
        <v>3470</v>
      </c>
      <c r="G5" s="198" t="s">
        <v>3471</v>
      </c>
    </row>
    <row r="6" spans="2:7">
      <c r="B6" s="1779" t="s">
        <v>3472</v>
      </c>
      <c r="C6" s="1780" t="s">
        <v>3473</v>
      </c>
      <c r="D6" s="1781" t="s">
        <v>3474</v>
      </c>
      <c r="E6" s="1782" t="s">
        <v>3469</v>
      </c>
      <c r="F6" s="199" t="s">
        <v>3475</v>
      </c>
      <c r="G6" s="198" t="s">
        <v>3476</v>
      </c>
    </row>
    <row r="7" spans="2:7">
      <c r="B7" s="1779" t="s">
        <v>3477</v>
      </c>
      <c r="C7" s="1780" t="s">
        <v>3478</v>
      </c>
      <c r="D7" s="1781" t="s">
        <v>3479</v>
      </c>
      <c r="E7" s="1782" t="s">
        <v>3469</v>
      </c>
      <c r="F7" s="199" t="s">
        <v>3470</v>
      </c>
      <c r="G7" s="198" t="s">
        <v>3480</v>
      </c>
    </row>
    <row r="8" spans="2:7">
      <c r="B8" s="1779" t="s">
        <v>3481</v>
      </c>
      <c r="C8" s="1780" t="s">
        <v>3482</v>
      </c>
      <c r="D8" s="1781" t="s">
        <v>3483</v>
      </c>
      <c r="E8" s="1782" t="s">
        <v>3484</v>
      </c>
      <c r="F8" s="199" t="s">
        <v>3485</v>
      </c>
      <c r="G8" s="198" t="s">
        <v>3486</v>
      </c>
    </row>
    <row r="9" spans="2:7">
      <c r="B9" s="1779" t="s">
        <v>3487</v>
      </c>
      <c r="C9" s="1780" t="s">
        <v>3488</v>
      </c>
      <c r="D9" s="1781" t="s">
        <v>3489</v>
      </c>
      <c r="E9" s="1782" t="s">
        <v>3490</v>
      </c>
      <c r="F9" s="199" t="s">
        <v>3491</v>
      </c>
      <c r="G9" s="198" t="s">
        <v>3492</v>
      </c>
    </row>
    <row r="10" spans="2:7">
      <c r="B10" s="1779" t="s">
        <v>3493</v>
      </c>
      <c r="C10" s="1780" t="s">
        <v>3494</v>
      </c>
      <c r="D10" s="1781" t="s">
        <v>3495</v>
      </c>
      <c r="E10" s="1782" t="s">
        <v>3490</v>
      </c>
      <c r="F10" s="199" t="s">
        <v>3491</v>
      </c>
      <c r="G10" s="198" t="s">
        <v>3496</v>
      </c>
    </row>
    <row r="11" spans="2:7">
      <c r="B11" s="1779" t="s">
        <v>3497</v>
      </c>
      <c r="C11" s="1780" t="s">
        <v>3498</v>
      </c>
      <c r="D11" s="1781" t="s">
        <v>3499</v>
      </c>
      <c r="E11" s="1782" t="s">
        <v>3490</v>
      </c>
      <c r="F11" s="199" t="s">
        <v>3491</v>
      </c>
      <c r="G11" s="198" t="s">
        <v>3500</v>
      </c>
    </row>
    <row r="12" spans="2:7">
      <c r="B12" s="1779" t="s">
        <v>3501</v>
      </c>
      <c r="C12" s="1780" t="s">
        <v>3502</v>
      </c>
      <c r="D12" s="1781" t="s">
        <v>3503</v>
      </c>
      <c r="E12" s="1782" t="s">
        <v>3463</v>
      </c>
      <c r="F12" s="199" t="s">
        <v>3504</v>
      </c>
      <c r="G12" s="198" t="s">
        <v>3505</v>
      </c>
    </row>
    <row r="13" spans="2:7">
      <c r="B13" s="1779" t="s">
        <v>3506</v>
      </c>
      <c r="C13" s="1780" t="s">
        <v>3507</v>
      </c>
      <c r="D13" s="1781" t="s">
        <v>3508</v>
      </c>
      <c r="E13" s="1782" t="s">
        <v>3484</v>
      </c>
      <c r="F13" s="199" t="s">
        <v>3509</v>
      </c>
      <c r="G13" s="198" t="s">
        <v>3510</v>
      </c>
    </row>
    <row r="14" spans="2:7">
      <c r="B14" s="1779" t="s">
        <v>3511</v>
      </c>
      <c r="C14" s="1780" t="s">
        <v>3512</v>
      </c>
      <c r="D14" s="1781" t="s">
        <v>3513</v>
      </c>
      <c r="E14" s="1782" t="s">
        <v>3490</v>
      </c>
      <c r="F14" s="199" t="s">
        <v>3514</v>
      </c>
      <c r="G14" s="198" t="s">
        <v>3515</v>
      </c>
    </row>
    <row r="15" spans="2:7">
      <c r="B15" s="1779" t="s">
        <v>3516</v>
      </c>
      <c r="C15" s="1780" t="s">
        <v>3517</v>
      </c>
      <c r="D15" s="1781" t="s">
        <v>3518</v>
      </c>
      <c r="E15" s="1782" t="s">
        <v>3463</v>
      </c>
      <c r="F15" s="199" t="s">
        <v>3519</v>
      </c>
      <c r="G15" s="198" t="s">
        <v>3520</v>
      </c>
    </row>
    <row r="16" spans="2:7">
      <c r="B16" s="1779" t="s">
        <v>3521</v>
      </c>
      <c r="C16" s="1780" t="s">
        <v>3522</v>
      </c>
      <c r="D16" s="1781" t="s">
        <v>3523</v>
      </c>
      <c r="E16" s="1782" t="s">
        <v>3490</v>
      </c>
      <c r="F16" s="199" t="s">
        <v>3491</v>
      </c>
      <c r="G16" s="198" t="s">
        <v>3524</v>
      </c>
    </row>
    <row r="17" spans="2:7">
      <c r="B17" s="1779" t="s">
        <v>3525</v>
      </c>
      <c r="C17" s="1780" t="s">
        <v>3526</v>
      </c>
      <c r="D17" s="1781" t="s">
        <v>3527</v>
      </c>
      <c r="E17" s="1782" t="s">
        <v>3463</v>
      </c>
      <c r="F17" s="199" t="s">
        <v>3528</v>
      </c>
      <c r="G17" s="198" t="s">
        <v>3529</v>
      </c>
    </row>
    <row r="18" spans="2:7">
      <c r="B18" s="1779" t="s">
        <v>3530</v>
      </c>
      <c r="C18" s="1780" t="s">
        <v>3531</v>
      </c>
      <c r="D18" s="1781" t="s">
        <v>3532</v>
      </c>
      <c r="E18" s="1782" t="s">
        <v>3469</v>
      </c>
      <c r="F18" s="199" t="s">
        <v>3475</v>
      </c>
      <c r="G18" s="198" t="s">
        <v>3533</v>
      </c>
    </row>
    <row r="19" spans="2:7">
      <c r="B19" s="1779" t="s">
        <v>3534</v>
      </c>
      <c r="C19" s="1780" t="s">
        <v>3535</v>
      </c>
      <c r="D19" s="1781" t="s">
        <v>3536</v>
      </c>
      <c r="E19" s="1782" t="s">
        <v>3463</v>
      </c>
      <c r="F19" s="199" t="s">
        <v>3519</v>
      </c>
      <c r="G19" s="198" t="s">
        <v>3537</v>
      </c>
    </row>
    <row r="20" spans="2:7">
      <c r="B20" s="1779" t="s">
        <v>3538</v>
      </c>
      <c r="C20" s="1780" t="s">
        <v>3539</v>
      </c>
      <c r="D20" s="1781" t="s">
        <v>3540</v>
      </c>
      <c r="E20" s="1782" t="s">
        <v>3490</v>
      </c>
      <c r="F20" s="199" t="s">
        <v>3491</v>
      </c>
      <c r="G20" s="198" t="s">
        <v>3541</v>
      </c>
    </row>
    <row r="21" spans="2:7">
      <c r="B21" s="1779" t="s">
        <v>3542</v>
      </c>
      <c r="C21" s="1780" t="s">
        <v>3543</v>
      </c>
      <c r="D21" s="1781" t="s">
        <v>3544</v>
      </c>
      <c r="E21" s="1782" t="s">
        <v>3463</v>
      </c>
      <c r="F21" s="199" t="s">
        <v>3504</v>
      </c>
      <c r="G21" s="198" t="s">
        <v>3545</v>
      </c>
    </row>
    <row r="22" spans="2:7">
      <c r="B22" s="1779" t="s">
        <v>3546</v>
      </c>
      <c r="C22" s="1780" t="s">
        <v>3547</v>
      </c>
      <c r="D22" s="1781" t="s">
        <v>3548</v>
      </c>
      <c r="E22" s="1782" t="s">
        <v>3463</v>
      </c>
      <c r="F22" s="199" t="s">
        <v>3464</v>
      </c>
      <c r="G22" s="198" t="s">
        <v>3549</v>
      </c>
    </row>
    <row r="23" spans="2:7">
      <c r="B23" s="1779" t="s">
        <v>3550</v>
      </c>
      <c r="C23" s="1780" t="s">
        <v>3551</v>
      </c>
      <c r="D23" s="1781" t="s">
        <v>3552</v>
      </c>
      <c r="E23" s="1782" t="s">
        <v>3490</v>
      </c>
      <c r="F23" s="199" t="s">
        <v>3491</v>
      </c>
      <c r="G23" s="198" t="s">
        <v>3553</v>
      </c>
    </row>
    <row r="24" spans="2:7">
      <c r="B24" s="1779" t="s">
        <v>3554</v>
      </c>
      <c r="C24" s="1780" t="s">
        <v>3555</v>
      </c>
      <c r="D24" s="1781" t="s">
        <v>3556</v>
      </c>
      <c r="E24" s="1782" t="s">
        <v>3469</v>
      </c>
      <c r="F24" s="199" t="s">
        <v>3475</v>
      </c>
      <c r="G24" s="198" t="s">
        <v>3557</v>
      </c>
    </row>
    <row r="25" spans="2:7">
      <c r="B25" s="1779" t="s">
        <v>3558</v>
      </c>
      <c r="C25" s="1780" t="s">
        <v>3559</v>
      </c>
      <c r="D25" s="1781" t="s">
        <v>3560</v>
      </c>
      <c r="E25" s="1782" t="s">
        <v>3490</v>
      </c>
      <c r="F25" s="199" t="s">
        <v>3561</v>
      </c>
      <c r="G25" s="198" t="s">
        <v>3562</v>
      </c>
    </row>
    <row r="26" spans="2:7">
      <c r="B26" s="1779" t="s">
        <v>3563</v>
      </c>
      <c r="C26" s="1780" t="s">
        <v>3564</v>
      </c>
      <c r="D26" s="1781" t="s">
        <v>3565</v>
      </c>
      <c r="E26" s="1782" t="s">
        <v>3484</v>
      </c>
      <c r="F26" s="199" t="s">
        <v>3485</v>
      </c>
      <c r="G26" s="198" t="s">
        <v>3566</v>
      </c>
    </row>
    <row r="27" spans="2:7">
      <c r="B27" s="1779" t="s">
        <v>3567</v>
      </c>
      <c r="C27" s="1780" t="s">
        <v>3568</v>
      </c>
      <c r="D27" s="1781" t="s">
        <v>3569</v>
      </c>
      <c r="E27" s="1782" t="s">
        <v>3490</v>
      </c>
      <c r="F27" s="199" t="s">
        <v>3491</v>
      </c>
      <c r="G27" s="198" t="s">
        <v>3570</v>
      </c>
    </row>
    <row r="28" spans="2:7">
      <c r="B28" s="1779" t="s">
        <v>3571</v>
      </c>
      <c r="C28" s="1780" t="s">
        <v>3572</v>
      </c>
      <c r="D28" s="1781" t="s">
        <v>3263</v>
      </c>
      <c r="E28" s="1782" t="s">
        <v>3463</v>
      </c>
      <c r="F28" s="199" t="s">
        <v>3464</v>
      </c>
      <c r="G28" s="198" t="s">
        <v>3573</v>
      </c>
    </row>
    <row r="29" spans="2:7">
      <c r="B29" s="1779" t="s">
        <v>3574</v>
      </c>
      <c r="C29" s="1780" t="s">
        <v>3575</v>
      </c>
      <c r="D29" s="1781" t="s">
        <v>3576</v>
      </c>
      <c r="E29" s="1782" t="s">
        <v>3469</v>
      </c>
      <c r="F29" s="199" t="s">
        <v>3470</v>
      </c>
      <c r="G29" s="198" t="s">
        <v>3577</v>
      </c>
    </row>
    <row r="30" spans="2:7">
      <c r="B30" s="1779" t="s">
        <v>3578</v>
      </c>
      <c r="C30" s="1780" t="s">
        <v>3579</v>
      </c>
      <c r="D30" s="1781" t="s">
        <v>3580</v>
      </c>
      <c r="E30" s="1782" t="s">
        <v>3490</v>
      </c>
      <c r="F30" s="199" t="s">
        <v>3514</v>
      </c>
      <c r="G30" s="198" t="s">
        <v>3581</v>
      </c>
    </row>
    <row r="31" spans="2:7">
      <c r="B31" s="1779" t="s">
        <v>3582</v>
      </c>
      <c r="C31" s="1780" t="s">
        <v>3583</v>
      </c>
      <c r="D31" s="1781" t="s">
        <v>3584</v>
      </c>
      <c r="E31" s="1782" t="s">
        <v>3469</v>
      </c>
      <c r="F31" s="199" t="s">
        <v>3470</v>
      </c>
      <c r="G31" s="198" t="s">
        <v>3585</v>
      </c>
    </row>
    <row r="32" spans="2:7">
      <c r="B32" s="1779" t="s">
        <v>3586</v>
      </c>
      <c r="C32" s="1780" t="s">
        <v>3587</v>
      </c>
      <c r="D32" s="1781" t="s">
        <v>3588</v>
      </c>
      <c r="E32" s="1782" t="s">
        <v>3484</v>
      </c>
      <c r="F32" s="199" t="s">
        <v>3485</v>
      </c>
      <c r="G32" s="198" t="s">
        <v>3589</v>
      </c>
    </row>
    <row r="33" spans="2:7">
      <c r="B33" s="1779" t="s">
        <v>3590</v>
      </c>
      <c r="C33" s="1780" t="s">
        <v>3591</v>
      </c>
      <c r="D33" s="1781" t="s">
        <v>3592</v>
      </c>
      <c r="E33" s="1782" t="s">
        <v>3490</v>
      </c>
      <c r="F33" s="199" t="s">
        <v>3514</v>
      </c>
      <c r="G33" s="198" t="s">
        <v>3593</v>
      </c>
    </row>
    <row r="34" spans="2:7">
      <c r="B34" s="1779" t="s">
        <v>3594</v>
      </c>
      <c r="C34" s="1780" t="s">
        <v>3595</v>
      </c>
      <c r="D34" s="1781" t="s">
        <v>3596</v>
      </c>
      <c r="E34" s="1782" t="s">
        <v>3463</v>
      </c>
      <c r="F34" s="199" t="s">
        <v>3464</v>
      </c>
      <c r="G34" s="198" t="s">
        <v>3597</v>
      </c>
    </row>
    <row r="35" spans="2:7">
      <c r="B35" s="1779" t="s">
        <v>3598</v>
      </c>
      <c r="C35" s="1780" t="s">
        <v>3599</v>
      </c>
      <c r="D35" s="1781" t="s">
        <v>3600</v>
      </c>
      <c r="E35" s="1782" t="s">
        <v>3469</v>
      </c>
      <c r="F35" s="199" t="s">
        <v>3475</v>
      </c>
      <c r="G35" s="198" t="s">
        <v>3601</v>
      </c>
    </row>
    <row r="36" spans="2:7">
      <c r="B36" s="1779" t="s">
        <v>3602</v>
      </c>
      <c r="C36" s="1780" t="s">
        <v>3603</v>
      </c>
      <c r="D36" s="1781" t="s">
        <v>3604</v>
      </c>
      <c r="E36" s="1782" t="s">
        <v>3484</v>
      </c>
      <c r="F36" s="199" t="s">
        <v>3485</v>
      </c>
      <c r="G36" s="198" t="s">
        <v>3605</v>
      </c>
    </row>
    <row r="37" spans="2:7">
      <c r="B37" s="1779" t="s">
        <v>3606</v>
      </c>
      <c r="C37" s="1780" t="s">
        <v>3607</v>
      </c>
      <c r="D37" s="1781" t="s">
        <v>3608</v>
      </c>
      <c r="E37" s="1782" t="s">
        <v>3484</v>
      </c>
      <c r="F37" s="199" t="s">
        <v>3485</v>
      </c>
      <c r="G37" s="198" t="s">
        <v>3609</v>
      </c>
    </row>
    <row r="38" spans="2:7">
      <c r="B38" s="1779" t="s">
        <v>3610</v>
      </c>
      <c r="C38" s="1780" t="s">
        <v>3611</v>
      </c>
      <c r="D38" s="1781" t="s">
        <v>3612</v>
      </c>
      <c r="E38" s="1782" t="s">
        <v>3484</v>
      </c>
      <c r="F38" s="199" t="s">
        <v>3485</v>
      </c>
      <c r="G38" s="198" t="s">
        <v>3613</v>
      </c>
    </row>
    <row r="39" spans="2:7">
      <c r="B39" s="1779" t="s">
        <v>3614</v>
      </c>
      <c r="C39" s="1780" t="s">
        <v>3615</v>
      </c>
      <c r="D39" s="1781" t="s">
        <v>3616</v>
      </c>
      <c r="E39" s="1782" t="s">
        <v>3463</v>
      </c>
      <c r="F39" s="199" t="s">
        <v>3464</v>
      </c>
      <c r="G39" s="198" t="s">
        <v>3617</v>
      </c>
    </row>
    <row r="40" spans="2:7">
      <c r="B40" s="1779" t="s">
        <v>3618</v>
      </c>
      <c r="C40" s="1780" t="s">
        <v>3619</v>
      </c>
      <c r="D40" s="1781" t="s">
        <v>3620</v>
      </c>
      <c r="E40" s="1782" t="s">
        <v>3484</v>
      </c>
      <c r="F40" s="199" t="s">
        <v>3485</v>
      </c>
      <c r="G40" s="198" t="s">
        <v>3621</v>
      </c>
    </row>
    <row r="41" spans="2:7">
      <c r="B41" s="1779" t="s">
        <v>3622</v>
      </c>
      <c r="C41" s="1780" t="s">
        <v>3623</v>
      </c>
      <c r="D41" s="1781" t="s">
        <v>3624</v>
      </c>
      <c r="E41" s="1782" t="s">
        <v>3490</v>
      </c>
      <c r="F41" s="199" t="s">
        <v>3561</v>
      </c>
      <c r="G41" s="198" t="s">
        <v>3625</v>
      </c>
    </row>
    <row r="42" spans="2:7">
      <c r="B42" s="1779" t="s">
        <v>3626</v>
      </c>
      <c r="C42" s="1780" t="s">
        <v>3627</v>
      </c>
      <c r="D42" s="1781" t="s">
        <v>3628</v>
      </c>
      <c r="E42" s="1782" t="s">
        <v>3484</v>
      </c>
      <c r="F42" s="199" t="s">
        <v>3485</v>
      </c>
      <c r="G42" s="198"/>
    </row>
    <row r="43" spans="2:7">
      <c r="B43" s="1779" t="s">
        <v>3629</v>
      </c>
      <c r="C43" s="1783" t="s">
        <v>3630</v>
      </c>
      <c r="D43" s="1784" t="s">
        <v>3631</v>
      </c>
      <c r="E43" s="1782" t="s">
        <v>3490</v>
      </c>
      <c r="F43" s="199" t="s">
        <v>3514</v>
      </c>
      <c r="G43" s="198" t="s">
        <v>3632</v>
      </c>
    </row>
    <row r="44" spans="2:7">
      <c r="B44" s="1779" t="s">
        <v>3633</v>
      </c>
      <c r="C44" s="1780" t="s">
        <v>3634</v>
      </c>
      <c r="D44" s="1781" t="s">
        <v>3635</v>
      </c>
      <c r="E44" s="1782" t="s">
        <v>3463</v>
      </c>
      <c r="F44" s="199" t="s">
        <v>3636</v>
      </c>
      <c r="G44" s="198" t="s">
        <v>3637</v>
      </c>
    </row>
    <row r="45" spans="2:7">
      <c r="B45" s="1779" t="s">
        <v>3638</v>
      </c>
      <c r="C45" s="1780" t="s">
        <v>3639</v>
      </c>
      <c r="D45" s="1781" t="s">
        <v>3640</v>
      </c>
      <c r="E45" s="1782" t="s">
        <v>3463</v>
      </c>
      <c r="F45" s="199" t="s">
        <v>3636</v>
      </c>
      <c r="G45" s="198" t="s">
        <v>3641</v>
      </c>
    </row>
    <row r="46" spans="2:7">
      <c r="B46" s="1779" t="s">
        <v>3642</v>
      </c>
      <c r="C46" s="1780" t="s">
        <v>3643</v>
      </c>
      <c r="D46" s="1781" t="s">
        <v>3644</v>
      </c>
      <c r="E46" s="1782" t="s">
        <v>3463</v>
      </c>
      <c r="F46" s="199" t="s">
        <v>3636</v>
      </c>
      <c r="G46" s="198" t="s">
        <v>3645</v>
      </c>
    </row>
    <row r="47" spans="2:7">
      <c r="B47" s="1779" t="s">
        <v>3646</v>
      </c>
      <c r="C47" s="1780" t="s">
        <v>3647</v>
      </c>
      <c r="D47" s="1781" t="s">
        <v>3127</v>
      </c>
      <c r="E47" s="1782" t="s">
        <v>3469</v>
      </c>
      <c r="F47" s="199" t="s">
        <v>3475</v>
      </c>
      <c r="G47" s="198" t="s">
        <v>3648</v>
      </c>
    </row>
    <row r="48" spans="2:7">
      <c r="B48" s="1779" t="s">
        <v>3649</v>
      </c>
      <c r="C48" s="1780" t="s">
        <v>3650</v>
      </c>
      <c r="D48" s="1781" t="s">
        <v>3651</v>
      </c>
      <c r="E48" s="1782" t="s">
        <v>3469</v>
      </c>
      <c r="F48" s="199" t="s">
        <v>3470</v>
      </c>
      <c r="G48" s="198" t="s">
        <v>3652</v>
      </c>
    </row>
    <row r="49" spans="2:7">
      <c r="B49" s="1779" t="s">
        <v>3653</v>
      </c>
      <c r="C49" s="1783" t="s">
        <v>3654</v>
      </c>
      <c r="D49" s="1784" t="s">
        <v>3655</v>
      </c>
      <c r="E49" s="1782" t="s">
        <v>3490</v>
      </c>
      <c r="F49" s="199" t="s">
        <v>3514</v>
      </c>
      <c r="G49" s="198" t="s">
        <v>3656</v>
      </c>
    </row>
    <row r="50" spans="2:7">
      <c r="B50" s="1779" t="s">
        <v>3657</v>
      </c>
      <c r="C50" s="1780" t="s">
        <v>3658</v>
      </c>
      <c r="D50" s="1781" t="s">
        <v>3659</v>
      </c>
      <c r="E50" s="1782" t="s">
        <v>3484</v>
      </c>
      <c r="F50" s="199" t="s">
        <v>3485</v>
      </c>
      <c r="G50" s="198" t="s">
        <v>3660</v>
      </c>
    </row>
    <row r="51" spans="2:7">
      <c r="B51" s="1779" t="s">
        <v>3661</v>
      </c>
      <c r="C51" s="1780" t="s">
        <v>3662</v>
      </c>
      <c r="D51" s="1781" t="s">
        <v>3663</v>
      </c>
      <c r="E51" s="1782" t="s">
        <v>3484</v>
      </c>
      <c r="F51" s="199" t="s">
        <v>3485</v>
      </c>
      <c r="G51" s="198" t="s">
        <v>3664</v>
      </c>
    </row>
    <row r="52" spans="2:7">
      <c r="B52" s="1779" t="s">
        <v>3665</v>
      </c>
      <c r="C52" s="1780" t="s">
        <v>3666</v>
      </c>
      <c r="D52" s="1781" t="s">
        <v>2928</v>
      </c>
      <c r="E52" s="1782" t="s">
        <v>3484</v>
      </c>
      <c r="F52" s="199" t="s">
        <v>3485</v>
      </c>
      <c r="G52" s="198" t="s">
        <v>3667</v>
      </c>
    </row>
    <row r="53" spans="2:7">
      <c r="B53" s="1779" t="s">
        <v>3668</v>
      </c>
      <c r="C53" s="1780" t="s">
        <v>3669</v>
      </c>
      <c r="D53" s="1781" t="s">
        <v>3670</v>
      </c>
      <c r="E53" s="1782" t="s">
        <v>3463</v>
      </c>
      <c r="F53" s="199" t="s">
        <v>3636</v>
      </c>
      <c r="G53" s="198" t="s">
        <v>3671</v>
      </c>
    </row>
    <row r="54" spans="2:7">
      <c r="B54" s="1779" t="s">
        <v>3672</v>
      </c>
      <c r="C54" s="1780" t="s">
        <v>3673</v>
      </c>
      <c r="D54" s="1781" t="s">
        <v>3674</v>
      </c>
      <c r="E54" s="1782" t="s">
        <v>3463</v>
      </c>
      <c r="F54" s="199" t="s">
        <v>3636</v>
      </c>
      <c r="G54" s="198" t="s">
        <v>3675</v>
      </c>
    </row>
    <row r="55" spans="2:7">
      <c r="B55" s="1779" t="s">
        <v>3676</v>
      </c>
      <c r="C55" s="1780" t="s">
        <v>3677</v>
      </c>
      <c r="D55" s="1781" t="s">
        <v>3678</v>
      </c>
      <c r="E55" s="1782" t="s">
        <v>3484</v>
      </c>
      <c r="F55" s="199" t="s">
        <v>3485</v>
      </c>
      <c r="G55" s="198"/>
    </row>
    <row r="56" spans="2:7">
      <c r="B56" s="1779" t="s">
        <v>3679</v>
      </c>
      <c r="C56" s="1780" t="s">
        <v>3680</v>
      </c>
      <c r="D56" s="1781" t="s">
        <v>3681</v>
      </c>
      <c r="E56" s="1782" t="s">
        <v>3490</v>
      </c>
      <c r="F56" s="199" t="s">
        <v>3561</v>
      </c>
      <c r="G56" s="198" t="s">
        <v>3682</v>
      </c>
    </row>
    <row r="57" spans="2:7">
      <c r="B57" s="1779" t="s">
        <v>3683</v>
      </c>
      <c r="C57" s="1780" t="s">
        <v>3684</v>
      </c>
      <c r="D57" s="1781" t="s">
        <v>3685</v>
      </c>
      <c r="E57" s="1782" t="s">
        <v>3469</v>
      </c>
      <c r="F57" s="199" t="s">
        <v>3470</v>
      </c>
      <c r="G57" s="198" t="s">
        <v>3686</v>
      </c>
    </row>
    <row r="58" spans="2:7">
      <c r="B58" s="1779" t="s">
        <v>3687</v>
      </c>
      <c r="C58" s="1780" t="s">
        <v>3688</v>
      </c>
      <c r="D58" s="1781" t="s">
        <v>3689</v>
      </c>
      <c r="E58" s="1782" t="s">
        <v>3490</v>
      </c>
      <c r="F58" s="199" t="s">
        <v>3491</v>
      </c>
      <c r="G58" s="200" t="s">
        <v>3690</v>
      </c>
    </row>
    <row r="59" spans="2:7">
      <c r="B59" s="1779" t="s">
        <v>3691</v>
      </c>
      <c r="C59" s="1780" t="s">
        <v>3692</v>
      </c>
      <c r="D59" s="1781" t="s">
        <v>3693</v>
      </c>
      <c r="E59" s="1782" t="s">
        <v>3469</v>
      </c>
      <c r="F59" s="1781" t="s">
        <v>3475</v>
      </c>
      <c r="G59" s="1785" t="s">
        <v>3694</v>
      </c>
    </row>
    <row r="60" spans="2:7">
      <c r="B60" s="1779" t="s">
        <v>3695</v>
      </c>
      <c r="C60" s="1780" t="s">
        <v>3696</v>
      </c>
      <c r="D60" s="1781" t="s">
        <v>3697</v>
      </c>
      <c r="E60" s="1782" t="s">
        <v>3484</v>
      </c>
      <c r="F60" s="1781" t="s">
        <v>3485</v>
      </c>
      <c r="G60" s="1785" t="s">
        <v>3698</v>
      </c>
    </row>
    <row r="61" spans="2:7">
      <c r="B61" s="1779" t="s">
        <v>3699</v>
      </c>
      <c r="C61" s="1780" t="s">
        <v>3700</v>
      </c>
      <c r="D61" s="1781" t="s">
        <v>3701</v>
      </c>
      <c r="E61" s="1782" t="s">
        <v>3490</v>
      </c>
      <c r="F61" s="1781" t="s">
        <v>3491</v>
      </c>
      <c r="G61" s="1785" t="s">
        <v>3702</v>
      </c>
    </row>
    <row r="62" spans="2:7">
      <c r="B62" s="1779" t="s">
        <v>3703</v>
      </c>
      <c r="C62" s="1780" t="s">
        <v>3704</v>
      </c>
      <c r="D62" s="1781" t="s">
        <v>3705</v>
      </c>
      <c r="E62" s="1782" t="s">
        <v>3490</v>
      </c>
      <c r="F62" s="1781" t="s">
        <v>3514</v>
      </c>
      <c r="G62" s="1785" t="s">
        <v>3706</v>
      </c>
    </row>
    <row r="63" spans="2:7">
      <c r="B63" s="1779" t="s">
        <v>3707</v>
      </c>
      <c r="C63" s="1780" t="s">
        <v>3708</v>
      </c>
      <c r="D63" s="1781" t="s">
        <v>3709</v>
      </c>
      <c r="E63" s="1782" t="s">
        <v>3484</v>
      </c>
      <c r="F63" s="1781" t="s">
        <v>3509</v>
      </c>
      <c r="G63" s="1785" t="s">
        <v>3710</v>
      </c>
    </row>
    <row r="64" spans="2:7">
      <c r="B64" s="1779" t="s">
        <v>3711</v>
      </c>
      <c r="C64" s="1780" t="s">
        <v>3712</v>
      </c>
      <c r="D64" s="1781" t="s">
        <v>3713</v>
      </c>
      <c r="E64" s="1782" t="s">
        <v>3490</v>
      </c>
      <c r="F64" s="1781" t="s">
        <v>3561</v>
      </c>
      <c r="G64" s="1785" t="s">
        <v>3714</v>
      </c>
    </row>
    <row r="65" spans="2:7">
      <c r="B65" s="1779" t="s">
        <v>3715</v>
      </c>
      <c r="C65" s="1780" t="s">
        <v>3716</v>
      </c>
      <c r="D65" s="1781" t="s">
        <v>3717</v>
      </c>
      <c r="E65" s="1782" t="s">
        <v>3463</v>
      </c>
      <c r="F65" s="1781" t="s">
        <v>3504</v>
      </c>
      <c r="G65" s="1785" t="s">
        <v>3718</v>
      </c>
    </row>
    <row r="66" spans="2:7">
      <c r="B66" s="1779" t="s">
        <v>3719</v>
      </c>
      <c r="C66" s="1780" t="s">
        <v>3720</v>
      </c>
      <c r="D66" s="1781" t="s">
        <v>3721</v>
      </c>
      <c r="E66" s="1782" t="s">
        <v>3484</v>
      </c>
      <c r="F66" s="1781" t="s">
        <v>3485</v>
      </c>
      <c r="G66" s="1785" t="s">
        <v>3722</v>
      </c>
    </row>
    <row r="67" spans="2:7">
      <c r="B67" s="1779" t="s">
        <v>3723</v>
      </c>
      <c r="C67" s="1780" t="s">
        <v>3724</v>
      </c>
      <c r="D67" s="1781" t="s">
        <v>3725</v>
      </c>
      <c r="E67" s="1782" t="s">
        <v>3469</v>
      </c>
      <c r="F67" s="1781" t="s">
        <v>3475</v>
      </c>
      <c r="G67" s="1785" t="s">
        <v>3726</v>
      </c>
    </row>
    <row r="68" spans="2:7">
      <c r="B68" s="1779" t="s">
        <v>3727</v>
      </c>
      <c r="C68" s="1780" t="s">
        <v>3728</v>
      </c>
      <c r="D68" s="1781" t="s">
        <v>3729</v>
      </c>
      <c r="E68" s="1782" t="s">
        <v>3469</v>
      </c>
      <c r="F68" s="1781" t="s">
        <v>3475</v>
      </c>
      <c r="G68" s="1785" t="s">
        <v>3730</v>
      </c>
    </row>
    <row r="69" spans="2:7">
      <c r="B69" s="1779" t="s">
        <v>3731</v>
      </c>
      <c r="C69" s="1780" t="s">
        <v>3732</v>
      </c>
      <c r="D69" s="1781" t="s">
        <v>3733</v>
      </c>
      <c r="E69" s="1782" t="s">
        <v>3469</v>
      </c>
      <c r="F69" s="1781" t="s">
        <v>3475</v>
      </c>
      <c r="G69" s="1785" t="s">
        <v>3734</v>
      </c>
    </row>
    <row r="70" spans="2:7">
      <c r="B70" s="1779" t="s">
        <v>3735</v>
      </c>
      <c r="C70" s="1780" t="s">
        <v>3736</v>
      </c>
      <c r="D70" s="1781" t="s">
        <v>3737</v>
      </c>
      <c r="E70" s="1782" t="s">
        <v>3490</v>
      </c>
      <c r="F70" s="1781" t="s">
        <v>3561</v>
      </c>
      <c r="G70" s="1785" t="s">
        <v>3738</v>
      </c>
    </row>
    <row r="71" spans="2:7">
      <c r="B71" s="1779" t="s">
        <v>3739</v>
      </c>
      <c r="C71" s="1780" t="s">
        <v>3740</v>
      </c>
      <c r="D71" s="1781" t="s">
        <v>3741</v>
      </c>
      <c r="E71" s="1782" t="s">
        <v>3469</v>
      </c>
      <c r="F71" s="1781" t="s">
        <v>3475</v>
      </c>
      <c r="G71" s="1785" t="s">
        <v>3742</v>
      </c>
    </row>
    <row r="72" spans="2:7">
      <c r="B72" s="1779" t="s">
        <v>3743</v>
      </c>
      <c r="C72" s="1780" t="s">
        <v>3744</v>
      </c>
      <c r="D72" s="1781" t="s">
        <v>3745</v>
      </c>
      <c r="E72" s="1782" t="s">
        <v>3484</v>
      </c>
      <c r="F72" s="1781" t="s">
        <v>3485</v>
      </c>
      <c r="G72" s="1785" t="s">
        <v>3746</v>
      </c>
    </row>
    <row r="73" spans="2:7">
      <c r="B73" s="1779" t="s">
        <v>3747</v>
      </c>
      <c r="C73" s="1780" t="s">
        <v>3748</v>
      </c>
      <c r="D73" s="1781" t="s">
        <v>3749</v>
      </c>
      <c r="E73" s="1782" t="s">
        <v>3463</v>
      </c>
      <c r="F73" s="1781" t="s">
        <v>3528</v>
      </c>
      <c r="G73" s="1785" t="s">
        <v>3750</v>
      </c>
    </row>
    <row r="74" spans="2:7">
      <c r="B74" s="1779" t="s">
        <v>3751</v>
      </c>
      <c r="C74" s="1780" t="s">
        <v>3752</v>
      </c>
      <c r="D74" s="1781" t="s">
        <v>3753</v>
      </c>
      <c r="E74" s="1782" t="s">
        <v>3463</v>
      </c>
      <c r="F74" s="1781" t="s">
        <v>3464</v>
      </c>
      <c r="G74" s="1785" t="s">
        <v>3754</v>
      </c>
    </row>
    <row r="75" spans="2:7">
      <c r="B75" s="1779" t="s">
        <v>3755</v>
      </c>
      <c r="C75" s="1780" t="s">
        <v>3756</v>
      </c>
      <c r="D75" s="1781" t="s">
        <v>3757</v>
      </c>
      <c r="E75" s="1782" t="s">
        <v>3469</v>
      </c>
      <c r="F75" s="1781" t="s">
        <v>3475</v>
      </c>
      <c r="G75" s="1785" t="s">
        <v>3758</v>
      </c>
    </row>
    <row r="76" spans="2:7">
      <c r="B76" s="1779" t="s">
        <v>3759</v>
      </c>
      <c r="C76" s="1780" t="s">
        <v>3760</v>
      </c>
      <c r="D76" s="1781" t="s">
        <v>3761</v>
      </c>
      <c r="E76" s="1782" t="s">
        <v>3469</v>
      </c>
      <c r="F76" s="1781" t="s">
        <v>3475</v>
      </c>
      <c r="G76" s="1785" t="s">
        <v>3762</v>
      </c>
    </row>
    <row r="77" spans="2:7">
      <c r="B77" s="1779" t="s">
        <v>3763</v>
      </c>
      <c r="C77" s="1780" t="s">
        <v>3764</v>
      </c>
      <c r="D77" s="1781" t="s">
        <v>3765</v>
      </c>
      <c r="E77" s="1782" t="s">
        <v>3484</v>
      </c>
      <c r="F77" s="1781" t="s">
        <v>3485</v>
      </c>
      <c r="G77" s="1785" t="s">
        <v>3766</v>
      </c>
    </row>
    <row r="78" spans="2:7">
      <c r="B78" s="1779" t="s">
        <v>3767</v>
      </c>
      <c r="C78" s="1780" t="s">
        <v>3768</v>
      </c>
      <c r="D78" s="1781" t="s">
        <v>3769</v>
      </c>
      <c r="E78" s="1782" t="s">
        <v>3484</v>
      </c>
      <c r="F78" s="1781" t="s">
        <v>3485</v>
      </c>
      <c r="G78" s="1785" t="s">
        <v>3770</v>
      </c>
    </row>
    <row r="79" spans="2:7">
      <c r="B79" s="1779" t="s">
        <v>3771</v>
      </c>
      <c r="C79" s="1780" t="s">
        <v>3772</v>
      </c>
      <c r="D79" s="1781" t="s">
        <v>3773</v>
      </c>
      <c r="E79" s="1782" t="s">
        <v>3463</v>
      </c>
      <c r="F79" s="1781" t="s">
        <v>3519</v>
      </c>
      <c r="G79" s="1785" t="s">
        <v>3774</v>
      </c>
    </row>
    <row r="80" spans="2:7">
      <c r="B80" s="1779" t="s">
        <v>3775</v>
      </c>
      <c r="C80" s="1780" t="s">
        <v>3776</v>
      </c>
      <c r="D80" s="1781" t="s">
        <v>3777</v>
      </c>
      <c r="E80" s="1782" t="s">
        <v>3484</v>
      </c>
      <c r="F80" s="1781" t="s">
        <v>3485</v>
      </c>
      <c r="G80" s="1785" t="s">
        <v>3778</v>
      </c>
    </row>
    <row r="81" spans="2:7">
      <c r="B81" s="1779" t="s">
        <v>3779</v>
      </c>
      <c r="C81" s="1780" t="s">
        <v>3780</v>
      </c>
      <c r="D81" s="1781" t="s">
        <v>3781</v>
      </c>
      <c r="E81" s="1782" t="s">
        <v>3469</v>
      </c>
      <c r="F81" s="1781" t="s">
        <v>3470</v>
      </c>
      <c r="G81" s="1785" t="s">
        <v>3782</v>
      </c>
    </row>
    <row r="82" spans="2:7">
      <c r="B82" s="1779" t="s">
        <v>3783</v>
      </c>
      <c r="C82" s="1780" t="s">
        <v>3784</v>
      </c>
      <c r="D82" s="1781" t="s">
        <v>3785</v>
      </c>
      <c r="E82" s="1782" t="s">
        <v>3490</v>
      </c>
      <c r="F82" s="1781" t="s">
        <v>3491</v>
      </c>
      <c r="G82" s="1785" t="s">
        <v>3786</v>
      </c>
    </row>
    <row r="83" spans="2:7">
      <c r="B83" s="1779" t="s">
        <v>3787</v>
      </c>
      <c r="C83" s="1780" t="s">
        <v>3788</v>
      </c>
      <c r="D83" s="1781" t="s">
        <v>3789</v>
      </c>
      <c r="E83" s="1782" t="s">
        <v>3469</v>
      </c>
      <c r="F83" s="1781" t="s">
        <v>3475</v>
      </c>
      <c r="G83" s="1785" t="s">
        <v>3790</v>
      </c>
    </row>
    <row r="84" spans="2:7">
      <c r="B84" s="1779" t="s">
        <v>3791</v>
      </c>
      <c r="C84" s="1780" t="s">
        <v>3792</v>
      </c>
      <c r="D84" s="1781" t="s">
        <v>3793</v>
      </c>
      <c r="E84" s="1782" t="s">
        <v>3469</v>
      </c>
      <c r="F84" s="1781" t="s">
        <v>3470</v>
      </c>
      <c r="G84" s="1785" t="s">
        <v>3794</v>
      </c>
    </row>
    <row r="85" spans="2:7">
      <c r="B85" s="1779" t="s">
        <v>3795</v>
      </c>
      <c r="C85" s="1780" t="s">
        <v>3796</v>
      </c>
      <c r="D85" s="1781" t="s">
        <v>3797</v>
      </c>
      <c r="E85" s="1782" t="s">
        <v>3490</v>
      </c>
      <c r="F85" s="1781" t="s">
        <v>3491</v>
      </c>
      <c r="G85" s="1785"/>
    </row>
    <row r="86" spans="2:7">
      <c r="B86" s="1779" t="s">
        <v>3798</v>
      </c>
      <c r="C86" s="1780" t="s">
        <v>3799</v>
      </c>
      <c r="D86" s="1781" t="s">
        <v>3800</v>
      </c>
      <c r="E86" s="1782" t="s">
        <v>3463</v>
      </c>
      <c r="F86" s="1781" t="s">
        <v>3528</v>
      </c>
      <c r="G86" s="1785" t="s">
        <v>3801</v>
      </c>
    </row>
    <row r="87" spans="2:7">
      <c r="B87" s="1779" t="s">
        <v>3802</v>
      </c>
      <c r="C87" s="1780" t="s">
        <v>3803</v>
      </c>
      <c r="D87" s="1781" t="s">
        <v>3804</v>
      </c>
      <c r="E87" s="1782" t="s">
        <v>3490</v>
      </c>
      <c r="F87" s="1781" t="s">
        <v>3561</v>
      </c>
      <c r="G87" s="1785" t="s">
        <v>3805</v>
      </c>
    </row>
    <row r="88" spans="2:7">
      <c r="B88" s="1779" t="s">
        <v>3806</v>
      </c>
      <c r="C88" s="1780" t="s">
        <v>3807</v>
      </c>
      <c r="D88" s="1781" t="s">
        <v>3808</v>
      </c>
      <c r="E88" s="1782" t="s">
        <v>3469</v>
      </c>
      <c r="F88" s="1781" t="s">
        <v>3470</v>
      </c>
      <c r="G88" s="1785" t="s">
        <v>3809</v>
      </c>
    </row>
    <row r="89" spans="2:7">
      <c r="B89" s="1779" t="s">
        <v>3810</v>
      </c>
      <c r="C89" s="1780" t="s">
        <v>3811</v>
      </c>
      <c r="D89" s="1781" t="s">
        <v>3812</v>
      </c>
      <c r="E89" s="1782" t="s">
        <v>3484</v>
      </c>
      <c r="F89" s="1781" t="s">
        <v>3485</v>
      </c>
      <c r="G89" s="1785" t="s">
        <v>3813</v>
      </c>
    </row>
    <row r="90" spans="2:7">
      <c r="B90" s="1779" t="s">
        <v>3814</v>
      </c>
      <c r="C90" s="1780" t="s">
        <v>3815</v>
      </c>
      <c r="D90" s="1781" t="s">
        <v>3816</v>
      </c>
      <c r="E90" s="1782" t="s">
        <v>3484</v>
      </c>
      <c r="F90" s="1781" t="s">
        <v>3485</v>
      </c>
      <c r="G90" s="1785" t="s">
        <v>3817</v>
      </c>
    </row>
    <row r="91" spans="2:7">
      <c r="B91" s="1779" t="s">
        <v>3818</v>
      </c>
      <c r="C91" s="1780" t="s">
        <v>3819</v>
      </c>
      <c r="D91" s="1781" t="s">
        <v>3820</v>
      </c>
      <c r="E91" s="1782" t="s">
        <v>3484</v>
      </c>
      <c r="F91" s="1781" t="s">
        <v>3485</v>
      </c>
      <c r="G91" s="1785" t="s">
        <v>3821</v>
      </c>
    </row>
    <row r="92" spans="2:7">
      <c r="B92" s="1779" t="s">
        <v>3822</v>
      </c>
      <c r="C92" s="1780" t="s">
        <v>3823</v>
      </c>
      <c r="D92" s="1781" t="s">
        <v>3824</v>
      </c>
      <c r="E92" s="1782" t="s">
        <v>3490</v>
      </c>
      <c r="F92" s="1781" t="s">
        <v>3514</v>
      </c>
      <c r="G92" s="1785" t="s">
        <v>3825</v>
      </c>
    </row>
    <row r="93" spans="2:7">
      <c r="B93" s="1779" t="s">
        <v>3826</v>
      </c>
      <c r="C93" s="1780" t="s">
        <v>3827</v>
      </c>
      <c r="D93" s="1781" t="s">
        <v>3828</v>
      </c>
      <c r="E93" s="1782" t="s">
        <v>3490</v>
      </c>
      <c r="F93" s="1781" t="s">
        <v>3514</v>
      </c>
      <c r="G93" s="1785" t="s">
        <v>3829</v>
      </c>
    </row>
    <row r="94" spans="2:7">
      <c r="B94" s="1779" t="s">
        <v>3830</v>
      </c>
      <c r="C94" s="1780" t="s">
        <v>3831</v>
      </c>
      <c r="D94" s="1781" t="s">
        <v>3832</v>
      </c>
      <c r="E94" s="1782" t="s">
        <v>3490</v>
      </c>
      <c r="F94" s="1781" t="s">
        <v>3491</v>
      </c>
      <c r="G94" s="1785" t="s">
        <v>3833</v>
      </c>
    </row>
    <row r="95" spans="2:7">
      <c r="B95" s="1779" t="s">
        <v>3834</v>
      </c>
      <c r="C95" s="1780" t="s">
        <v>3835</v>
      </c>
      <c r="D95" s="1781" t="s">
        <v>3836</v>
      </c>
      <c r="E95" s="1782" t="s">
        <v>3490</v>
      </c>
      <c r="F95" s="1781" t="s">
        <v>3561</v>
      </c>
      <c r="G95" s="1785" t="s">
        <v>3837</v>
      </c>
    </row>
    <row r="96" spans="2:7">
      <c r="B96" s="1779" t="s">
        <v>3838</v>
      </c>
      <c r="C96" s="1780" t="s">
        <v>3839</v>
      </c>
      <c r="D96" s="1781" t="s">
        <v>3840</v>
      </c>
      <c r="E96" s="1782" t="s">
        <v>3469</v>
      </c>
      <c r="F96" s="1781" t="s">
        <v>3475</v>
      </c>
      <c r="G96" s="1785" t="s">
        <v>3841</v>
      </c>
    </row>
    <row r="97" spans="2:7">
      <c r="B97" s="1779" t="s">
        <v>3842</v>
      </c>
      <c r="C97" s="1780" t="s">
        <v>3843</v>
      </c>
      <c r="D97" s="1781" t="s">
        <v>3844</v>
      </c>
      <c r="E97" s="1782" t="s">
        <v>3463</v>
      </c>
      <c r="F97" s="1781" t="s">
        <v>3464</v>
      </c>
      <c r="G97" s="1785" t="s">
        <v>3845</v>
      </c>
    </row>
    <row r="98" spans="2:7">
      <c r="B98" s="1779" t="s">
        <v>3846</v>
      </c>
      <c r="C98" s="1780" t="s">
        <v>3847</v>
      </c>
      <c r="D98" s="1781" t="s">
        <v>3848</v>
      </c>
      <c r="E98" s="1782" t="s">
        <v>3463</v>
      </c>
      <c r="F98" s="1781" t="s">
        <v>3464</v>
      </c>
      <c r="G98" s="1785" t="s">
        <v>3849</v>
      </c>
    </row>
    <row r="99" spans="2:7">
      <c r="B99" s="1779" t="s">
        <v>3850</v>
      </c>
      <c r="C99" s="1780" t="s">
        <v>3851</v>
      </c>
      <c r="D99" s="1781" t="s">
        <v>3852</v>
      </c>
      <c r="E99" s="1782" t="s">
        <v>3463</v>
      </c>
      <c r="F99" s="1781" t="s">
        <v>3504</v>
      </c>
      <c r="G99" s="1785" t="s">
        <v>3853</v>
      </c>
    </row>
    <row r="100" spans="2:7">
      <c r="B100" s="1779" t="s">
        <v>3854</v>
      </c>
      <c r="C100" s="1780" t="s">
        <v>3855</v>
      </c>
      <c r="D100" s="1781" t="s">
        <v>3856</v>
      </c>
      <c r="E100" s="1782" t="s">
        <v>3463</v>
      </c>
      <c r="F100" s="1781" t="s">
        <v>3504</v>
      </c>
      <c r="G100" s="1785" t="s">
        <v>3857</v>
      </c>
    </row>
    <row r="101" spans="2:7">
      <c r="B101" s="1779" t="s">
        <v>3858</v>
      </c>
      <c r="C101" s="1780" t="s">
        <v>3859</v>
      </c>
      <c r="D101" s="1781" t="s">
        <v>3860</v>
      </c>
      <c r="E101" s="1782" t="s">
        <v>3469</v>
      </c>
      <c r="F101" s="1781" t="s">
        <v>3475</v>
      </c>
      <c r="G101" s="1785" t="s">
        <v>3861</v>
      </c>
    </row>
    <row r="102" spans="2:7">
      <c r="B102" s="1779" t="s">
        <v>3862</v>
      </c>
      <c r="C102" s="1780" t="s">
        <v>3863</v>
      </c>
      <c r="D102" s="1781" t="s">
        <v>3864</v>
      </c>
      <c r="E102" s="1782" t="s">
        <v>3469</v>
      </c>
      <c r="F102" s="1781" t="s">
        <v>3470</v>
      </c>
      <c r="G102" s="1785" t="s">
        <v>3865</v>
      </c>
    </row>
    <row r="103" spans="2:7">
      <c r="B103" s="1779" t="s">
        <v>3866</v>
      </c>
      <c r="C103" s="1780" t="s">
        <v>3867</v>
      </c>
      <c r="D103" s="1781" t="s">
        <v>3868</v>
      </c>
      <c r="E103" s="1782" t="s">
        <v>3469</v>
      </c>
      <c r="F103" s="1781" t="s">
        <v>3470</v>
      </c>
      <c r="G103" s="1785" t="s">
        <v>3869</v>
      </c>
    </row>
    <row r="104" spans="2:7">
      <c r="B104" s="1779" t="s">
        <v>3870</v>
      </c>
      <c r="C104" s="1786" t="s">
        <v>3871</v>
      </c>
      <c r="D104" s="1787" t="s">
        <v>3872</v>
      </c>
      <c r="E104" s="1788" t="s">
        <v>3463</v>
      </c>
      <c r="F104" s="1787" t="s">
        <v>3528</v>
      </c>
      <c r="G104" s="1785" t="s">
        <v>3873</v>
      </c>
    </row>
    <row r="105" spans="2:7">
      <c r="B105" s="1779" t="s">
        <v>3874</v>
      </c>
      <c r="C105" s="1786" t="s">
        <v>3875</v>
      </c>
      <c r="D105" s="1787" t="s">
        <v>3876</v>
      </c>
      <c r="E105" s="1788" t="s">
        <v>3490</v>
      </c>
      <c r="F105" s="1787" t="s">
        <v>3491</v>
      </c>
      <c r="G105" s="1785" t="s">
        <v>3877</v>
      </c>
    </row>
    <row r="106" spans="2:7">
      <c r="B106" s="1779" t="s">
        <v>2785</v>
      </c>
      <c r="C106" s="1786" t="s">
        <v>3878</v>
      </c>
      <c r="D106" s="1787" t="s">
        <v>3879</v>
      </c>
      <c r="E106" s="1788" t="s">
        <v>3463</v>
      </c>
      <c r="F106" s="1787" t="s">
        <v>3528</v>
      </c>
      <c r="G106" s="1785" t="s">
        <v>3880</v>
      </c>
    </row>
    <row r="107" spans="2:7">
      <c r="B107" s="1779" t="s">
        <v>3881</v>
      </c>
      <c r="C107" s="1780" t="s">
        <v>3882</v>
      </c>
      <c r="D107" s="1781" t="s">
        <v>3883</v>
      </c>
      <c r="E107" s="1782" t="s">
        <v>3463</v>
      </c>
      <c r="F107" s="1781" t="s">
        <v>3528</v>
      </c>
      <c r="G107" s="1785" t="s">
        <v>3884</v>
      </c>
    </row>
    <row r="108" spans="2:7">
      <c r="B108" s="1779" t="s">
        <v>3885</v>
      </c>
      <c r="C108" s="1780" t="s">
        <v>3886</v>
      </c>
      <c r="D108" s="1781" t="s">
        <v>3887</v>
      </c>
      <c r="E108" s="1782" t="s">
        <v>3463</v>
      </c>
      <c r="F108" s="1781" t="s">
        <v>3528</v>
      </c>
      <c r="G108" s="1785" t="s">
        <v>3888</v>
      </c>
    </row>
    <row r="109" spans="2:7">
      <c r="B109" s="1779" t="s">
        <v>3889</v>
      </c>
      <c r="C109" s="1780" t="s">
        <v>3890</v>
      </c>
      <c r="D109" s="1781" t="s">
        <v>3891</v>
      </c>
      <c r="E109" s="1782" t="s">
        <v>3490</v>
      </c>
      <c r="F109" s="1781" t="s">
        <v>3514</v>
      </c>
      <c r="G109" s="1785" t="s">
        <v>3892</v>
      </c>
    </row>
    <row r="110" spans="2:7">
      <c r="B110" s="1779" t="s">
        <v>2502</v>
      </c>
      <c r="C110" s="1780" t="s">
        <v>3893</v>
      </c>
      <c r="D110" s="1781" t="s">
        <v>3894</v>
      </c>
      <c r="E110" s="1782" t="s">
        <v>3469</v>
      </c>
      <c r="F110" s="1781" t="s">
        <v>3470</v>
      </c>
      <c r="G110" s="1785" t="s">
        <v>3895</v>
      </c>
    </row>
    <row r="111" spans="2:7">
      <c r="B111" s="1779" t="s">
        <v>3896</v>
      </c>
      <c r="C111" s="1780" t="s">
        <v>3897</v>
      </c>
      <c r="D111" s="1781" t="s">
        <v>3898</v>
      </c>
      <c r="E111" s="1782" t="s">
        <v>3463</v>
      </c>
      <c r="F111" s="1781" t="s">
        <v>3528</v>
      </c>
      <c r="G111" s="1785" t="s">
        <v>3734</v>
      </c>
    </row>
    <row r="112" spans="2:7">
      <c r="B112" s="1779" t="s">
        <v>3899</v>
      </c>
      <c r="C112" s="1780" t="s">
        <v>3900</v>
      </c>
      <c r="D112" s="1781" t="s">
        <v>3901</v>
      </c>
      <c r="E112" s="1782" t="s">
        <v>3463</v>
      </c>
      <c r="F112" s="1781" t="s">
        <v>3528</v>
      </c>
      <c r="G112" s="1785" t="s">
        <v>3902</v>
      </c>
    </row>
    <row r="113" spans="2:7">
      <c r="B113" s="1779" t="s">
        <v>3903</v>
      </c>
      <c r="C113" s="1780" t="s">
        <v>3904</v>
      </c>
      <c r="D113" s="1781" t="s">
        <v>3905</v>
      </c>
      <c r="E113" s="1782" t="s">
        <v>3463</v>
      </c>
      <c r="F113" s="1781" t="s">
        <v>3528</v>
      </c>
      <c r="G113" s="1785" t="s">
        <v>3906</v>
      </c>
    </row>
    <row r="114" spans="2:7">
      <c r="B114" s="1779" t="s">
        <v>3907</v>
      </c>
      <c r="C114" s="1780" t="s">
        <v>3908</v>
      </c>
      <c r="D114" s="1781" t="s">
        <v>3909</v>
      </c>
      <c r="E114" s="1782" t="s">
        <v>3463</v>
      </c>
      <c r="F114" s="1781" t="s">
        <v>3528</v>
      </c>
      <c r="G114" s="1785" t="s">
        <v>3910</v>
      </c>
    </row>
    <row r="115" spans="2:7">
      <c r="B115" s="1779" t="s">
        <v>3911</v>
      </c>
      <c r="C115" s="1780" t="s">
        <v>3912</v>
      </c>
      <c r="D115" s="1781" t="s">
        <v>3913</v>
      </c>
      <c r="E115" s="1782" t="s">
        <v>3463</v>
      </c>
      <c r="F115" s="1781" t="s">
        <v>3528</v>
      </c>
      <c r="G115" s="1785" t="s">
        <v>3914</v>
      </c>
    </row>
    <row r="116" spans="2:7">
      <c r="B116" s="1779" t="s">
        <v>3915</v>
      </c>
      <c r="C116" s="1780" t="s">
        <v>3916</v>
      </c>
      <c r="D116" s="1781" t="s">
        <v>3917</v>
      </c>
      <c r="E116" s="1782" t="s">
        <v>3463</v>
      </c>
      <c r="F116" s="1781" t="s">
        <v>3528</v>
      </c>
      <c r="G116" s="1785" t="s">
        <v>3918</v>
      </c>
    </row>
    <row r="117" spans="2:7">
      <c r="B117" s="1779" t="s">
        <v>3919</v>
      </c>
      <c r="C117" s="1780" t="s">
        <v>3920</v>
      </c>
      <c r="D117" s="1781" t="s">
        <v>3921</v>
      </c>
      <c r="E117" s="1782" t="s">
        <v>3463</v>
      </c>
      <c r="F117" s="1781" t="s">
        <v>3528</v>
      </c>
      <c r="G117" s="1785" t="s">
        <v>3922</v>
      </c>
    </row>
    <row r="118" spans="2:7">
      <c r="B118" s="1779" t="s">
        <v>3923</v>
      </c>
      <c r="C118" s="1780" t="s">
        <v>3924</v>
      </c>
      <c r="D118" s="1781" t="s">
        <v>3925</v>
      </c>
      <c r="E118" s="1782" t="s">
        <v>3463</v>
      </c>
      <c r="F118" s="1781" t="s">
        <v>3528</v>
      </c>
      <c r="G118" s="1785"/>
    </row>
    <row r="119" spans="2:7">
      <c r="B119" s="1779" t="s">
        <v>3926</v>
      </c>
      <c r="C119" s="1780" t="s">
        <v>3927</v>
      </c>
      <c r="D119" s="1781" t="s">
        <v>3928</v>
      </c>
      <c r="E119" s="1782" t="s">
        <v>3490</v>
      </c>
      <c r="F119" s="1781" t="s">
        <v>3491</v>
      </c>
      <c r="G119" s="1785" t="s">
        <v>3929</v>
      </c>
    </row>
    <row r="120" spans="2:7">
      <c r="B120" s="1779" t="s">
        <v>3930</v>
      </c>
      <c r="C120" s="1780" t="s">
        <v>3931</v>
      </c>
      <c r="D120" s="1781" t="s">
        <v>3932</v>
      </c>
      <c r="E120" s="1782" t="s">
        <v>3490</v>
      </c>
      <c r="F120" s="1781" t="s">
        <v>3491</v>
      </c>
      <c r="G120" s="1785" t="s">
        <v>3933</v>
      </c>
    </row>
    <row r="121" spans="2:7">
      <c r="B121" s="1779" t="s">
        <v>3934</v>
      </c>
      <c r="C121" s="1780" t="s">
        <v>3935</v>
      </c>
      <c r="D121" s="1781" t="s">
        <v>3936</v>
      </c>
      <c r="E121" s="1782" t="s">
        <v>3490</v>
      </c>
      <c r="F121" s="1781" t="s">
        <v>3491</v>
      </c>
      <c r="G121" s="1785" t="s">
        <v>3937</v>
      </c>
    </row>
    <row r="122" spans="2:7">
      <c r="B122" s="1779" t="s">
        <v>3938</v>
      </c>
      <c r="C122" s="1780" t="s">
        <v>3939</v>
      </c>
      <c r="D122" s="1781" t="s">
        <v>3940</v>
      </c>
      <c r="E122" s="1782" t="s">
        <v>3463</v>
      </c>
      <c r="F122" s="1781" t="s">
        <v>3519</v>
      </c>
      <c r="G122" s="1785" t="s">
        <v>3941</v>
      </c>
    </row>
    <row r="123" spans="2:7">
      <c r="B123" s="1779" t="s">
        <v>3942</v>
      </c>
      <c r="C123" s="1780" t="s">
        <v>3943</v>
      </c>
      <c r="D123" s="1781" t="s">
        <v>3944</v>
      </c>
      <c r="E123" s="1782" t="s">
        <v>3469</v>
      </c>
      <c r="F123" s="1781" t="s">
        <v>3475</v>
      </c>
      <c r="G123" s="1785" t="s">
        <v>3945</v>
      </c>
    </row>
    <row r="124" spans="2:7">
      <c r="B124" s="1779" t="s">
        <v>3946</v>
      </c>
      <c r="C124" s="1780" t="s">
        <v>3947</v>
      </c>
      <c r="D124" s="1781" t="s">
        <v>3948</v>
      </c>
      <c r="E124" s="1782" t="s">
        <v>3484</v>
      </c>
      <c r="F124" s="1781" t="s">
        <v>3509</v>
      </c>
      <c r="G124" s="1785" t="s">
        <v>3949</v>
      </c>
    </row>
    <row r="125" spans="2:7">
      <c r="B125" s="1779" t="s">
        <v>3950</v>
      </c>
      <c r="C125" s="1780" t="s">
        <v>3951</v>
      </c>
      <c r="D125" s="1781" t="s">
        <v>3952</v>
      </c>
      <c r="E125" s="1782" t="s">
        <v>3490</v>
      </c>
      <c r="F125" s="1781" t="s">
        <v>3491</v>
      </c>
      <c r="G125" s="1785" t="s">
        <v>3953</v>
      </c>
    </row>
    <row r="126" spans="2:7">
      <c r="B126" s="1779" t="s">
        <v>3954</v>
      </c>
      <c r="C126" s="1780" t="s">
        <v>3955</v>
      </c>
      <c r="D126" s="1781" t="s">
        <v>3956</v>
      </c>
      <c r="E126" s="1782" t="s">
        <v>3463</v>
      </c>
      <c r="F126" s="1781" t="s">
        <v>3636</v>
      </c>
      <c r="G126" s="1785" t="s">
        <v>3957</v>
      </c>
    </row>
    <row r="127" spans="2:7">
      <c r="B127" s="1779" t="s">
        <v>3958</v>
      </c>
      <c r="C127" s="1780" t="s">
        <v>3959</v>
      </c>
      <c r="D127" s="1781" t="s">
        <v>3960</v>
      </c>
      <c r="E127" s="1782" t="s">
        <v>3469</v>
      </c>
      <c r="F127" s="1781" t="s">
        <v>3470</v>
      </c>
      <c r="G127" s="1785" t="s">
        <v>3961</v>
      </c>
    </row>
    <row r="128" spans="2:7">
      <c r="B128" s="1779" t="s">
        <v>3962</v>
      </c>
      <c r="C128" s="1780" t="s">
        <v>3963</v>
      </c>
      <c r="D128" s="1781" t="s">
        <v>3964</v>
      </c>
      <c r="E128" s="1782" t="s">
        <v>3463</v>
      </c>
      <c r="F128" s="1781" t="s">
        <v>3519</v>
      </c>
      <c r="G128" s="1785" t="s">
        <v>3965</v>
      </c>
    </row>
    <row r="129" spans="2:7">
      <c r="B129" s="1779" t="s">
        <v>3966</v>
      </c>
      <c r="C129" s="1780" t="s">
        <v>3967</v>
      </c>
      <c r="D129" s="1781" t="s">
        <v>3968</v>
      </c>
      <c r="E129" s="1782" t="s">
        <v>3463</v>
      </c>
      <c r="F129" s="1781" t="s">
        <v>3464</v>
      </c>
      <c r="G129" s="1785" t="s">
        <v>3969</v>
      </c>
    </row>
    <row r="130" spans="2:7">
      <c r="B130" s="1779" t="s">
        <v>3970</v>
      </c>
      <c r="C130" s="1780" t="s">
        <v>3971</v>
      </c>
      <c r="D130" s="1781" t="s">
        <v>3972</v>
      </c>
      <c r="E130" s="1782" t="s">
        <v>3484</v>
      </c>
      <c r="F130" s="1781" t="s">
        <v>3485</v>
      </c>
      <c r="G130" s="1785" t="s">
        <v>3973</v>
      </c>
    </row>
    <row r="131" spans="2:7">
      <c r="B131" s="1779" t="s">
        <v>3974</v>
      </c>
      <c r="C131" s="1780" t="s">
        <v>3975</v>
      </c>
      <c r="D131" s="1781" t="s">
        <v>3976</v>
      </c>
      <c r="E131" s="1782" t="s">
        <v>3463</v>
      </c>
      <c r="F131" s="1781" t="s">
        <v>3464</v>
      </c>
      <c r="G131" s="1785" t="s">
        <v>3977</v>
      </c>
    </row>
    <row r="132" spans="2:7">
      <c r="B132" s="1779" t="s">
        <v>3978</v>
      </c>
      <c r="C132" s="1780" t="s">
        <v>3979</v>
      </c>
      <c r="D132" s="1781" t="s">
        <v>3980</v>
      </c>
      <c r="E132" s="1782" t="s">
        <v>3463</v>
      </c>
      <c r="F132" s="1781" t="s">
        <v>3528</v>
      </c>
      <c r="G132" s="1785" t="s">
        <v>3981</v>
      </c>
    </row>
    <row r="133" spans="2:7">
      <c r="B133" s="1779" t="s">
        <v>3982</v>
      </c>
      <c r="C133" s="1780" t="s">
        <v>3983</v>
      </c>
      <c r="D133" s="1781" t="s">
        <v>3984</v>
      </c>
      <c r="E133" s="1782" t="s">
        <v>3469</v>
      </c>
      <c r="F133" s="1781" t="s">
        <v>3470</v>
      </c>
      <c r="G133" s="1785"/>
    </row>
    <row r="134" spans="2:7">
      <c r="B134" s="1779" t="s">
        <v>3985</v>
      </c>
      <c r="C134" s="1780" t="s">
        <v>3986</v>
      </c>
      <c r="D134" s="1781" t="s">
        <v>3987</v>
      </c>
      <c r="E134" s="1782" t="s">
        <v>3463</v>
      </c>
      <c r="F134" s="1781" t="s">
        <v>3504</v>
      </c>
      <c r="G134" s="1785" t="s">
        <v>3988</v>
      </c>
    </row>
    <row r="135" spans="2:7">
      <c r="B135" s="1779" t="s">
        <v>3989</v>
      </c>
      <c r="C135" s="1780" t="s">
        <v>3990</v>
      </c>
      <c r="D135" s="1781" t="s">
        <v>3991</v>
      </c>
      <c r="E135" s="1782" t="s">
        <v>3484</v>
      </c>
      <c r="F135" s="1781" t="s">
        <v>3485</v>
      </c>
      <c r="G135" s="1785" t="s">
        <v>3992</v>
      </c>
    </row>
    <row r="136" spans="2:7">
      <c r="B136" s="1779" t="s">
        <v>3993</v>
      </c>
      <c r="C136" s="1780" t="s">
        <v>3994</v>
      </c>
      <c r="D136" s="1781" t="s">
        <v>3995</v>
      </c>
      <c r="E136" s="1782" t="s">
        <v>3469</v>
      </c>
      <c r="F136" s="1781" t="s">
        <v>3475</v>
      </c>
      <c r="G136" s="1785" t="s">
        <v>3996</v>
      </c>
    </row>
    <row r="137" spans="2:7">
      <c r="B137" s="1779" t="s">
        <v>3997</v>
      </c>
      <c r="C137" s="1780" t="s">
        <v>3998</v>
      </c>
      <c r="D137" s="1781" t="s">
        <v>3999</v>
      </c>
      <c r="E137" s="1782" t="s">
        <v>3463</v>
      </c>
      <c r="F137" s="1781" t="s">
        <v>3519</v>
      </c>
      <c r="G137" s="1785" t="s">
        <v>4000</v>
      </c>
    </row>
    <row r="138" spans="2:7">
      <c r="B138" s="1779" t="s">
        <v>4001</v>
      </c>
      <c r="C138" s="1780" t="s">
        <v>4002</v>
      </c>
      <c r="D138" s="1781" t="s">
        <v>4003</v>
      </c>
      <c r="E138" s="1782" t="s">
        <v>3484</v>
      </c>
      <c r="F138" s="1781" t="s">
        <v>3485</v>
      </c>
      <c r="G138" s="1785" t="s">
        <v>4004</v>
      </c>
    </row>
    <row r="139" spans="2:7">
      <c r="B139" s="1779" t="s">
        <v>4005</v>
      </c>
      <c r="C139" s="1780" t="s">
        <v>4006</v>
      </c>
      <c r="D139" s="1781" t="s">
        <v>4007</v>
      </c>
      <c r="E139" s="1782" t="s">
        <v>3469</v>
      </c>
      <c r="F139" s="1781" t="s">
        <v>3470</v>
      </c>
      <c r="G139" s="1785" t="s">
        <v>4008</v>
      </c>
    </row>
    <row r="140" spans="2:7">
      <c r="B140" s="1779" t="s">
        <v>4009</v>
      </c>
      <c r="C140" s="1780" t="s">
        <v>4010</v>
      </c>
      <c r="D140" s="1781" t="s">
        <v>4011</v>
      </c>
      <c r="E140" s="1782" t="s">
        <v>3469</v>
      </c>
      <c r="F140" s="1781" t="s">
        <v>3475</v>
      </c>
      <c r="G140" s="1785" t="s">
        <v>4012</v>
      </c>
    </row>
    <row r="141" spans="2:7">
      <c r="B141" s="1779" t="s">
        <v>4013</v>
      </c>
      <c r="C141" s="1780" t="s">
        <v>4014</v>
      </c>
      <c r="D141" s="1781" t="s">
        <v>4015</v>
      </c>
      <c r="E141" s="1782" t="s">
        <v>3469</v>
      </c>
      <c r="F141" s="1781" t="s">
        <v>3475</v>
      </c>
      <c r="G141" s="1785" t="s">
        <v>4016</v>
      </c>
    </row>
    <row r="142" spans="2:7">
      <c r="B142" s="1779" t="s">
        <v>4017</v>
      </c>
      <c r="C142" s="1780" t="s">
        <v>4018</v>
      </c>
      <c r="D142" s="1781" t="s">
        <v>3135</v>
      </c>
      <c r="E142" s="1782" t="s">
        <v>3469</v>
      </c>
      <c r="F142" s="1781" t="s">
        <v>3470</v>
      </c>
      <c r="G142" s="1785" t="s">
        <v>4019</v>
      </c>
    </row>
    <row r="143" spans="2:7">
      <c r="B143" s="1779" t="s">
        <v>4020</v>
      </c>
      <c r="C143" s="1780" t="s">
        <v>4021</v>
      </c>
      <c r="D143" s="1781" t="s">
        <v>4022</v>
      </c>
      <c r="E143" s="1782" t="s">
        <v>3484</v>
      </c>
      <c r="F143" s="1781" t="s">
        <v>3485</v>
      </c>
      <c r="G143" s="1785" t="s">
        <v>4023</v>
      </c>
    </row>
    <row r="144" spans="2:7">
      <c r="B144" s="1779" t="s">
        <v>4024</v>
      </c>
      <c r="C144" s="1780" t="s">
        <v>4025</v>
      </c>
      <c r="D144" s="1781" t="s">
        <v>4026</v>
      </c>
      <c r="E144" s="1782" t="s">
        <v>3463</v>
      </c>
      <c r="F144" s="1781" t="s">
        <v>3464</v>
      </c>
      <c r="G144" s="1785" t="s">
        <v>4027</v>
      </c>
    </row>
    <row r="145" spans="2:7">
      <c r="B145" s="1779" t="s">
        <v>4028</v>
      </c>
      <c r="C145" s="1780" t="s">
        <v>4029</v>
      </c>
      <c r="D145" s="1781" t="s">
        <v>4030</v>
      </c>
      <c r="E145" s="1782" t="s">
        <v>3484</v>
      </c>
      <c r="F145" s="1781" t="s">
        <v>3485</v>
      </c>
      <c r="G145" s="1785" t="s">
        <v>4031</v>
      </c>
    </row>
    <row r="146" spans="2:7">
      <c r="B146" s="1779" t="s">
        <v>4032</v>
      </c>
      <c r="C146" s="1780" t="s">
        <v>4033</v>
      </c>
      <c r="D146" s="1781" t="s">
        <v>4034</v>
      </c>
      <c r="E146" s="1782" t="s">
        <v>3463</v>
      </c>
      <c r="F146" s="1781" t="s">
        <v>3464</v>
      </c>
      <c r="G146" s="1785" t="s">
        <v>4035</v>
      </c>
    </row>
    <row r="147" spans="2:7">
      <c r="B147" s="1779" t="s">
        <v>4036</v>
      </c>
      <c r="C147" s="1780" t="s">
        <v>4037</v>
      </c>
      <c r="D147" s="1781" t="s">
        <v>4038</v>
      </c>
      <c r="E147" s="1782" t="s">
        <v>3484</v>
      </c>
      <c r="F147" s="1781" t="s">
        <v>3485</v>
      </c>
      <c r="G147" s="1785" t="s">
        <v>4039</v>
      </c>
    </row>
    <row r="148" spans="2:7">
      <c r="B148" s="1779" t="s">
        <v>4040</v>
      </c>
      <c r="C148" s="1780" t="s">
        <v>4041</v>
      </c>
      <c r="D148" s="1781" t="s">
        <v>4042</v>
      </c>
      <c r="E148" s="1782" t="s">
        <v>3469</v>
      </c>
      <c r="F148" s="1781" t="s">
        <v>3475</v>
      </c>
      <c r="G148" s="1785" t="s">
        <v>4043</v>
      </c>
    </row>
    <row r="149" spans="2:7">
      <c r="B149" s="1779" t="s">
        <v>4044</v>
      </c>
      <c r="C149" s="1780" t="s">
        <v>4045</v>
      </c>
      <c r="D149" s="1781" t="s">
        <v>4046</v>
      </c>
      <c r="E149" s="1782" t="s">
        <v>3484</v>
      </c>
      <c r="F149" s="1781" t="s">
        <v>3509</v>
      </c>
      <c r="G149" s="1785" t="s">
        <v>4047</v>
      </c>
    </row>
    <row r="150" spans="2:7">
      <c r="B150" s="1779" t="s">
        <v>4048</v>
      </c>
      <c r="C150" s="1780" t="s">
        <v>4049</v>
      </c>
      <c r="D150" s="1781" t="s">
        <v>4050</v>
      </c>
      <c r="E150" s="1782" t="s">
        <v>3490</v>
      </c>
      <c r="F150" s="1781" t="s">
        <v>3491</v>
      </c>
      <c r="G150" s="1785" t="s">
        <v>4051</v>
      </c>
    </row>
    <row r="151" spans="2:7">
      <c r="B151" s="1779" t="s">
        <v>4052</v>
      </c>
      <c r="C151" s="1780" t="s">
        <v>4053</v>
      </c>
      <c r="D151" s="1781" t="s">
        <v>4054</v>
      </c>
      <c r="E151" s="1782" t="s">
        <v>3484</v>
      </c>
      <c r="F151" s="1781" t="s">
        <v>3485</v>
      </c>
      <c r="G151" s="1785" t="s">
        <v>4055</v>
      </c>
    </row>
    <row r="152" spans="2:7">
      <c r="B152" s="1779" t="s">
        <v>4056</v>
      </c>
      <c r="C152" s="1780" t="s">
        <v>4057</v>
      </c>
      <c r="D152" s="1781" t="s">
        <v>4058</v>
      </c>
      <c r="E152" s="1782" t="s">
        <v>3484</v>
      </c>
      <c r="F152" s="1781" t="s">
        <v>3485</v>
      </c>
      <c r="G152" s="1785" t="s">
        <v>4051</v>
      </c>
    </row>
    <row r="153" spans="2:7">
      <c r="B153" s="1779" t="s">
        <v>4059</v>
      </c>
      <c r="C153" s="1780" t="s">
        <v>4060</v>
      </c>
      <c r="D153" s="1781" t="s">
        <v>4061</v>
      </c>
      <c r="E153" s="1782" t="s">
        <v>3484</v>
      </c>
      <c r="F153" s="1781" t="s">
        <v>3485</v>
      </c>
      <c r="G153" s="1785"/>
    </row>
    <row r="154" spans="2:7">
      <c r="B154" s="1779" t="s">
        <v>4062</v>
      </c>
      <c r="C154" s="1780" t="s">
        <v>4063</v>
      </c>
      <c r="D154" s="1781" t="s">
        <v>4064</v>
      </c>
      <c r="E154" s="1782" t="s">
        <v>3490</v>
      </c>
      <c r="F154" s="1781" t="s">
        <v>3561</v>
      </c>
      <c r="G154" s="1785" t="s">
        <v>4065</v>
      </c>
    </row>
    <row r="155" spans="2:7">
      <c r="B155" s="1779" t="s">
        <v>4066</v>
      </c>
      <c r="C155" s="1780" t="s">
        <v>4067</v>
      </c>
      <c r="D155" s="1781" t="s">
        <v>4068</v>
      </c>
      <c r="E155" s="1782" t="s">
        <v>3463</v>
      </c>
      <c r="F155" s="1781" t="s">
        <v>3528</v>
      </c>
      <c r="G155" s="1785" t="s">
        <v>4069</v>
      </c>
    </row>
    <row r="156" spans="2:7">
      <c r="B156" s="1779" t="s">
        <v>4070</v>
      </c>
      <c r="C156" s="1780" t="s">
        <v>4071</v>
      </c>
      <c r="D156" s="1781" t="s">
        <v>4072</v>
      </c>
      <c r="E156" s="1782" t="s">
        <v>3469</v>
      </c>
      <c r="F156" s="1781" t="s">
        <v>3470</v>
      </c>
      <c r="G156" s="1785" t="s">
        <v>4073</v>
      </c>
    </row>
    <row r="157" spans="2:7">
      <c r="B157" s="1779" t="s">
        <v>4074</v>
      </c>
      <c r="C157" s="1780" t="s">
        <v>4075</v>
      </c>
      <c r="D157" s="1781" t="s">
        <v>4076</v>
      </c>
      <c r="E157" s="1782" t="s">
        <v>3469</v>
      </c>
      <c r="F157" s="1781" t="s">
        <v>3470</v>
      </c>
      <c r="G157" s="1785" t="s">
        <v>4077</v>
      </c>
    </row>
    <row r="158" spans="2:7">
      <c r="B158" s="1779" t="s">
        <v>4078</v>
      </c>
      <c r="C158" s="1780" t="s">
        <v>4079</v>
      </c>
      <c r="D158" s="1781" t="s">
        <v>4080</v>
      </c>
      <c r="E158" s="1782" t="s">
        <v>3463</v>
      </c>
      <c r="F158" s="1781" t="s">
        <v>3636</v>
      </c>
      <c r="G158" s="1785" t="s">
        <v>4081</v>
      </c>
    </row>
    <row r="159" spans="2:7">
      <c r="B159" s="1779" t="s">
        <v>4082</v>
      </c>
      <c r="C159" s="1780" t="s">
        <v>4083</v>
      </c>
      <c r="D159" s="1781" t="s">
        <v>4084</v>
      </c>
      <c r="E159" s="1782" t="s">
        <v>3469</v>
      </c>
      <c r="F159" s="1781" t="s">
        <v>3470</v>
      </c>
      <c r="G159" s="1785" t="s">
        <v>4077</v>
      </c>
    </row>
    <row r="160" spans="2:7">
      <c r="B160" s="1779" t="s">
        <v>4085</v>
      </c>
      <c r="C160" s="1780" t="s">
        <v>4086</v>
      </c>
      <c r="D160" s="1781" t="s">
        <v>4087</v>
      </c>
      <c r="E160" s="1782" t="s">
        <v>3490</v>
      </c>
      <c r="F160" s="1781" t="s">
        <v>3491</v>
      </c>
      <c r="G160" s="1785" t="s">
        <v>4088</v>
      </c>
    </row>
    <row r="161" spans="2:7">
      <c r="B161" s="1779" t="s">
        <v>4089</v>
      </c>
      <c r="C161" s="1780" t="s">
        <v>4090</v>
      </c>
      <c r="D161" s="1781" t="s">
        <v>4091</v>
      </c>
      <c r="E161" s="1782" t="s">
        <v>3484</v>
      </c>
      <c r="F161" s="1781" t="s">
        <v>3485</v>
      </c>
      <c r="G161" s="1785" t="s">
        <v>4092</v>
      </c>
    </row>
    <row r="162" spans="2:7">
      <c r="B162" s="1779" t="s">
        <v>4093</v>
      </c>
      <c r="C162" s="1786" t="s">
        <v>4094</v>
      </c>
      <c r="D162" s="1787" t="s">
        <v>4095</v>
      </c>
      <c r="E162" s="1788" t="s">
        <v>3463</v>
      </c>
      <c r="F162" s="1787" t="s">
        <v>3464</v>
      </c>
      <c r="G162" s="1785" t="s">
        <v>4077</v>
      </c>
    </row>
    <row r="163" spans="2:7">
      <c r="B163" s="1779" t="s">
        <v>4096</v>
      </c>
      <c r="C163" s="1780" t="s">
        <v>4097</v>
      </c>
      <c r="D163" s="1781" t="s">
        <v>4098</v>
      </c>
      <c r="E163" s="1782" t="s">
        <v>3484</v>
      </c>
      <c r="F163" s="1781" t="s">
        <v>3485</v>
      </c>
      <c r="G163" s="1785" t="s">
        <v>4099</v>
      </c>
    </row>
    <row r="164" spans="2:7">
      <c r="B164" s="1779" t="s">
        <v>4100</v>
      </c>
      <c r="C164" s="1780" t="s">
        <v>4101</v>
      </c>
      <c r="D164" s="1781" t="s">
        <v>4102</v>
      </c>
      <c r="E164" s="1782" t="s">
        <v>3463</v>
      </c>
      <c r="F164" s="1781" t="s">
        <v>3528</v>
      </c>
      <c r="G164" s="1785" t="s">
        <v>4103</v>
      </c>
    </row>
    <row r="165" spans="2:7">
      <c r="B165" s="1779" t="s">
        <v>4104</v>
      </c>
      <c r="C165" s="1780" t="s">
        <v>4105</v>
      </c>
      <c r="D165" s="1781" t="s">
        <v>4106</v>
      </c>
      <c r="E165" s="1782" t="s">
        <v>3463</v>
      </c>
      <c r="F165" s="1781" t="s">
        <v>3464</v>
      </c>
      <c r="G165" s="1785" t="s">
        <v>4107</v>
      </c>
    </row>
    <row r="166" spans="2:7">
      <c r="B166" s="1779" t="s">
        <v>4108</v>
      </c>
      <c r="C166" s="1786" t="s">
        <v>4109</v>
      </c>
      <c r="D166" s="1787" t="s">
        <v>4110</v>
      </c>
      <c r="E166" s="1788" t="s">
        <v>3490</v>
      </c>
      <c r="F166" s="1787" t="s">
        <v>3561</v>
      </c>
      <c r="G166" s="1785" t="s">
        <v>4111</v>
      </c>
    </row>
    <row r="167" spans="2:7">
      <c r="B167" s="1779" t="s">
        <v>4112</v>
      </c>
      <c r="C167" s="1780" t="s">
        <v>4113</v>
      </c>
      <c r="D167" s="1781" t="s">
        <v>4114</v>
      </c>
      <c r="E167" s="1782" t="s">
        <v>3484</v>
      </c>
      <c r="F167" s="1781" t="s">
        <v>3485</v>
      </c>
      <c r="G167" s="1785" t="s">
        <v>4115</v>
      </c>
    </row>
    <row r="168" spans="2:7">
      <c r="B168" s="1779" t="s">
        <v>4116</v>
      </c>
      <c r="C168" s="1780" t="s">
        <v>4117</v>
      </c>
      <c r="D168" s="1781" t="s">
        <v>4118</v>
      </c>
      <c r="E168" s="1782" t="s">
        <v>3484</v>
      </c>
      <c r="F168" s="1781" t="s">
        <v>3485</v>
      </c>
      <c r="G168" s="1785" t="s">
        <v>4119</v>
      </c>
    </row>
    <row r="169" spans="2:7">
      <c r="B169" s="1779" t="s">
        <v>4120</v>
      </c>
      <c r="C169" s="1780" t="s">
        <v>4121</v>
      </c>
      <c r="D169" s="1781" t="s">
        <v>4122</v>
      </c>
      <c r="E169" s="1782" t="s">
        <v>3463</v>
      </c>
      <c r="F169" s="1781" t="s">
        <v>3528</v>
      </c>
      <c r="G169" s="1785" t="s">
        <v>4123</v>
      </c>
    </row>
    <row r="170" spans="2:7">
      <c r="B170" s="1779" t="s">
        <v>4124</v>
      </c>
      <c r="C170" s="1780" t="s">
        <v>4125</v>
      </c>
      <c r="D170" s="1781" t="s">
        <v>4126</v>
      </c>
      <c r="E170" s="1782" t="s">
        <v>3469</v>
      </c>
      <c r="F170" s="1781" t="s">
        <v>3470</v>
      </c>
      <c r="G170" s="1785" t="s">
        <v>2488</v>
      </c>
    </row>
    <row r="171" spans="2:7">
      <c r="B171" s="1779" t="s">
        <v>4127</v>
      </c>
      <c r="C171" s="1780" t="s">
        <v>4128</v>
      </c>
      <c r="D171" s="1781" t="s">
        <v>4129</v>
      </c>
      <c r="E171" s="1782" t="s">
        <v>3463</v>
      </c>
      <c r="F171" s="1781" t="s">
        <v>3528</v>
      </c>
      <c r="G171" s="1785" t="s">
        <v>4130</v>
      </c>
    </row>
    <row r="172" spans="2:7">
      <c r="B172" s="1779" t="s">
        <v>4131</v>
      </c>
      <c r="C172" s="1780" t="s">
        <v>4132</v>
      </c>
      <c r="D172" s="1781" t="s">
        <v>4133</v>
      </c>
      <c r="E172" s="1782" t="s">
        <v>3463</v>
      </c>
      <c r="F172" s="1781" t="s">
        <v>3528</v>
      </c>
      <c r="G172" s="1785" t="s">
        <v>4134</v>
      </c>
    </row>
    <row r="173" spans="2:7">
      <c r="B173" s="1779" t="s">
        <v>4135</v>
      </c>
      <c r="C173" s="1780" t="s">
        <v>4136</v>
      </c>
      <c r="D173" s="1781" t="s">
        <v>4137</v>
      </c>
      <c r="E173" s="1782" t="s">
        <v>3463</v>
      </c>
      <c r="F173" s="1781" t="s">
        <v>3504</v>
      </c>
      <c r="G173" s="1785" t="s">
        <v>4138</v>
      </c>
    </row>
    <row r="174" spans="2:7">
      <c r="B174" s="1779" t="s">
        <v>4139</v>
      </c>
      <c r="C174" s="1780" t="s">
        <v>4140</v>
      </c>
      <c r="D174" s="1781" t="s">
        <v>4141</v>
      </c>
      <c r="E174" s="1782" t="s">
        <v>3469</v>
      </c>
      <c r="F174" s="1781" t="s">
        <v>3475</v>
      </c>
      <c r="G174" s="1785" t="s">
        <v>4142</v>
      </c>
    </row>
    <row r="175" spans="2:7">
      <c r="B175" s="1779" t="s">
        <v>4143</v>
      </c>
      <c r="C175" s="1780" t="s">
        <v>4144</v>
      </c>
      <c r="D175" s="1781" t="s">
        <v>4145</v>
      </c>
      <c r="E175" s="1782" t="s">
        <v>3463</v>
      </c>
      <c r="F175" s="1781" t="s">
        <v>3464</v>
      </c>
      <c r="G175" s="1785" t="s">
        <v>4146</v>
      </c>
    </row>
    <row r="176" spans="2:7">
      <c r="B176" s="1779" t="s">
        <v>4147</v>
      </c>
      <c r="C176" s="1780" t="s">
        <v>4148</v>
      </c>
      <c r="D176" s="1781" t="s">
        <v>4149</v>
      </c>
      <c r="E176" s="1782" t="s">
        <v>3463</v>
      </c>
      <c r="F176" s="1781" t="s">
        <v>3528</v>
      </c>
      <c r="G176" s="1785" t="s">
        <v>4150</v>
      </c>
    </row>
    <row r="177" spans="2:7">
      <c r="B177" s="1779" t="s">
        <v>4151</v>
      </c>
      <c r="C177" s="1780" t="s">
        <v>4152</v>
      </c>
      <c r="D177" s="1781" t="s">
        <v>4153</v>
      </c>
      <c r="E177" s="1782" t="s">
        <v>3490</v>
      </c>
      <c r="F177" s="1781" t="s">
        <v>3561</v>
      </c>
      <c r="G177" s="1785" t="s">
        <v>4154</v>
      </c>
    </row>
    <row r="178" spans="2:7">
      <c r="B178" s="1779" t="s">
        <v>4155</v>
      </c>
      <c r="C178" s="1780" t="s">
        <v>4156</v>
      </c>
      <c r="D178" s="1781" t="s">
        <v>4157</v>
      </c>
      <c r="E178" s="1782" t="s">
        <v>3463</v>
      </c>
      <c r="F178" s="1781" t="s">
        <v>3528</v>
      </c>
      <c r="G178" s="1785" t="s">
        <v>4158</v>
      </c>
    </row>
    <row r="179" spans="2:7">
      <c r="B179" s="1779" t="s">
        <v>4159</v>
      </c>
      <c r="C179" s="1780" t="s">
        <v>4160</v>
      </c>
      <c r="D179" s="1781" t="s">
        <v>4161</v>
      </c>
      <c r="E179" s="1782" t="s">
        <v>3490</v>
      </c>
      <c r="F179" s="1781" t="s">
        <v>3514</v>
      </c>
      <c r="G179" s="1785" t="s">
        <v>4162</v>
      </c>
    </row>
    <row r="180" spans="2:7">
      <c r="B180" s="1779" t="s">
        <v>4163</v>
      </c>
      <c r="C180" s="1780" t="s">
        <v>2176</v>
      </c>
      <c r="D180" s="1781" t="s">
        <v>4164</v>
      </c>
      <c r="E180" s="1782" t="s">
        <v>3490</v>
      </c>
      <c r="F180" s="1781" t="s">
        <v>3514</v>
      </c>
      <c r="G180" s="1785" t="s">
        <v>4165</v>
      </c>
    </row>
    <row r="181" spans="2:7">
      <c r="B181" s="1779" t="s">
        <v>4166</v>
      </c>
      <c r="C181" s="1780" t="s">
        <v>4167</v>
      </c>
      <c r="D181" s="1781" t="s">
        <v>4168</v>
      </c>
      <c r="E181" s="1782" t="s">
        <v>3463</v>
      </c>
      <c r="F181" s="1781" t="s">
        <v>3528</v>
      </c>
      <c r="G181" s="1785" t="s">
        <v>4169</v>
      </c>
    </row>
    <row r="182" spans="2:7">
      <c r="B182" s="1779" t="s">
        <v>4170</v>
      </c>
      <c r="C182" s="1780" t="s">
        <v>4171</v>
      </c>
      <c r="D182" s="1781" t="s">
        <v>4172</v>
      </c>
      <c r="E182" s="1782" t="s">
        <v>3469</v>
      </c>
      <c r="F182" s="1781" t="s">
        <v>3475</v>
      </c>
      <c r="G182" s="1785" t="s">
        <v>4173</v>
      </c>
    </row>
    <row r="183" spans="2:7">
      <c r="B183" s="1779" t="s">
        <v>4174</v>
      </c>
      <c r="C183" s="1780" t="s">
        <v>4175</v>
      </c>
      <c r="D183" s="1781" t="s">
        <v>4176</v>
      </c>
      <c r="E183" s="1782" t="s">
        <v>3469</v>
      </c>
      <c r="F183" s="1781" t="s">
        <v>3475</v>
      </c>
      <c r="G183" s="1785" t="s">
        <v>4177</v>
      </c>
    </row>
    <row r="184" spans="2:7">
      <c r="B184" s="1779" t="s">
        <v>4178</v>
      </c>
      <c r="C184" s="1780" t="s">
        <v>4179</v>
      </c>
      <c r="D184" s="1781" t="s">
        <v>4180</v>
      </c>
      <c r="E184" s="1782" t="s">
        <v>3490</v>
      </c>
      <c r="F184" s="1781" t="s">
        <v>3491</v>
      </c>
      <c r="G184" s="1785" t="s">
        <v>4181</v>
      </c>
    </row>
    <row r="185" spans="2:7">
      <c r="B185" s="1779" t="s">
        <v>4182</v>
      </c>
      <c r="C185" s="1780" t="s">
        <v>4183</v>
      </c>
      <c r="D185" s="1781" t="s">
        <v>4184</v>
      </c>
      <c r="E185" s="1782" t="s">
        <v>3463</v>
      </c>
      <c r="F185" s="1781" t="s">
        <v>3504</v>
      </c>
      <c r="G185" s="1785" t="s">
        <v>4181</v>
      </c>
    </row>
    <row r="186" spans="2:7">
      <c r="B186" s="1779" t="s">
        <v>4185</v>
      </c>
      <c r="C186" s="1780" t="s">
        <v>4186</v>
      </c>
      <c r="D186" s="1781" t="s">
        <v>4187</v>
      </c>
      <c r="E186" s="1782" t="s">
        <v>3469</v>
      </c>
      <c r="F186" s="1781" t="s">
        <v>3475</v>
      </c>
      <c r="G186" s="1785" t="s">
        <v>4188</v>
      </c>
    </row>
    <row r="187" spans="2:7">
      <c r="B187" s="1779" t="s">
        <v>4189</v>
      </c>
      <c r="C187" s="1780" t="s">
        <v>4190</v>
      </c>
      <c r="D187" s="1781" t="s">
        <v>4191</v>
      </c>
      <c r="E187" s="1782" t="s">
        <v>3484</v>
      </c>
      <c r="F187" s="1781" t="s">
        <v>3485</v>
      </c>
      <c r="G187" s="1785" t="s">
        <v>4192</v>
      </c>
    </row>
    <row r="188" spans="2:7">
      <c r="B188" s="1779" t="s">
        <v>4193</v>
      </c>
      <c r="C188" s="1780" t="s">
        <v>4194</v>
      </c>
      <c r="D188" s="1781" t="s">
        <v>4195</v>
      </c>
      <c r="E188" s="1782" t="s">
        <v>3469</v>
      </c>
      <c r="F188" s="1781" t="s">
        <v>3475</v>
      </c>
      <c r="G188" s="1785" t="s">
        <v>4196</v>
      </c>
    </row>
    <row r="189" spans="2:7">
      <c r="B189" s="1779" t="s">
        <v>4197</v>
      </c>
      <c r="C189" s="1780" t="s">
        <v>4198</v>
      </c>
      <c r="D189" s="1781" t="s">
        <v>4199</v>
      </c>
      <c r="E189" s="1782" t="s">
        <v>3463</v>
      </c>
      <c r="F189" s="1781" t="s">
        <v>3464</v>
      </c>
      <c r="G189" s="1785" t="s">
        <v>4200</v>
      </c>
    </row>
    <row r="190" spans="2:7">
      <c r="B190" s="1779" t="s">
        <v>4201</v>
      </c>
      <c r="C190" s="1780" t="s">
        <v>4202</v>
      </c>
      <c r="D190" s="1781" t="s">
        <v>4203</v>
      </c>
      <c r="E190" s="1782" t="s">
        <v>3490</v>
      </c>
      <c r="F190" s="1781" t="s">
        <v>3491</v>
      </c>
      <c r="G190" s="1785" t="s">
        <v>4204</v>
      </c>
    </row>
    <row r="191" spans="2:7">
      <c r="B191" s="1779" t="s">
        <v>4205</v>
      </c>
      <c r="C191" s="1780" t="s">
        <v>4206</v>
      </c>
      <c r="D191" s="1781" t="s">
        <v>4207</v>
      </c>
      <c r="E191" s="1782" t="s">
        <v>3484</v>
      </c>
      <c r="F191" s="1781" t="s">
        <v>3485</v>
      </c>
      <c r="G191" s="1785"/>
    </row>
    <row r="192" spans="2:7">
      <c r="B192" s="1779" t="s">
        <v>4208</v>
      </c>
      <c r="C192" s="1780" t="s">
        <v>4209</v>
      </c>
      <c r="D192" s="1781" t="s">
        <v>4210</v>
      </c>
      <c r="E192" s="1782" t="s">
        <v>3463</v>
      </c>
      <c r="F192" s="1781" t="s">
        <v>3519</v>
      </c>
      <c r="G192" s="1785" t="s">
        <v>4211</v>
      </c>
    </row>
    <row r="193" spans="2:7">
      <c r="B193" s="1779" t="s">
        <v>4212</v>
      </c>
      <c r="C193" s="1780" t="s">
        <v>4213</v>
      </c>
      <c r="D193" s="1781" t="s">
        <v>4214</v>
      </c>
      <c r="E193" s="1782" t="s">
        <v>3484</v>
      </c>
      <c r="F193" s="1781" t="s">
        <v>3485</v>
      </c>
      <c r="G193" s="1785" t="s">
        <v>4215</v>
      </c>
    </row>
    <row r="194" spans="2:7">
      <c r="B194" s="1779" t="s">
        <v>4216</v>
      </c>
      <c r="C194" s="1780" t="s">
        <v>4217</v>
      </c>
      <c r="D194" s="1781" t="s">
        <v>4218</v>
      </c>
      <c r="E194" s="1782" t="s">
        <v>3469</v>
      </c>
      <c r="F194" s="1781" t="s">
        <v>3475</v>
      </c>
      <c r="G194" s="1785" t="s">
        <v>4219</v>
      </c>
    </row>
    <row r="195" spans="2:7">
      <c r="B195" s="1779" t="s">
        <v>4220</v>
      </c>
      <c r="C195" s="1780" t="s">
        <v>4221</v>
      </c>
      <c r="D195" s="1781" t="s">
        <v>4222</v>
      </c>
      <c r="E195" s="1782" t="s">
        <v>3469</v>
      </c>
      <c r="F195" s="1781" t="s">
        <v>3470</v>
      </c>
      <c r="G195" s="1785" t="s">
        <v>4223</v>
      </c>
    </row>
    <row r="196" spans="2:7">
      <c r="B196" s="1779" t="s">
        <v>4224</v>
      </c>
      <c r="C196" s="1780" t="s">
        <v>4225</v>
      </c>
      <c r="D196" s="1781" t="s">
        <v>4226</v>
      </c>
      <c r="E196" s="1782" t="s">
        <v>3484</v>
      </c>
      <c r="F196" s="1781" t="s">
        <v>3485</v>
      </c>
      <c r="G196" s="1785">
        <v>0</v>
      </c>
    </row>
    <row r="197" spans="2:7">
      <c r="B197" s="1779" t="s">
        <v>4227</v>
      </c>
      <c r="C197" s="1780" t="s">
        <v>4228</v>
      </c>
      <c r="D197" s="1781" t="s">
        <v>4229</v>
      </c>
      <c r="E197" s="1782" t="s">
        <v>3490</v>
      </c>
      <c r="F197" s="1781" t="s">
        <v>3491</v>
      </c>
      <c r="G197" s="1785" t="s">
        <v>4230</v>
      </c>
    </row>
    <row r="198" spans="2:7">
      <c r="B198" s="1779" t="s">
        <v>4231</v>
      </c>
      <c r="C198" s="1780" t="s">
        <v>4232</v>
      </c>
      <c r="D198" s="1781" t="s">
        <v>4233</v>
      </c>
      <c r="E198" s="1782" t="s">
        <v>3463</v>
      </c>
      <c r="F198" s="1781" t="s">
        <v>3528</v>
      </c>
      <c r="G198" s="1785" t="s">
        <v>4234</v>
      </c>
    </row>
    <row r="199" spans="2:7">
      <c r="B199" s="1779" t="s">
        <v>4235</v>
      </c>
      <c r="C199" s="1780" t="s">
        <v>4236</v>
      </c>
      <c r="D199" s="1781" t="s">
        <v>4237</v>
      </c>
      <c r="E199" s="1782" t="s">
        <v>3463</v>
      </c>
      <c r="F199" s="1781" t="s">
        <v>3528</v>
      </c>
      <c r="G199" s="1785" t="s">
        <v>4238</v>
      </c>
    </row>
    <row r="200" spans="2:7">
      <c r="B200" s="1779" t="s">
        <v>4239</v>
      </c>
      <c r="C200" s="1780" t="s">
        <v>4240</v>
      </c>
      <c r="D200" s="1781" t="s">
        <v>4241</v>
      </c>
      <c r="E200" s="1782" t="s">
        <v>3469</v>
      </c>
      <c r="F200" s="1781" t="s">
        <v>3470</v>
      </c>
      <c r="G200" s="1785" t="s">
        <v>4242</v>
      </c>
    </row>
    <row r="201" spans="2:7">
      <c r="B201" s="1779" t="s">
        <v>4243</v>
      </c>
      <c r="C201" s="1780" t="s">
        <v>4244</v>
      </c>
      <c r="D201" s="1781" t="s">
        <v>4245</v>
      </c>
      <c r="E201" s="1782" t="s">
        <v>3490</v>
      </c>
      <c r="F201" s="1781" t="s">
        <v>3491</v>
      </c>
      <c r="G201" s="1785"/>
    </row>
    <row r="202" spans="2:7">
      <c r="B202" s="1779" t="s">
        <v>4246</v>
      </c>
      <c r="C202" s="1780" t="s">
        <v>4247</v>
      </c>
      <c r="D202" s="1781" t="s">
        <v>4248</v>
      </c>
      <c r="E202" s="1782" t="s">
        <v>3490</v>
      </c>
      <c r="F202" s="1781" t="s">
        <v>3491</v>
      </c>
      <c r="G202" s="1785" t="s">
        <v>4249</v>
      </c>
    </row>
    <row r="203" spans="2:7">
      <c r="B203" s="1779" t="s">
        <v>4250</v>
      </c>
      <c r="C203" s="1780" t="s">
        <v>4251</v>
      </c>
      <c r="D203" s="1781" t="s">
        <v>4252</v>
      </c>
      <c r="E203" s="1782" t="s">
        <v>3484</v>
      </c>
      <c r="F203" s="1781" t="s">
        <v>3485</v>
      </c>
      <c r="G203" s="1785" t="s">
        <v>4253</v>
      </c>
    </row>
    <row r="204" spans="2:7">
      <c r="B204" s="1779" t="s">
        <v>4254</v>
      </c>
      <c r="C204" s="1780" t="s">
        <v>4255</v>
      </c>
      <c r="D204" s="1781" t="s">
        <v>4256</v>
      </c>
      <c r="E204" s="1782" t="s">
        <v>3490</v>
      </c>
      <c r="F204" s="1781" t="s">
        <v>3491</v>
      </c>
      <c r="G204" s="1785" t="s">
        <v>4257</v>
      </c>
    </row>
    <row r="205" spans="2:7">
      <c r="B205" s="1779" t="s">
        <v>4258</v>
      </c>
      <c r="C205" s="1780" t="s">
        <v>4259</v>
      </c>
      <c r="D205" s="1781" t="s">
        <v>4260</v>
      </c>
      <c r="E205" s="1782" t="s">
        <v>3484</v>
      </c>
      <c r="F205" s="1781" t="s">
        <v>3485</v>
      </c>
      <c r="G205" s="1785" t="s">
        <v>4261</v>
      </c>
    </row>
    <row r="206" spans="2:7">
      <c r="B206" s="1779" t="s">
        <v>4262</v>
      </c>
      <c r="C206" s="1780" t="s">
        <v>4263</v>
      </c>
      <c r="D206" s="1781" t="s">
        <v>4264</v>
      </c>
      <c r="E206" s="1782" t="s">
        <v>3484</v>
      </c>
      <c r="F206" s="1781" t="s">
        <v>3485</v>
      </c>
      <c r="G206" s="1785" t="s">
        <v>4265</v>
      </c>
    </row>
    <row r="207" spans="2:7">
      <c r="B207" s="1779" t="s">
        <v>4266</v>
      </c>
      <c r="C207" s="1780" t="s">
        <v>4267</v>
      </c>
      <c r="D207" s="1781" t="s">
        <v>4268</v>
      </c>
      <c r="E207" s="1782" t="s">
        <v>3469</v>
      </c>
      <c r="F207" s="1781" t="s">
        <v>3470</v>
      </c>
      <c r="G207" s="1785" t="s">
        <v>4269</v>
      </c>
    </row>
    <row r="208" spans="2:7">
      <c r="B208" s="1779" t="s">
        <v>4270</v>
      </c>
      <c r="C208" s="1780" t="s">
        <v>4271</v>
      </c>
      <c r="D208" s="1781" t="s">
        <v>4272</v>
      </c>
      <c r="E208" s="1782" t="s">
        <v>3484</v>
      </c>
      <c r="F208" s="1781" t="s">
        <v>3485</v>
      </c>
      <c r="G208" s="1785" t="s">
        <v>4273</v>
      </c>
    </row>
    <row r="209" spans="2:7">
      <c r="B209" s="1779" t="s">
        <v>4274</v>
      </c>
      <c r="C209" s="1780" t="s">
        <v>4275</v>
      </c>
      <c r="D209" s="1781" t="s">
        <v>4276</v>
      </c>
      <c r="E209" s="1782" t="s">
        <v>3484</v>
      </c>
      <c r="F209" s="1781" t="s">
        <v>3485</v>
      </c>
      <c r="G209" s="1785" t="s">
        <v>3730</v>
      </c>
    </row>
    <row r="210" spans="2:7">
      <c r="B210" s="1779" t="s">
        <v>4277</v>
      </c>
      <c r="C210" s="1780" t="s">
        <v>4278</v>
      </c>
      <c r="D210" s="1781" t="s">
        <v>4279</v>
      </c>
      <c r="E210" s="1782" t="s">
        <v>3463</v>
      </c>
      <c r="F210" s="1781" t="s">
        <v>3464</v>
      </c>
      <c r="G210" s="1785" t="s">
        <v>4280</v>
      </c>
    </row>
    <row r="211" spans="2:7">
      <c r="B211" s="1779" t="s">
        <v>4281</v>
      </c>
      <c r="C211" s="1780" t="s">
        <v>4282</v>
      </c>
      <c r="D211" s="1781" t="s">
        <v>4283</v>
      </c>
      <c r="E211" s="1782" t="s">
        <v>3463</v>
      </c>
      <c r="F211" s="1781" t="s">
        <v>3519</v>
      </c>
      <c r="G211" s="1785" t="s">
        <v>4284</v>
      </c>
    </row>
    <row r="212" spans="2:7">
      <c r="B212" s="1779" t="s">
        <v>2761</v>
      </c>
      <c r="C212" s="1780" t="s">
        <v>4285</v>
      </c>
      <c r="D212" s="1781" t="s">
        <v>3318</v>
      </c>
      <c r="E212" s="1782" t="s">
        <v>3484</v>
      </c>
      <c r="F212" s="1781" t="s">
        <v>3485</v>
      </c>
      <c r="G212" s="1785" t="s">
        <v>4286</v>
      </c>
    </row>
    <row r="213" spans="2:7">
      <c r="B213" s="1779" t="s">
        <v>4287</v>
      </c>
      <c r="C213" s="1780" t="s">
        <v>4288</v>
      </c>
      <c r="D213" s="1781" t="s">
        <v>4289</v>
      </c>
      <c r="E213" s="1782" t="s">
        <v>3463</v>
      </c>
      <c r="F213" s="1781" t="s">
        <v>3464</v>
      </c>
      <c r="G213" s="1785" t="s">
        <v>4290</v>
      </c>
    </row>
    <row r="214" spans="2:7">
      <c r="B214" s="1779" t="s">
        <v>4291</v>
      </c>
      <c r="C214" s="1780" t="s">
        <v>4292</v>
      </c>
      <c r="D214" s="1781" t="s">
        <v>4293</v>
      </c>
      <c r="E214" s="1782" t="s">
        <v>3484</v>
      </c>
      <c r="F214" s="1781" t="s">
        <v>3485</v>
      </c>
      <c r="G214" s="1785" t="s">
        <v>4294</v>
      </c>
    </row>
    <row r="215" spans="2:7">
      <c r="B215" s="1779" t="s">
        <v>4295</v>
      </c>
      <c r="C215" s="1780" t="s">
        <v>4296</v>
      </c>
      <c r="D215" s="1781" t="s">
        <v>4297</v>
      </c>
      <c r="E215" s="1782" t="s">
        <v>3484</v>
      </c>
      <c r="F215" s="1781" t="s">
        <v>3485</v>
      </c>
      <c r="G215" s="1785" t="s">
        <v>4298</v>
      </c>
    </row>
    <row r="216" spans="2:7">
      <c r="B216" s="1779" t="s">
        <v>4299</v>
      </c>
      <c r="C216" s="1780" t="s">
        <v>4300</v>
      </c>
      <c r="D216" s="1781" t="s">
        <v>4301</v>
      </c>
      <c r="E216" s="1782" t="s">
        <v>3469</v>
      </c>
      <c r="F216" s="1781" t="s">
        <v>3475</v>
      </c>
      <c r="G216" s="1785" t="s">
        <v>4302</v>
      </c>
    </row>
    <row r="217" spans="2:7">
      <c r="B217" s="1779" t="s">
        <v>4303</v>
      </c>
      <c r="C217" s="1780" t="s">
        <v>4304</v>
      </c>
      <c r="D217" s="1781" t="s">
        <v>4305</v>
      </c>
      <c r="E217" s="1782" t="s">
        <v>3469</v>
      </c>
      <c r="F217" s="1781" t="s">
        <v>3470</v>
      </c>
      <c r="G217" s="1785" t="s">
        <v>4306</v>
      </c>
    </row>
    <row r="218" spans="2:7">
      <c r="B218" s="1779" t="s">
        <v>4307</v>
      </c>
      <c r="C218" s="1780" t="s">
        <v>4308</v>
      </c>
      <c r="D218" s="1781" t="s">
        <v>4309</v>
      </c>
      <c r="E218" s="1782" t="s">
        <v>3490</v>
      </c>
      <c r="F218" s="1781" t="s">
        <v>3514</v>
      </c>
      <c r="G218" s="1785" t="s">
        <v>4269</v>
      </c>
    </row>
    <row r="219" spans="2:7">
      <c r="B219" s="1779" t="s">
        <v>4310</v>
      </c>
      <c r="C219" s="1780" t="s">
        <v>4311</v>
      </c>
      <c r="D219" s="1781" t="s">
        <v>4312</v>
      </c>
      <c r="E219" s="1782" t="s">
        <v>3484</v>
      </c>
      <c r="F219" s="1781" t="s">
        <v>3485</v>
      </c>
      <c r="G219" s="1785" t="s">
        <v>4313</v>
      </c>
    </row>
    <row r="220" spans="2:7">
      <c r="B220" s="1779" t="s">
        <v>4314</v>
      </c>
      <c r="C220" s="1780" t="s">
        <v>4315</v>
      </c>
      <c r="D220" s="1781" t="s">
        <v>4316</v>
      </c>
      <c r="E220" s="1782" t="s">
        <v>3463</v>
      </c>
      <c r="F220" s="1781" t="s">
        <v>3464</v>
      </c>
      <c r="G220" s="1785" t="s">
        <v>4317</v>
      </c>
    </row>
    <row r="221" spans="2:7">
      <c r="B221" s="1779" t="s">
        <v>4318</v>
      </c>
      <c r="C221" s="1780" t="s">
        <v>4319</v>
      </c>
      <c r="D221" s="1781" t="s">
        <v>4320</v>
      </c>
      <c r="E221" s="1782" t="s">
        <v>3463</v>
      </c>
      <c r="F221" s="1781" t="s">
        <v>3636</v>
      </c>
      <c r="G221" s="1785" t="s">
        <v>4321</v>
      </c>
    </row>
    <row r="222" spans="2:7">
      <c r="B222" s="1779" t="s">
        <v>4322</v>
      </c>
      <c r="C222" s="1780" t="s">
        <v>4323</v>
      </c>
      <c r="D222" s="1781" t="s">
        <v>4324</v>
      </c>
      <c r="E222" s="1782" t="s">
        <v>3484</v>
      </c>
      <c r="F222" s="1781" t="s">
        <v>3485</v>
      </c>
      <c r="G222" s="1785"/>
    </row>
    <row r="223" spans="2:7">
      <c r="B223" s="1779" t="s">
        <v>4325</v>
      </c>
      <c r="C223" s="1780" t="s">
        <v>4326</v>
      </c>
      <c r="D223" s="1781" t="s">
        <v>4327</v>
      </c>
      <c r="E223" s="1782" t="s">
        <v>3463</v>
      </c>
      <c r="F223" s="1781" t="s">
        <v>3464</v>
      </c>
      <c r="G223" s="1785" t="s">
        <v>4328</v>
      </c>
    </row>
    <row r="224" spans="2:7">
      <c r="B224" s="1779" t="s">
        <v>4329</v>
      </c>
      <c r="C224" s="1780" t="s">
        <v>4330</v>
      </c>
      <c r="D224" s="1781" t="s">
        <v>4331</v>
      </c>
      <c r="E224" s="1782" t="s">
        <v>3484</v>
      </c>
      <c r="F224" s="1781" t="s">
        <v>3485</v>
      </c>
      <c r="G224" s="1785" t="s">
        <v>4332</v>
      </c>
    </row>
    <row r="225" spans="2:7">
      <c r="B225" s="1779" t="s">
        <v>4333</v>
      </c>
      <c r="C225" s="1780" t="s">
        <v>4334</v>
      </c>
      <c r="D225" s="1781" t="s">
        <v>4335</v>
      </c>
      <c r="E225" s="1782" t="s">
        <v>3463</v>
      </c>
      <c r="F225" s="1781" t="s">
        <v>3528</v>
      </c>
      <c r="G225" s="1785" t="s">
        <v>4336</v>
      </c>
    </row>
    <row r="226" spans="2:7">
      <c r="B226" s="1779" t="s">
        <v>4337</v>
      </c>
      <c r="C226" s="1780" t="s">
        <v>4338</v>
      </c>
      <c r="D226" s="1781" t="s">
        <v>4339</v>
      </c>
      <c r="E226" s="1782" t="s">
        <v>3463</v>
      </c>
      <c r="F226" s="1781" t="s">
        <v>3464</v>
      </c>
      <c r="G226" s="1785" t="s">
        <v>4340</v>
      </c>
    </row>
    <row r="227" spans="2:7">
      <c r="B227" s="1779" t="s">
        <v>4341</v>
      </c>
      <c r="C227" s="1780" t="s">
        <v>4342</v>
      </c>
      <c r="D227" s="1781" t="s">
        <v>4343</v>
      </c>
      <c r="E227" s="1782" t="s">
        <v>3484</v>
      </c>
      <c r="F227" s="1781" t="s">
        <v>3485</v>
      </c>
      <c r="G227" s="1785" t="s">
        <v>4344</v>
      </c>
    </row>
    <row r="228" spans="2:7">
      <c r="B228" s="1779" t="s">
        <v>4345</v>
      </c>
      <c r="C228" s="1780" t="s">
        <v>4346</v>
      </c>
      <c r="D228" s="1781" t="s">
        <v>4347</v>
      </c>
      <c r="E228" s="1782" t="s">
        <v>3463</v>
      </c>
      <c r="F228" s="1781" t="s">
        <v>3528</v>
      </c>
      <c r="G228" s="1785" t="s">
        <v>4348</v>
      </c>
    </row>
    <row r="229" spans="2:7">
      <c r="B229" s="1779" t="s">
        <v>4349</v>
      </c>
      <c r="C229" s="1780" t="s">
        <v>4350</v>
      </c>
      <c r="D229" s="1781" t="s">
        <v>4351</v>
      </c>
      <c r="E229" s="1782" t="s">
        <v>3463</v>
      </c>
      <c r="F229" s="1781" t="s">
        <v>3528</v>
      </c>
      <c r="G229" s="1785" t="s">
        <v>4352</v>
      </c>
    </row>
    <row r="230" spans="2:7">
      <c r="B230" s="1779" t="s">
        <v>4353</v>
      </c>
      <c r="C230" s="1780" t="s">
        <v>4354</v>
      </c>
      <c r="D230" s="1781" t="s">
        <v>4355</v>
      </c>
      <c r="E230" s="1782" t="s">
        <v>3490</v>
      </c>
      <c r="F230" s="1781" t="s">
        <v>3491</v>
      </c>
      <c r="G230" s="1785" t="s">
        <v>4356</v>
      </c>
    </row>
    <row r="231" spans="2:7">
      <c r="B231" s="1779" t="s">
        <v>4357</v>
      </c>
      <c r="C231" s="1780" t="s">
        <v>4358</v>
      </c>
      <c r="D231" s="1781" t="s">
        <v>4359</v>
      </c>
      <c r="E231" s="1782" t="s">
        <v>3484</v>
      </c>
      <c r="F231" s="1781" t="s">
        <v>3509</v>
      </c>
      <c r="G231" s="1785" t="s">
        <v>4360</v>
      </c>
    </row>
    <row r="232" spans="2:7">
      <c r="B232" s="1779" t="s">
        <v>4361</v>
      </c>
      <c r="C232" s="1780" t="s">
        <v>4362</v>
      </c>
      <c r="D232" s="1781" t="s">
        <v>4363</v>
      </c>
      <c r="E232" s="1782" t="s">
        <v>3463</v>
      </c>
      <c r="F232" s="1781" t="s">
        <v>3464</v>
      </c>
      <c r="G232" s="1785" t="s">
        <v>4364</v>
      </c>
    </row>
    <row r="233" spans="2:7">
      <c r="B233" s="1779" t="s">
        <v>4365</v>
      </c>
      <c r="C233" s="1780" t="s">
        <v>4366</v>
      </c>
      <c r="D233" s="1781" t="s">
        <v>4367</v>
      </c>
      <c r="E233" s="1782" t="s">
        <v>3469</v>
      </c>
      <c r="F233" s="1781" t="s">
        <v>3470</v>
      </c>
      <c r="G233" s="1785" t="s">
        <v>4368</v>
      </c>
    </row>
    <row r="234" spans="2:7">
      <c r="B234" s="1779" t="s">
        <v>4369</v>
      </c>
      <c r="C234" s="1780" t="s">
        <v>4370</v>
      </c>
      <c r="D234" s="1781" t="s">
        <v>4371</v>
      </c>
      <c r="E234" s="1782" t="s">
        <v>3463</v>
      </c>
      <c r="F234" s="1781" t="s">
        <v>3528</v>
      </c>
      <c r="G234" s="1785" t="s">
        <v>4372</v>
      </c>
    </row>
    <row r="235" spans="2:7">
      <c r="B235" s="1779" t="s">
        <v>4373</v>
      </c>
      <c r="C235" s="1780" t="s">
        <v>4374</v>
      </c>
      <c r="D235" s="1781" t="s">
        <v>4375</v>
      </c>
      <c r="E235" s="1782" t="s">
        <v>3469</v>
      </c>
      <c r="F235" s="1781" t="s">
        <v>3470</v>
      </c>
      <c r="G235" s="1785" t="s">
        <v>4376</v>
      </c>
    </row>
    <row r="236" spans="2:7">
      <c r="B236" s="1779" t="s">
        <v>4377</v>
      </c>
      <c r="C236" s="1780" t="s">
        <v>4378</v>
      </c>
      <c r="D236" s="1781" t="s">
        <v>4379</v>
      </c>
      <c r="E236" s="1782" t="s">
        <v>3484</v>
      </c>
      <c r="F236" s="1781" t="s">
        <v>3485</v>
      </c>
      <c r="G236" s="1785" t="s">
        <v>4380</v>
      </c>
    </row>
    <row r="237" spans="2:7">
      <c r="B237" s="1779" t="s">
        <v>4381</v>
      </c>
      <c r="C237" s="1780" t="s">
        <v>4382</v>
      </c>
      <c r="D237" s="1781" t="s">
        <v>4383</v>
      </c>
      <c r="E237" s="1782" t="s">
        <v>3490</v>
      </c>
      <c r="F237" s="1781" t="s">
        <v>3514</v>
      </c>
      <c r="G237" s="1785" t="s">
        <v>4384</v>
      </c>
    </row>
    <row r="238" spans="2:7">
      <c r="B238" s="1779" t="s">
        <v>4385</v>
      </c>
      <c r="C238" s="1780" t="s">
        <v>4386</v>
      </c>
      <c r="D238" s="1781" t="s">
        <v>4387</v>
      </c>
      <c r="E238" s="1782" t="s">
        <v>3463</v>
      </c>
      <c r="F238" s="1781" t="s">
        <v>3464</v>
      </c>
      <c r="G238" s="1785" t="s">
        <v>4388</v>
      </c>
    </row>
    <row r="239" spans="2:7">
      <c r="B239" s="1779" t="s">
        <v>4389</v>
      </c>
      <c r="C239" s="1780" t="s">
        <v>4390</v>
      </c>
      <c r="D239" s="1781" t="s">
        <v>4391</v>
      </c>
      <c r="E239" s="1782" t="s">
        <v>3463</v>
      </c>
      <c r="F239" s="1781" t="s">
        <v>3528</v>
      </c>
      <c r="G239" s="1785" t="s">
        <v>4392</v>
      </c>
    </row>
    <row r="240" spans="2:7">
      <c r="B240" s="1779" t="s">
        <v>4393</v>
      </c>
      <c r="C240" s="1780" t="s">
        <v>4394</v>
      </c>
      <c r="D240" s="1781" t="s">
        <v>4395</v>
      </c>
      <c r="E240" s="1782" t="s">
        <v>3490</v>
      </c>
      <c r="F240" s="1781" t="s">
        <v>3514</v>
      </c>
      <c r="G240" s="1785" t="s">
        <v>4396</v>
      </c>
    </row>
    <row r="241" spans="2:7">
      <c r="B241" s="1779" t="s">
        <v>4397</v>
      </c>
      <c r="C241" s="1780" t="s">
        <v>4398</v>
      </c>
      <c r="D241" s="1782" t="s">
        <v>4399</v>
      </c>
      <c r="E241" s="1780" t="s">
        <v>3463</v>
      </c>
      <c r="F241" s="1781" t="s">
        <v>3464</v>
      </c>
      <c r="G241" s="1785" t="s">
        <v>4400</v>
      </c>
    </row>
    <row r="242" spans="2:7">
      <c r="B242" s="1779" t="s">
        <v>2811</v>
      </c>
      <c r="C242" s="1780" t="s">
        <v>4401</v>
      </c>
      <c r="D242" s="1782" t="s">
        <v>4402</v>
      </c>
      <c r="E242" s="1780" t="s">
        <v>3463</v>
      </c>
      <c r="F242" s="1781" t="s">
        <v>3528</v>
      </c>
      <c r="G242" s="1785" t="s">
        <v>4403</v>
      </c>
    </row>
    <row r="243" spans="2:7">
      <c r="B243" s="1779" t="s">
        <v>4404</v>
      </c>
      <c r="C243" s="1780" t="s">
        <v>4405</v>
      </c>
      <c r="D243" s="1782" t="s">
        <v>4406</v>
      </c>
      <c r="E243" s="1780" t="s">
        <v>3463</v>
      </c>
      <c r="F243" s="1781" t="s">
        <v>3519</v>
      </c>
      <c r="G243" s="1785" t="s">
        <v>4407</v>
      </c>
    </row>
    <row r="244" spans="2:7">
      <c r="B244" s="1789" t="s">
        <v>4408</v>
      </c>
      <c r="C244" s="1790" t="s">
        <v>4409</v>
      </c>
      <c r="D244" s="1791" t="s">
        <v>4410</v>
      </c>
      <c r="E244" s="1780" t="s">
        <v>3484</v>
      </c>
      <c r="F244" s="1781" t="s">
        <v>3485</v>
      </c>
      <c r="G244" s="1785" t="s">
        <v>4411</v>
      </c>
    </row>
    <row r="245" spans="2:7" ht="13.5" thickBot="1">
      <c r="B245" s="1779" t="s">
        <v>4412</v>
      </c>
      <c r="C245" s="1780" t="s">
        <v>4413</v>
      </c>
      <c r="D245" s="1782" t="s">
        <v>4414</v>
      </c>
      <c r="E245" s="1792" t="s">
        <v>3484</v>
      </c>
      <c r="F245" s="1793" t="s">
        <v>3485</v>
      </c>
      <c r="G245" s="1794" t="s">
        <v>4415</v>
      </c>
    </row>
    <row r="246" spans="2:7">
      <c r="B246" s="460"/>
      <c r="C246" s="461" t="s">
        <v>2748</v>
      </c>
      <c r="D246" s="461" t="s">
        <v>4416</v>
      </c>
    </row>
  </sheetData>
  <mergeCells count="1">
    <mergeCell ref="B1:G1"/>
  </mergeCells>
  <pageMargins left="0.74803149606299213" right="0.74803149606299213" top="0.39370078740157483" bottom="0.39370078740157483" header="0" footer="0"/>
  <pageSetup paperSize="9" scale="10" orientation="portrait" horizontalDpi="1200"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0">
    <tabColor rgb="FF002060"/>
  </sheetPr>
  <dimension ref="B3:F10"/>
  <sheetViews>
    <sheetView workbookViewId="0">
      <selection activeCell="C9" sqref="C9"/>
    </sheetView>
  </sheetViews>
  <sheetFormatPr baseColWidth="10" defaultColWidth="11.42578125" defaultRowHeight="12.75"/>
  <cols>
    <col min="2" max="2" width="28" customWidth="1"/>
    <col min="3" max="5" width="13.85546875" customWidth="1"/>
    <col min="6" max="6" width="17" customWidth="1"/>
  </cols>
  <sheetData>
    <row r="3" spans="2:6">
      <c r="B3" s="2551" t="s">
        <v>4417</v>
      </c>
      <c r="C3" s="2551"/>
      <c r="D3" s="2551"/>
      <c r="E3" s="2551"/>
      <c r="F3" s="2551"/>
    </row>
    <row r="4" spans="2:6" ht="13.5" thickBot="1"/>
    <row r="5" spans="2:6" ht="16.5" customHeight="1" thickTop="1">
      <c r="B5" s="2546" t="s">
        <v>4418</v>
      </c>
      <c r="C5" s="1031" t="s">
        <v>4419</v>
      </c>
      <c r="D5" s="2548" t="s">
        <v>4420</v>
      </c>
      <c r="E5" s="2549"/>
      <c r="F5" s="2550"/>
    </row>
    <row r="6" spans="2:6" ht="21.75" customHeight="1">
      <c r="B6" s="2547"/>
      <c r="C6" s="1028" t="s">
        <v>4421</v>
      </c>
      <c r="D6" s="1029" t="s">
        <v>4422</v>
      </c>
      <c r="E6" s="1030" t="s">
        <v>4423</v>
      </c>
      <c r="F6" s="1032" t="s">
        <v>4424</v>
      </c>
    </row>
    <row r="7" spans="2:6" ht="21.75" customHeight="1">
      <c r="B7" s="1033" t="s">
        <v>4421</v>
      </c>
      <c r="C7" s="1036" t="s">
        <v>4425</v>
      </c>
      <c r="D7" s="1037" t="s">
        <v>4425</v>
      </c>
      <c r="E7" s="1038"/>
      <c r="F7" s="1039"/>
    </row>
    <row r="8" spans="2:6" ht="21.75" customHeight="1">
      <c r="B8" s="1034" t="s">
        <v>4426</v>
      </c>
      <c r="C8" s="1036" t="s">
        <v>4427</v>
      </c>
      <c r="D8" s="1037"/>
      <c r="E8" s="1038" t="s">
        <v>4427</v>
      </c>
      <c r="F8" s="1039"/>
    </row>
    <row r="9" spans="2:6" ht="21.75" customHeight="1" thickBot="1">
      <c r="B9" s="1035" t="s">
        <v>4428</v>
      </c>
      <c r="C9" s="1040" t="s">
        <v>4427</v>
      </c>
      <c r="D9" s="1041"/>
      <c r="E9" s="1042"/>
      <c r="F9" s="1043" t="s">
        <v>4427</v>
      </c>
    </row>
    <row r="10" spans="2:6" ht="13.5" thickTop="1">
      <c r="B10" s="1027"/>
    </row>
  </sheetData>
  <mergeCells count="3">
    <mergeCell ref="B5:B6"/>
    <mergeCell ref="D5:F5"/>
    <mergeCell ref="B3:F3"/>
  </mergeCells>
  <printOptions horizontalCentered="1"/>
  <pageMargins left="0.70866141732283472" right="0.70866141732283472" top="0.74803149606299213" bottom="0.74803149606299213" header="0.31496062992125984" footer="0.31496062992125984"/>
  <pageSetup paperSize="9" orientation="portrait" horizontalDpi="4294967294" verticalDpi="4294967294" r:id="rId1"/>
  <headerFooter>
    <oddFooter>&amp;R&amp;F</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9">
    <tabColor theme="9" tint="-0.499984740745262"/>
    <pageSetUpPr fitToPage="1"/>
  </sheetPr>
  <dimension ref="A1:K2040"/>
  <sheetViews>
    <sheetView workbookViewId="0">
      <pane xSplit="1" ySplit="1" topLeftCell="B236" activePane="bottomRight" state="frozen"/>
      <selection pane="topRight" activeCell="B1" sqref="B1"/>
      <selection pane="bottomLeft" activeCell="A2" sqref="A2"/>
      <selection pane="bottomRight" activeCell="B19" sqref="B19"/>
    </sheetView>
  </sheetViews>
  <sheetFormatPr baseColWidth="10" defaultColWidth="11.42578125" defaultRowHeight="12.75"/>
  <cols>
    <col min="1" max="1" width="11.28515625" style="495" customWidth="1"/>
    <col min="2" max="2" width="14.85546875" style="502" customWidth="1"/>
    <col min="3" max="3" width="32.140625" style="503" customWidth="1"/>
    <col min="4" max="4" width="29.5703125" style="503" customWidth="1"/>
    <col min="5" max="5" width="17" style="503" customWidth="1"/>
    <col min="6" max="6" width="11.42578125" style="496"/>
    <col min="7" max="7" width="17.42578125" style="496" bestFit="1" customWidth="1"/>
    <col min="8" max="8" width="11.42578125" style="495"/>
    <col min="9" max="9" width="18.42578125" style="495" customWidth="1"/>
    <col min="10" max="10" width="33" style="495" bestFit="1" customWidth="1"/>
    <col min="11" max="16384" width="11.42578125" style="495"/>
  </cols>
  <sheetData>
    <row r="1" spans="1:11" ht="37.5" customHeight="1">
      <c r="A1" s="491" t="s">
        <v>66</v>
      </c>
      <c r="B1" s="492" t="s">
        <v>67</v>
      </c>
      <c r="C1" s="491" t="s">
        <v>68</v>
      </c>
      <c r="D1" s="493" t="s">
        <v>69</v>
      </c>
      <c r="E1" s="494" t="s">
        <v>70</v>
      </c>
      <c r="F1" s="491" t="s">
        <v>71</v>
      </c>
      <c r="G1" s="491" t="s">
        <v>72</v>
      </c>
      <c r="I1" s="506" t="s">
        <v>73</v>
      </c>
      <c r="J1" s="507" t="s">
        <v>74</v>
      </c>
      <c r="K1" s="508" t="s">
        <v>75</v>
      </c>
    </row>
    <row r="2" spans="1:11">
      <c r="A2" s="496">
        <v>1</v>
      </c>
      <c r="B2" s="496" t="s">
        <v>76</v>
      </c>
      <c r="C2" s="495" t="s">
        <v>77</v>
      </c>
      <c r="D2" s="497" t="s">
        <v>78</v>
      </c>
      <c r="E2" s="496" t="str">
        <f>IF(MID(D2,14,1)="@",MID(D2,12,2),"0"&amp;MID(D2,12,1))</f>
        <v>07</v>
      </c>
      <c r="F2" s="496">
        <v>25717</v>
      </c>
      <c r="G2" s="496" t="str">
        <f>CONCATENATE(B2)</f>
        <v>20100000688</v>
      </c>
      <c r="I2" s="504" t="s">
        <v>79</v>
      </c>
      <c r="J2" s="509" t="s">
        <v>80</v>
      </c>
      <c r="K2" s="505">
        <v>23881</v>
      </c>
    </row>
    <row r="3" spans="1:11">
      <c r="A3" s="496">
        <f>+A2+1</f>
        <v>2</v>
      </c>
      <c r="B3" s="496" t="s">
        <v>81</v>
      </c>
      <c r="C3" s="495" t="s">
        <v>82</v>
      </c>
      <c r="D3" s="497" t="s">
        <v>83</v>
      </c>
      <c r="E3" s="496" t="str">
        <f t="shared" ref="E3:E66" si="0">IF(MID(D3,14,1)="@",MID(D3,12,2),"0"&amp;MID(D3,12,1))</f>
        <v>08</v>
      </c>
      <c r="F3" s="496">
        <v>25718</v>
      </c>
      <c r="G3" s="496" t="str">
        <f t="shared" ref="G3:G66" si="1">CONCATENATE(B3)</f>
        <v>20100001498</v>
      </c>
    </row>
    <row r="4" spans="1:11">
      <c r="A4" s="496">
        <f t="shared" ref="A4:A67" si="2">+A3+1</f>
        <v>3</v>
      </c>
      <c r="B4" s="496" t="s">
        <v>84</v>
      </c>
      <c r="C4" s="495" t="s">
        <v>85</v>
      </c>
      <c r="D4" s="497" t="s">
        <v>86</v>
      </c>
      <c r="E4" s="496" t="str">
        <f t="shared" si="0"/>
        <v>09</v>
      </c>
      <c r="F4" s="496">
        <v>25719</v>
      </c>
      <c r="G4" s="496" t="str">
        <f t="shared" si="1"/>
        <v>20100001579</v>
      </c>
    </row>
    <row r="5" spans="1:11">
      <c r="A5" s="496">
        <f t="shared" si="2"/>
        <v>4</v>
      </c>
      <c r="B5" s="496" t="s">
        <v>87</v>
      </c>
      <c r="C5" s="495" t="s">
        <v>88</v>
      </c>
      <c r="D5" s="497" t="s">
        <v>89</v>
      </c>
      <c r="E5" s="496" t="str">
        <f t="shared" si="0"/>
        <v>11</v>
      </c>
      <c r="F5" s="496">
        <v>25720</v>
      </c>
      <c r="G5" s="496" t="str">
        <f t="shared" si="1"/>
        <v>20100002036</v>
      </c>
    </row>
    <row r="6" spans="1:11">
      <c r="A6" s="496">
        <f t="shared" si="2"/>
        <v>5</v>
      </c>
      <c r="B6" s="496" t="s">
        <v>90</v>
      </c>
      <c r="C6" s="495" t="s">
        <v>91</v>
      </c>
      <c r="D6" s="497" t="s">
        <v>92</v>
      </c>
      <c r="E6" s="496" t="str">
        <f t="shared" si="0"/>
        <v>12</v>
      </c>
      <c r="F6" s="496">
        <v>25724</v>
      </c>
      <c r="G6" s="496" t="str">
        <f t="shared" si="1"/>
        <v>20100002206</v>
      </c>
    </row>
    <row r="7" spans="1:11">
      <c r="A7" s="496">
        <f t="shared" si="2"/>
        <v>6</v>
      </c>
      <c r="B7" s="496" t="s">
        <v>93</v>
      </c>
      <c r="C7" s="495" t="s">
        <v>77</v>
      </c>
      <c r="D7" s="497" t="s">
        <v>78</v>
      </c>
      <c r="E7" s="496" t="str">
        <f t="shared" si="0"/>
        <v>07</v>
      </c>
      <c r="F7" s="496">
        <v>25717</v>
      </c>
      <c r="G7" s="496" t="str">
        <f t="shared" si="1"/>
        <v>20100002621</v>
      </c>
    </row>
    <row r="8" spans="1:11">
      <c r="A8" s="496">
        <f t="shared" si="2"/>
        <v>7</v>
      </c>
      <c r="B8" s="496" t="s">
        <v>94</v>
      </c>
      <c r="C8" s="495" t="s">
        <v>82</v>
      </c>
      <c r="D8" s="497" t="s">
        <v>83</v>
      </c>
      <c r="E8" s="496" t="str">
        <f t="shared" si="0"/>
        <v>08</v>
      </c>
      <c r="F8" s="496">
        <v>25718</v>
      </c>
      <c r="G8" s="496" t="str">
        <f t="shared" si="1"/>
        <v>20100003512</v>
      </c>
    </row>
    <row r="9" spans="1:11">
      <c r="A9" s="496">
        <f t="shared" si="2"/>
        <v>8</v>
      </c>
      <c r="B9" s="496" t="s">
        <v>95</v>
      </c>
      <c r="C9" s="495" t="s">
        <v>85</v>
      </c>
      <c r="D9" s="497" t="s">
        <v>86</v>
      </c>
      <c r="E9" s="496" t="str">
        <f t="shared" si="0"/>
        <v>09</v>
      </c>
      <c r="F9" s="496">
        <v>25719</v>
      </c>
      <c r="G9" s="496" t="str">
        <f t="shared" si="1"/>
        <v>20100004322</v>
      </c>
    </row>
    <row r="10" spans="1:11">
      <c r="A10" s="496">
        <f t="shared" si="2"/>
        <v>9</v>
      </c>
      <c r="B10" s="496" t="s">
        <v>96</v>
      </c>
      <c r="C10" s="495" t="s">
        <v>88</v>
      </c>
      <c r="D10" s="497" t="s">
        <v>89</v>
      </c>
      <c r="E10" s="496" t="str">
        <f t="shared" si="0"/>
        <v>11</v>
      </c>
      <c r="F10" s="496">
        <v>25720</v>
      </c>
      <c r="G10" s="496" t="str">
        <f t="shared" si="1"/>
        <v>20100004594</v>
      </c>
    </row>
    <row r="11" spans="1:11">
      <c r="A11" s="496">
        <f t="shared" si="2"/>
        <v>10</v>
      </c>
      <c r="B11" s="496" t="s">
        <v>97</v>
      </c>
      <c r="C11" s="495" t="s">
        <v>91</v>
      </c>
      <c r="D11" s="497" t="s">
        <v>92</v>
      </c>
      <c r="E11" s="496" t="str">
        <f t="shared" si="0"/>
        <v>12</v>
      </c>
      <c r="F11" s="496">
        <v>25724</v>
      </c>
      <c r="G11" s="496" t="str">
        <f t="shared" si="1"/>
        <v>20100004675</v>
      </c>
    </row>
    <row r="12" spans="1:11">
      <c r="A12" s="496">
        <f t="shared" si="2"/>
        <v>11</v>
      </c>
      <c r="B12" s="496" t="s">
        <v>98</v>
      </c>
      <c r="C12" s="495" t="s">
        <v>77</v>
      </c>
      <c r="D12" s="497" t="s">
        <v>78</v>
      </c>
      <c r="E12" s="496" t="str">
        <f t="shared" si="0"/>
        <v>07</v>
      </c>
      <c r="F12" s="496">
        <v>25717</v>
      </c>
      <c r="G12" s="496" t="str">
        <f t="shared" si="1"/>
        <v>20100004756</v>
      </c>
    </row>
    <row r="13" spans="1:11">
      <c r="A13" s="496">
        <f t="shared" si="2"/>
        <v>12</v>
      </c>
      <c r="B13" s="496" t="s">
        <v>99</v>
      </c>
      <c r="C13" s="495" t="s">
        <v>82</v>
      </c>
      <c r="D13" s="497" t="s">
        <v>83</v>
      </c>
      <c r="E13" s="496" t="str">
        <f t="shared" si="0"/>
        <v>08</v>
      </c>
      <c r="F13" s="496">
        <v>25718</v>
      </c>
      <c r="G13" s="496" t="str">
        <f t="shared" si="1"/>
        <v>20100005213</v>
      </c>
    </row>
    <row r="14" spans="1:11">
      <c r="A14" s="496">
        <f t="shared" si="2"/>
        <v>13</v>
      </c>
      <c r="B14" s="496" t="s">
        <v>100</v>
      </c>
      <c r="C14" s="495" t="s">
        <v>85</v>
      </c>
      <c r="D14" s="497" t="s">
        <v>86</v>
      </c>
      <c r="E14" s="496" t="str">
        <f t="shared" si="0"/>
        <v>09</v>
      </c>
      <c r="F14" s="496">
        <v>25719</v>
      </c>
      <c r="G14" s="496" t="str">
        <f t="shared" si="1"/>
        <v>20100005302</v>
      </c>
    </row>
    <row r="15" spans="1:11">
      <c r="A15" s="496">
        <f t="shared" si="2"/>
        <v>14</v>
      </c>
      <c r="B15" s="496" t="s">
        <v>101</v>
      </c>
      <c r="C15" s="495" t="s">
        <v>88</v>
      </c>
      <c r="D15" s="497" t="s">
        <v>89</v>
      </c>
      <c r="E15" s="496" t="str">
        <f t="shared" si="0"/>
        <v>11</v>
      </c>
      <c r="F15" s="496">
        <v>25720</v>
      </c>
      <c r="G15" s="496" t="str">
        <f t="shared" si="1"/>
        <v>20100005566</v>
      </c>
    </row>
    <row r="16" spans="1:11">
      <c r="A16" s="496">
        <f t="shared" si="2"/>
        <v>15</v>
      </c>
      <c r="B16" s="496" t="s">
        <v>102</v>
      </c>
      <c r="C16" s="495" t="s">
        <v>77</v>
      </c>
      <c r="D16" s="497" t="s">
        <v>78</v>
      </c>
      <c r="E16" s="496" t="str">
        <f t="shared" si="0"/>
        <v>07</v>
      </c>
      <c r="F16" s="496">
        <v>25717</v>
      </c>
      <c r="G16" s="496" t="str">
        <f t="shared" si="1"/>
        <v>20100007348</v>
      </c>
    </row>
    <row r="17" spans="1:7">
      <c r="A17" s="496">
        <f t="shared" si="2"/>
        <v>16</v>
      </c>
      <c r="B17" s="496" t="s">
        <v>103</v>
      </c>
      <c r="C17" s="495" t="s">
        <v>91</v>
      </c>
      <c r="D17" s="497" t="s">
        <v>92</v>
      </c>
      <c r="E17" s="496" t="str">
        <f t="shared" si="0"/>
        <v>12</v>
      </c>
      <c r="F17" s="496">
        <v>25724</v>
      </c>
      <c r="G17" s="496" t="str">
        <f t="shared" si="1"/>
        <v>20100007852</v>
      </c>
    </row>
    <row r="18" spans="1:7">
      <c r="A18" s="496">
        <f t="shared" si="2"/>
        <v>17</v>
      </c>
      <c r="B18" s="496" t="s">
        <v>104</v>
      </c>
      <c r="C18" s="495" t="s">
        <v>77</v>
      </c>
      <c r="D18" s="497" t="s">
        <v>78</v>
      </c>
      <c r="E18" s="496" t="str">
        <f t="shared" si="0"/>
        <v>07</v>
      </c>
      <c r="F18" s="496">
        <v>25717</v>
      </c>
      <c r="G18" s="496" t="str">
        <f t="shared" si="1"/>
        <v>20100009472</v>
      </c>
    </row>
    <row r="19" spans="1:7">
      <c r="A19" s="496">
        <f t="shared" si="2"/>
        <v>18</v>
      </c>
      <c r="B19" s="496" t="s">
        <v>105</v>
      </c>
      <c r="C19" s="495" t="s">
        <v>82</v>
      </c>
      <c r="D19" s="497" t="s">
        <v>83</v>
      </c>
      <c r="E19" s="496" t="str">
        <f t="shared" si="0"/>
        <v>08</v>
      </c>
      <c r="F19" s="496">
        <v>25718</v>
      </c>
      <c r="G19" s="496" t="str">
        <f t="shared" si="1"/>
        <v>20100009804</v>
      </c>
    </row>
    <row r="20" spans="1:7">
      <c r="A20" s="496">
        <f t="shared" si="2"/>
        <v>19</v>
      </c>
      <c r="B20" s="496" t="s">
        <v>106</v>
      </c>
      <c r="C20" s="495" t="s">
        <v>85</v>
      </c>
      <c r="D20" s="497" t="s">
        <v>86</v>
      </c>
      <c r="E20" s="496" t="str">
        <f t="shared" si="0"/>
        <v>09</v>
      </c>
      <c r="F20" s="496">
        <v>25719</v>
      </c>
      <c r="G20" s="496" t="str">
        <f t="shared" si="1"/>
        <v>20100010136</v>
      </c>
    </row>
    <row r="21" spans="1:7">
      <c r="A21" s="496">
        <f t="shared" si="2"/>
        <v>20</v>
      </c>
      <c r="B21" s="496" t="s">
        <v>107</v>
      </c>
      <c r="C21" s="495" t="s">
        <v>88</v>
      </c>
      <c r="D21" s="497" t="s">
        <v>89</v>
      </c>
      <c r="E21" s="496" t="str">
        <f t="shared" si="0"/>
        <v>11</v>
      </c>
      <c r="F21" s="496">
        <v>25720</v>
      </c>
      <c r="G21" s="496" t="str">
        <f t="shared" si="1"/>
        <v>20100010217</v>
      </c>
    </row>
    <row r="22" spans="1:7">
      <c r="A22" s="496">
        <f t="shared" si="2"/>
        <v>21</v>
      </c>
      <c r="B22" s="496" t="s">
        <v>108</v>
      </c>
      <c r="C22" s="495" t="s">
        <v>91</v>
      </c>
      <c r="D22" s="497" t="s">
        <v>92</v>
      </c>
      <c r="E22" s="496" t="str">
        <f t="shared" si="0"/>
        <v>12</v>
      </c>
      <c r="F22" s="496">
        <v>25724</v>
      </c>
      <c r="G22" s="496" t="str">
        <f t="shared" si="1"/>
        <v>20100010489</v>
      </c>
    </row>
    <row r="23" spans="1:7">
      <c r="A23" s="496">
        <f t="shared" si="2"/>
        <v>22</v>
      </c>
      <c r="B23" s="496" t="s">
        <v>109</v>
      </c>
      <c r="C23" s="495" t="s">
        <v>77</v>
      </c>
      <c r="D23" s="497" t="s">
        <v>78</v>
      </c>
      <c r="E23" s="496" t="str">
        <f t="shared" si="0"/>
        <v>07</v>
      </c>
      <c r="F23" s="496">
        <v>25717</v>
      </c>
      <c r="G23" s="496" t="str">
        <f t="shared" si="1"/>
        <v>20100010993</v>
      </c>
    </row>
    <row r="24" spans="1:7">
      <c r="A24" s="496">
        <f t="shared" si="2"/>
        <v>23</v>
      </c>
      <c r="B24" s="496" t="s">
        <v>110</v>
      </c>
      <c r="C24" s="495" t="s">
        <v>82</v>
      </c>
      <c r="D24" s="497" t="s">
        <v>83</v>
      </c>
      <c r="E24" s="496" t="str">
        <f t="shared" si="0"/>
        <v>08</v>
      </c>
      <c r="F24" s="496">
        <v>25718</v>
      </c>
      <c r="G24" s="496" t="str">
        <f t="shared" si="1"/>
        <v>20100013151</v>
      </c>
    </row>
    <row r="25" spans="1:7">
      <c r="A25" s="496">
        <f t="shared" si="2"/>
        <v>24</v>
      </c>
      <c r="B25" s="496" t="s">
        <v>111</v>
      </c>
      <c r="C25" s="495" t="s">
        <v>85</v>
      </c>
      <c r="D25" s="497" t="s">
        <v>86</v>
      </c>
      <c r="E25" s="496" t="str">
        <f t="shared" si="0"/>
        <v>09</v>
      </c>
      <c r="F25" s="496">
        <v>25719</v>
      </c>
      <c r="G25" s="496" t="str">
        <f t="shared" si="1"/>
        <v>20100013747</v>
      </c>
    </row>
    <row r="26" spans="1:7">
      <c r="A26" s="496">
        <f t="shared" si="2"/>
        <v>25</v>
      </c>
      <c r="B26" s="496" t="s">
        <v>112</v>
      </c>
      <c r="C26" s="495" t="s">
        <v>88</v>
      </c>
      <c r="D26" s="497" t="s">
        <v>89</v>
      </c>
      <c r="E26" s="496" t="str">
        <f t="shared" si="0"/>
        <v>11</v>
      </c>
      <c r="F26" s="496">
        <v>25720</v>
      </c>
      <c r="G26" s="496" t="str">
        <f t="shared" si="1"/>
        <v>20100014395</v>
      </c>
    </row>
    <row r="27" spans="1:7">
      <c r="A27" s="496">
        <f t="shared" si="2"/>
        <v>26</v>
      </c>
      <c r="B27" s="496" t="s">
        <v>113</v>
      </c>
      <c r="C27" s="495" t="s">
        <v>91</v>
      </c>
      <c r="D27" s="497" t="s">
        <v>92</v>
      </c>
      <c r="E27" s="496" t="str">
        <f t="shared" si="0"/>
        <v>12</v>
      </c>
      <c r="F27" s="496">
        <v>25724</v>
      </c>
      <c r="G27" s="496" t="str">
        <f t="shared" si="1"/>
        <v>20100016258</v>
      </c>
    </row>
    <row r="28" spans="1:7">
      <c r="A28" s="496">
        <f t="shared" si="2"/>
        <v>27</v>
      </c>
      <c r="B28" s="496" t="s">
        <v>114</v>
      </c>
      <c r="C28" s="495" t="s">
        <v>77</v>
      </c>
      <c r="D28" s="497" t="s">
        <v>78</v>
      </c>
      <c r="E28" s="496" t="str">
        <f t="shared" si="0"/>
        <v>07</v>
      </c>
      <c r="F28" s="496">
        <v>25717</v>
      </c>
      <c r="G28" s="496" t="str">
        <f t="shared" si="1"/>
        <v>20100016681</v>
      </c>
    </row>
    <row r="29" spans="1:7">
      <c r="A29" s="496">
        <f t="shared" si="2"/>
        <v>28</v>
      </c>
      <c r="B29" s="496" t="s">
        <v>115</v>
      </c>
      <c r="C29" s="495" t="s">
        <v>82</v>
      </c>
      <c r="D29" s="497" t="s">
        <v>83</v>
      </c>
      <c r="E29" s="496" t="str">
        <f t="shared" si="0"/>
        <v>08</v>
      </c>
      <c r="F29" s="496">
        <v>25718</v>
      </c>
      <c r="G29" s="496" t="str">
        <f t="shared" si="1"/>
        <v>20100018111</v>
      </c>
    </row>
    <row r="30" spans="1:7">
      <c r="A30" s="496">
        <f t="shared" si="2"/>
        <v>29</v>
      </c>
      <c r="B30" s="496" t="s">
        <v>116</v>
      </c>
      <c r="C30" s="495" t="s">
        <v>85</v>
      </c>
      <c r="D30" s="497" t="s">
        <v>86</v>
      </c>
      <c r="E30" s="496" t="str">
        <f t="shared" si="0"/>
        <v>09</v>
      </c>
      <c r="F30" s="496">
        <v>25719</v>
      </c>
      <c r="G30" s="496" t="str">
        <f t="shared" si="1"/>
        <v>20100018200</v>
      </c>
    </row>
    <row r="31" spans="1:7">
      <c r="A31" s="496">
        <f t="shared" si="2"/>
        <v>30</v>
      </c>
      <c r="B31" s="496" t="s">
        <v>117</v>
      </c>
      <c r="C31" s="495" t="s">
        <v>88</v>
      </c>
      <c r="D31" s="497" t="s">
        <v>89</v>
      </c>
      <c r="E31" s="496" t="str">
        <f t="shared" si="0"/>
        <v>11</v>
      </c>
      <c r="F31" s="496">
        <v>25720</v>
      </c>
      <c r="G31" s="496" t="str">
        <f t="shared" si="1"/>
        <v>20100018625</v>
      </c>
    </row>
    <row r="32" spans="1:7">
      <c r="A32" s="496">
        <f t="shared" si="2"/>
        <v>31</v>
      </c>
      <c r="B32" s="496" t="s">
        <v>118</v>
      </c>
      <c r="C32" s="495" t="s">
        <v>91</v>
      </c>
      <c r="D32" s="497" t="s">
        <v>92</v>
      </c>
      <c r="E32" s="496" t="str">
        <f t="shared" si="0"/>
        <v>12</v>
      </c>
      <c r="F32" s="496">
        <v>25724</v>
      </c>
      <c r="G32" s="496" t="str">
        <f t="shared" si="1"/>
        <v>20100019788</v>
      </c>
    </row>
    <row r="33" spans="1:7">
      <c r="A33" s="496">
        <f t="shared" si="2"/>
        <v>32</v>
      </c>
      <c r="B33" s="496" t="s">
        <v>119</v>
      </c>
      <c r="C33" s="495" t="s">
        <v>77</v>
      </c>
      <c r="D33" s="497" t="s">
        <v>78</v>
      </c>
      <c r="E33" s="496" t="str">
        <f t="shared" si="0"/>
        <v>07</v>
      </c>
      <c r="F33" s="496">
        <v>25717</v>
      </c>
      <c r="G33" s="496" t="str">
        <f t="shared" si="1"/>
        <v>20100019940</v>
      </c>
    </row>
    <row r="34" spans="1:7">
      <c r="A34" s="496">
        <f t="shared" si="2"/>
        <v>33</v>
      </c>
      <c r="B34" s="496" t="s">
        <v>120</v>
      </c>
      <c r="C34" s="495" t="s">
        <v>82</v>
      </c>
      <c r="D34" s="497" t="s">
        <v>83</v>
      </c>
      <c r="E34" s="496" t="str">
        <f t="shared" si="0"/>
        <v>08</v>
      </c>
      <c r="F34" s="496">
        <v>25718</v>
      </c>
      <c r="G34" s="496" t="str">
        <f t="shared" si="1"/>
        <v>20100020361</v>
      </c>
    </row>
    <row r="35" spans="1:7">
      <c r="A35" s="496">
        <f t="shared" si="2"/>
        <v>34</v>
      </c>
      <c r="B35" s="496" t="s">
        <v>121</v>
      </c>
      <c r="C35" s="495" t="s">
        <v>85</v>
      </c>
      <c r="D35" s="497" t="s">
        <v>86</v>
      </c>
      <c r="E35" s="496" t="str">
        <f t="shared" si="0"/>
        <v>09</v>
      </c>
      <c r="F35" s="496">
        <v>25719</v>
      </c>
      <c r="G35" s="496" t="str">
        <f t="shared" si="1"/>
        <v>20100020441</v>
      </c>
    </row>
    <row r="36" spans="1:7">
      <c r="A36" s="496">
        <f t="shared" si="2"/>
        <v>35</v>
      </c>
      <c r="B36" s="496" t="s">
        <v>122</v>
      </c>
      <c r="C36" s="495" t="s">
        <v>88</v>
      </c>
      <c r="D36" s="497" t="s">
        <v>89</v>
      </c>
      <c r="E36" s="496" t="str">
        <f t="shared" si="0"/>
        <v>11</v>
      </c>
      <c r="F36" s="496">
        <v>25720</v>
      </c>
      <c r="G36" s="496" t="str">
        <f t="shared" si="1"/>
        <v>20100020522</v>
      </c>
    </row>
    <row r="37" spans="1:7">
      <c r="A37" s="496">
        <f t="shared" si="2"/>
        <v>36</v>
      </c>
      <c r="B37" s="496" t="s">
        <v>123</v>
      </c>
      <c r="C37" s="495" t="s">
        <v>91</v>
      </c>
      <c r="D37" s="497" t="s">
        <v>92</v>
      </c>
      <c r="E37" s="496" t="str">
        <f t="shared" si="0"/>
        <v>12</v>
      </c>
      <c r="F37" s="496">
        <v>25724</v>
      </c>
      <c r="G37" s="496" t="str">
        <f t="shared" si="1"/>
        <v>20100020956</v>
      </c>
    </row>
    <row r="38" spans="1:7">
      <c r="A38" s="496">
        <f t="shared" si="2"/>
        <v>37</v>
      </c>
      <c r="B38" s="496" t="s">
        <v>124</v>
      </c>
      <c r="C38" s="495" t="s">
        <v>77</v>
      </c>
      <c r="D38" s="497" t="s">
        <v>78</v>
      </c>
      <c r="E38" s="496" t="str">
        <f t="shared" si="0"/>
        <v>07</v>
      </c>
      <c r="F38" s="496">
        <v>25717</v>
      </c>
      <c r="G38" s="496" t="str">
        <f t="shared" si="1"/>
        <v>20100021251</v>
      </c>
    </row>
    <row r="39" spans="1:7">
      <c r="A39" s="496">
        <f t="shared" si="2"/>
        <v>38</v>
      </c>
      <c r="B39" s="496" t="s">
        <v>125</v>
      </c>
      <c r="C39" s="495" t="s">
        <v>82</v>
      </c>
      <c r="D39" s="497" t="s">
        <v>83</v>
      </c>
      <c r="E39" s="496" t="str">
        <f t="shared" si="0"/>
        <v>08</v>
      </c>
      <c r="F39" s="496">
        <v>25718</v>
      </c>
      <c r="G39" s="496" t="str">
        <f t="shared" si="1"/>
        <v>20100021847</v>
      </c>
    </row>
    <row r="40" spans="1:7">
      <c r="A40" s="496">
        <f t="shared" si="2"/>
        <v>39</v>
      </c>
      <c r="B40" s="496" t="s">
        <v>126</v>
      </c>
      <c r="C40" s="495" t="s">
        <v>85</v>
      </c>
      <c r="D40" s="497" t="s">
        <v>86</v>
      </c>
      <c r="E40" s="496" t="str">
        <f t="shared" si="0"/>
        <v>09</v>
      </c>
      <c r="F40" s="496">
        <v>25719</v>
      </c>
      <c r="G40" s="496" t="str">
        <f t="shared" si="1"/>
        <v>20100022142</v>
      </c>
    </row>
    <row r="41" spans="1:7">
      <c r="A41" s="496">
        <f t="shared" si="2"/>
        <v>40</v>
      </c>
      <c r="B41" s="496" t="s">
        <v>127</v>
      </c>
      <c r="C41" s="495" t="s">
        <v>88</v>
      </c>
      <c r="D41" s="497" t="s">
        <v>89</v>
      </c>
      <c r="E41" s="496" t="str">
        <f t="shared" si="0"/>
        <v>11</v>
      </c>
      <c r="F41" s="496">
        <v>25720</v>
      </c>
      <c r="G41" s="496" t="str">
        <f t="shared" si="1"/>
        <v>20100022223</v>
      </c>
    </row>
    <row r="42" spans="1:7">
      <c r="A42" s="496">
        <f t="shared" si="2"/>
        <v>41</v>
      </c>
      <c r="B42" s="496" t="s">
        <v>128</v>
      </c>
      <c r="C42" s="495" t="s">
        <v>91</v>
      </c>
      <c r="D42" s="497" t="s">
        <v>92</v>
      </c>
      <c r="E42" s="496" t="str">
        <f t="shared" si="0"/>
        <v>12</v>
      </c>
      <c r="F42" s="496">
        <v>25724</v>
      </c>
      <c r="G42" s="496" t="str">
        <f t="shared" si="1"/>
        <v>20100023203</v>
      </c>
    </row>
    <row r="43" spans="1:7">
      <c r="A43" s="496">
        <f t="shared" si="2"/>
        <v>42</v>
      </c>
      <c r="B43" s="496" t="s">
        <v>129</v>
      </c>
      <c r="C43" s="495" t="s">
        <v>77</v>
      </c>
      <c r="D43" s="497" t="s">
        <v>78</v>
      </c>
      <c r="E43" s="496" t="str">
        <f t="shared" si="0"/>
        <v>07</v>
      </c>
      <c r="F43" s="496">
        <v>25717</v>
      </c>
      <c r="G43" s="496" t="str">
        <f t="shared" si="1"/>
        <v>20100023891</v>
      </c>
    </row>
    <row r="44" spans="1:7">
      <c r="A44" s="496">
        <f t="shared" si="2"/>
        <v>43</v>
      </c>
      <c r="B44" s="496" t="s">
        <v>130</v>
      </c>
      <c r="C44" s="495" t="s">
        <v>82</v>
      </c>
      <c r="D44" s="497" t="s">
        <v>83</v>
      </c>
      <c r="E44" s="496" t="str">
        <f t="shared" si="0"/>
        <v>08</v>
      </c>
      <c r="F44" s="496">
        <v>25718</v>
      </c>
      <c r="G44" s="496" t="str">
        <f t="shared" si="1"/>
        <v>20100024277</v>
      </c>
    </row>
    <row r="45" spans="1:7">
      <c r="A45" s="496">
        <f t="shared" si="2"/>
        <v>44</v>
      </c>
      <c r="B45" s="496" t="s">
        <v>131</v>
      </c>
      <c r="C45" s="495" t="s">
        <v>85</v>
      </c>
      <c r="D45" s="497" t="s">
        <v>86</v>
      </c>
      <c r="E45" s="496" t="str">
        <f t="shared" si="0"/>
        <v>09</v>
      </c>
      <c r="F45" s="496">
        <v>25719</v>
      </c>
      <c r="G45" s="496" t="str">
        <f t="shared" si="1"/>
        <v>20100024862</v>
      </c>
    </row>
    <row r="46" spans="1:7">
      <c r="A46" s="496">
        <f t="shared" si="2"/>
        <v>45</v>
      </c>
      <c r="B46" s="496" t="s">
        <v>132</v>
      </c>
      <c r="C46" s="495" t="s">
        <v>88</v>
      </c>
      <c r="D46" s="497" t="s">
        <v>89</v>
      </c>
      <c r="E46" s="496" t="str">
        <f t="shared" si="0"/>
        <v>11</v>
      </c>
      <c r="F46" s="496">
        <v>25720</v>
      </c>
      <c r="G46" s="496" t="str">
        <f t="shared" si="1"/>
        <v>20100026130</v>
      </c>
    </row>
    <row r="47" spans="1:7">
      <c r="A47" s="496">
        <f t="shared" si="2"/>
        <v>46</v>
      </c>
      <c r="B47" s="496" t="s">
        <v>133</v>
      </c>
      <c r="C47" s="495" t="s">
        <v>91</v>
      </c>
      <c r="D47" s="497" t="s">
        <v>92</v>
      </c>
      <c r="E47" s="496" t="str">
        <f t="shared" si="0"/>
        <v>12</v>
      </c>
      <c r="F47" s="496">
        <v>25724</v>
      </c>
      <c r="G47" s="496" t="str">
        <f t="shared" si="1"/>
        <v>20100026997</v>
      </c>
    </row>
    <row r="48" spans="1:7">
      <c r="A48" s="496">
        <f t="shared" si="2"/>
        <v>47</v>
      </c>
      <c r="B48" s="496" t="s">
        <v>134</v>
      </c>
      <c r="C48" s="495" t="s">
        <v>77</v>
      </c>
      <c r="D48" s="497" t="s">
        <v>78</v>
      </c>
      <c r="E48" s="496" t="str">
        <f t="shared" si="0"/>
        <v>07</v>
      </c>
      <c r="F48" s="496">
        <v>25717</v>
      </c>
      <c r="G48" s="496" t="str">
        <f t="shared" si="1"/>
        <v>20100027021</v>
      </c>
    </row>
    <row r="49" spans="1:7">
      <c r="A49" s="496">
        <f t="shared" si="2"/>
        <v>48</v>
      </c>
      <c r="B49" s="496" t="s">
        <v>135</v>
      </c>
      <c r="C49" s="495" t="s">
        <v>82</v>
      </c>
      <c r="D49" s="497" t="s">
        <v>83</v>
      </c>
      <c r="E49" s="496" t="str">
        <f t="shared" si="0"/>
        <v>08</v>
      </c>
      <c r="F49" s="496">
        <v>25718</v>
      </c>
      <c r="G49" s="496" t="str">
        <f t="shared" si="1"/>
        <v>20100027292</v>
      </c>
    </row>
    <row r="50" spans="1:7">
      <c r="A50" s="496">
        <f t="shared" si="2"/>
        <v>49</v>
      </c>
      <c r="B50" s="496" t="s">
        <v>136</v>
      </c>
      <c r="C50" s="495" t="s">
        <v>82</v>
      </c>
      <c r="D50" s="497" t="s">
        <v>83</v>
      </c>
      <c r="E50" s="496" t="str">
        <f t="shared" si="0"/>
        <v>08</v>
      </c>
      <c r="F50" s="496">
        <v>25718</v>
      </c>
      <c r="G50" s="496" t="str">
        <f t="shared" si="1"/>
        <v>20100028850</v>
      </c>
    </row>
    <row r="51" spans="1:7">
      <c r="A51" s="496">
        <f t="shared" si="2"/>
        <v>50</v>
      </c>
      <c r="B51" s="496" t="s">
        <v>137</v>
      </c>
      <c r="C51" s="495" t="s">
        <v>85</v>
      </c>
      <c r="D51" s="497" t="s">
        <v>86</v>
      </c>
      <c r="E51" s="496" t="str">
        <f t="shared" si="0"/>
        <v>09</v>
      </c>
      <c r="F51" s="496">
        <v>25719</v>
      </c>
      <c r="G51" s="496" t="str">
        <f t="shared" si="1"/>
        <v>20100029406</v>
      </c>
    </row>
    <row r="52" spans="1:7">
      <c r="A52" s="496">
        <f t="shared" si="2"/>
        <v>51</v>
      </c>
      <c r="B52" s="496" t="s">
        <v>138</v>
      </c>
      <c r="C52" s="495" t="s">
        <v>88</v>
      </c>
      <c r="D52" s="497" t="s">
        <v>89</v>
      </c>
      <c r="E52" s="496" t="str">
        <f t="shared" si="0"/>
        <v>11</v>
      </c>
      <c r="F52" s="496">
        <v>25720</v>
      </c>
      <c r="G52" s="496" t="str">
        <f t="shared" si="1"/>
        <v>20100030242</v>
      </c>
    </row>
    <row r="53" spans="1:7">
      <c r="A53" s="496">
        <f t="shared" si="2"/>
        <v>52</v>
      </c>
      <c r="B53" s="496" t="s">
        <v>139</v>
      </c>
      <c r="C53" s="495" t="s">
        <v>91</v>
      </c>
      <c r="D53" s="497" t="s">
        <v>92</v>
      </c>
      <c r="E53" s="496" t="str">
        <f t="shared" si="0"/>
        <v>12</v>
      </c>
      <c r="F53" s="496">
        <v>25724</v>
      </c>
      <c r="G53" s="496" t="str">
        <f t="shared" si="1"/>
        <v>20100030838</v>
      </c>
    </row>
    <row r="54" spans="1:7">
      <c r="A54" s="496">
        <f t="shared" si="2"/>
        <v>53</v>
      </c>
      <c r="B54" s="496" t="s">
        <v>140</v>
      </c>
      <c r="C54" s="495" t="s">
        <v>77</v>
      </c>
      <c r="D54" s="497" t="s">
        <v>78</v>
      </c>
      <c r="E54" s="496" t="str">
        <f t="shared" si="0"/>
        <v>07</v>
      </c>
      <c r="F54" s="496">
        <v>25717</v>
      </c>
      <c r="G54" s="496" t="str">
        <f t="shared" si="1"/>
        <v>20100031648</v>
      </c>
    </row>
    <row r="55" spans="1:7">
      <c r="A55" s="496">
        <f t="shared" si="2"/>
        <v>54</v>
      </c>
      <c r="B55" s="496" t="s">
        <v>141</v>
      </c>
      <c r="C55" s="495" t="s">
        <v>82</v>
      </c>
      <c r="D55" s="497" t="s">
        <v>83</v>
      </c>
      <c r="E55" s="496" t="str">
        <f t="shared" si="0"/>
        <v>08</v>
      </c>
      <c r="F55" s="496">
        <v>25718</v>
      </c>
      <c r="G55" s="496" t="str">
        <f t="shared" si="1"/>
        <v>20100032610</v>
      </c>
    </row>
    <row r="56" spans="1:7">
      <c r="A56" s="496">
        <f t="shared" si="2"/>
        <v>55</v>
      </c>
      <c r="B56" s="496" t="s">
        <v>142</v>
      </c>
      <c r="C56" s="495" t="s">
        <v>85</v>
      </c>
      <c r="D56" s="497" t="s">
        <v>86</v>
      </c>
      <c r="E56" s="496" t="str">
        <f t="shared" si="0"/>
        <v>09</v>
      </c>
      <c r="F56" s="496">
        <v>25719</v>
      </c>
      <c r="G56" s="496" t="str">
        <f t="shared" si="1"/>
        <v>20100032709</v>
      </c>
    </row>
    <row r="57" spans="1:7">
      <c r="A57" s="496">
        <f t="shared" si="2"/>
        <v>56</v>
      </c>
      <c r="B57" s="496" t="s">
        <v>143</v>
      </c>
      <c r="C57" s="495" t="s">
        <v>88</v>
      </c>
      <c r="D57" s="497" t="s">
        <v>89</v>
      </c>
      <c r="E57" s="496" t="str">
        <f t="shared" si="0"/>
        <v>11</v>
      </c>
      <c r="F57" s="496">
        <v>25720</v>
      </c>
      <c r="G57" s="496" t="str">
        <f t="shared" si="1"/>
        <v>20100033004</v>
      </c>
    </row>
    <row r="58" spans="1:7">
      <c r="A58" s="496">
        <f t="shared" si="2"/>
        <v>57</v>
      </c>
      <c r="B58" s="496" t="s">
        <v>144</v>
      </c>
      <c r="C58" s="495" t="s">
        <v>91</v>
      </c>
      <c r="D58" s="497" t="s">
        <v>92</v>
      </c>
      <c r="E58" s="496" t="str">
        <f t="shared" si="0"/>
        <v>12</v>
      </c>
      <c r="F58" s="496">
        <v>25724</v>
      </c>
      <c r="G58" s="496" t="str">
        <f t="shared" si="1"/>
        <v>20100037689</v>
      </c>
    </row>
    <row r="59" spans="1:7">
      <c r="A59" s="496">
        <f t="shared" si="2"/>
        <v>58</v>
      </c>
      <c r="B59" s="496" t="s">
        <v>145</v>
      </c>
      <c r="C59" s="495" t="s">
        <v>77</v>
      </c>
      <c r="D59" s="497" t="s">
        <v>78</v>
      </c>
      <c r="E59" s="496" t="str">
        <f t="shared" si="0"/>
        <v>07</v>
      </c>
      <c r="F59" s="496">
        <v>25717</v>
      </c>
      <c r="G59" s="496" t="str">
        <f t="shared" si="1"/>
        <v>20100037841</v>
      </c>
    </row>
    <row r="60" spans="1:7">
      <c r="A60" s="496">
        <f t="shared" si="2"/>
        <v>59</v>
      </c>
      <c r="B60" s="496" t="s">
        <v>146</v>
      </c>
      <c r="C60" s="495" t="s">
        <v>82</v>
      </c>
      <c r="D60" s="497" t="s">
        <v>83</v>
      </c>
      <c r="E60" s="496" t="str">
        <f t="shared" si="0"/>
        <v>08</v>
      </c>
      <c r="F60" s="496">
        <v>25718</v>
      </c>
      <c r="G60" s="496" t="str">
        <f t="shared" si="1"/>
        <v>20100038146</v>
      </c>
    </row>
    <row r="61" spans="1:7">
      <c r="A61" s="496">
        <f t="shared" si="2"/>
        <v>60</v>
      </c>
      <c r="B61" s="496" t="s">
        <v>147</v>
      </c>
      <c r="C61" s="495" t="s">
        <v>85</v>
      </c>
      <c r="D61" s="497" t="s">
        <v>86</v>
      </c>
      <c r="E61" s="496" t="str">
        <f t="shared" si="0"/>
        <v>09</v>
      </c>
      <c r="F61" s="496">
        <v>25719</v>
      </c>
      <c r="G61" s="496" t="str">
        <f t="shared" si="1"/>
        <v>20100039037</v>
      </c>
    </row>
    <row r="62" spans="1:7">
      <c r="A62" s="496">
        <f t="shared" si="2"/>
        <v>61</v>
      </c>
      <c r="B62" s="496" t="s">
        <v>148</v>
      </c>
      <c r="C62" s="495" t="s">
        <v>88</v>
      </c>
      <c r="D62" s="497" t="s">
        <v>89</v>
      </c>
      <c r="E62" s="496" t="str">
        <f t="shared" si="0"/>
        <v>11</v>
      </c>
      <c r="F62" s="496">
        <v>25720</v>
      </c>
      <c r="G62" s="496" t="str">
        <f t="shared" si="1"/>
        <v>20100041520</v>
      </c>
    </row>
    <row r="63" spans="1:7">
      <c r="A63" s="496">
        <f t="shared" si="2"/>
        <v>62</v>
      </c>
      <c r="B63" s="496" t="s">
        <v>149</v>
      </c>
      <c r="C63" s="495" t="s">
        <v>91</v>
      </c>
      <c r="D63" s="497" t="s">
        <v>92</v>
      </c>
      <c r="E63" s="496" t="str">
        <f t="shared" si="0"/>
        <v>12</v>
      </c>
      <c r="F63" s="496">
        <v>25724</v>
      </c>
      <c r="G63" s="496" t="str">
        <f t="shared" si="1"/>
        <v>20100042500</v>
      </c>
    </row>
    <row r="64" spans="1:7">
      <c r="A64" s="496">
        <f t="shared" si="2"/>
        <v>63</v>
      </c>
      <c r="B64" s="496" t="s">
        <v>150</v>
      </c>
      <c r="C64" s="495" t="s">
        <v>77</v>
      </c>
      <c r="D64" s="497" t="s">
        <v>78</v>
      </c>
      <c r="E64" s="496" t="str">
        <f t="shared" si="0"/>
        <v>07</v>
      </c>
      <c r="F64" s="496">
        <v>25717</v>
      </c>
      <c r="G64" s="496" t="str">
        <f t="shared" si="1"/>
        <v>20100042763</v>
      </c>
    </row>
    <row r="65" spans="1:7">
      <c r="A65" s="496">
        <f t="shared" si="2"/>
        <v>64</v>
      </c>
      <c r="B65" s="496" t="s">
        <v>151</v>
      </c>
      <c r="C65" s="495" t="s">
        <v>82</v>
      </c>
      <c r="D65" s="497" t="s">
        <v>83</v>
      </c>
      <c r="E65" s="496" t="str">
        <f t="shared" si="0"/>
        <v>08</v>
      </c>
      <c r="F65" s="496">
        <v>25718</v>
      </c>
      <c r="G65" s="496" t="str">
        <f t="shared" si="1"/>
        <v>20100045193</v>
      </c>
    </row>
    <row r="66" spans="1:7">
      <c r="A66" s="496">
        <f t="shared" si="2"/>
        <v>65</v>
      </c>
      <c r="B66" s="496" t="s">
        <v>152</v>
      </c>
      <c r="C66" s="495" t="s">
        <v>85</v>
      </c>
      <c r="D66" s="497" t="s">
        <v>86</v>
      </c>
      <c r="E66" s="496" t="str">
        <f t="shared" si="0"/>
        <v>09</v>
      </c>
      <c r="F66" s="496">
        <v>25719</v>
      </c>
      <c r="G66" s="496" t="str">
        <f t="shared" si="1"/>
        <v>20100047056</v>
      </c>
    </row>
    <row r="67" spans="1:7">
      <c r="A67" s="496">
        <f t="shared" si="2"/>
        <v>66</v>
      </c>
      <c r="B67" s="496" t="s">
        <v>153</v>
      </c>
      <c r="C67" s="495" t="s">
        <v>88</v>
      </c>
      <c r="D67" s="497" t="s">
        <v>89</v>
      </c>
      <c r="E67" s="496" t="str">
        <f t="shared" ref="E67:E130" si="3">IF(MID(D67,14,1)="@",MID(D67,12,2),"0"&amp;MID(D67,12,1))</f>
        <v>11</v>
      </c>
      <c r="F67" s="496">
        <v>25720</v>
      </c>
      <c r="G67" s="496" t="str">
        <f t="shared" ref="G67:G130" si="4">CONCATENATE(B67)</f>
        <v>20100047137</v>
      </c>
    </row>
    <row r="68" spans="1:7">
      <c r="A68" s="496">
        <f t="shared" ref="A68:A131" si="5">+A67+1</f>
        <v>67</v>
      </c>
      <c r="B68" s="496" t="s">
        <v>154</v>
      </c>
      <c r="C68" s="495" t="s">
        <v>91</v>
      </c>
      <c r="D68" s="497" t="s">
        <v>92</v>
      </c>
      <c r="E68" s="496" t="str">
        <f t="shared" si="3"/>
        <v>12</v>
      </c>
      <c r="F68" s="496">
        <v>25724</v>
      </c>
      <c r="G68" s="496" t="str">
        <f t="shared" si="4"/>
        <v>20100047641</v>
      </c>
    </row>
    <row r="69" spans="1:7">
      <c r="A69" s="496">
        <f t="shared" si="5"/>
        <v>68</v>
      </c>
      <c r="B69" s="496" t="s">
        <v>155</v>
      </c>
      <c r="C69" s="495" t="s">
        <v>77</v>
      </c>
      <c r="D69" s="497" t="s">
        <v>78</v>
      </c>
      <c r="E69" s="496" t="str">
        <f t="shared" si="3"/>
        <v>07</v>
      </c>
      <c r="F69" s="496">
        <v>25717</v>
      </c>
      <c r="G69" s="496" t="str">
        <f t="shared" si="4"/>
        <v>20100047722</v>
      </c>
    </row>
    <row r="70" spans="1:7">
      <c r="A70" s="496">
        <f t="shared" si="5"/>
        <v>69</v>
      </c>
      <c r="B70" s="496" t="s">
        <v>156</v>
      </c>
      <c r="C70" s="495" t="s">
        <v>82</v>
      </c>
      <c r="D70" s="497" t="s">
        <v>83</v>
      </c>
      <c r="E70" s="496" t="str">
        <f t="shared" si="3"/>
        <v>08</v>
      </c>
      <c r="F70" s="496">
        <v>25718</v>
      </c>
      <c r="G70" s="496" t="str">
        <f t="shared" si="4"/>
        <v>20100049261</v>
      </c>
    </row>
    <row r="71" spans="1:7">
      <c r="A71" s="496">
        <f t="shared" si="5"/>
        <v>70</v>
      </c>
      <c r="B71" s="496" t="s">
        <v>157</v>
      </c>
      <c r="C71" s="495" t="s">
        <v>85</v>
      </c>
      <c r="D71" s="497" t="s">
        <v>86</v>
      </c>
      <c r="E71" s="496" t="str">
        <f t="shared" si="3"/>
        <v>09</v>
      </c>
      <c r="F71" s="496">
        <v>25719</v>
      </c>
      <c r="G71" s="496" t="str">
        <f t="shared" si="4"/>
        <v>20100049857</v>
      </c>
    </row>
    <row r="72" spans="1:7">
      <c r="A72" s="496">
        <f t="shared" si="5"/>
        <v>71</v>
      </c>
      <c r="B72" s="496" t="s">
        <v>158</v>
      </c>
      <c r="C72" s="495" t="s">
        <v>88</v>
      </c>
      <c r="D72" s="497" t="s">
        <v>89</v>
      </c>
      <c r="E72" s="496" t="str">
        <f t="shared" si="3"/>
        <v>11</v>
      </c>
      <c r="F72" s="496">
        <v>25720</v>
      </c>
      <c r="G72" s="496" t="str">
        <f t="shared" si="4"/>
        <v>20100050359</v>
      </c>
    </row>
    <row r="73" spans="1:7">
      <c r="A73" s="496">
        <f t="shared" si="5"/>
        <v>72</v>
      </c>
      <c r="B73" s="496" t="s">
        <v>159</v>
      </c>
      <c r="C73" s="495" t="s">
        <v>91</v>
      </c>
      <c r="D73" s="497" t="s">
        <v>92</v>
      </c>
      <c r="E73" s="496" t="str">
        <f t="shared" si="3"/>
        <v>12</v>
      </c>
      <c r="F73" s="496">
        <v>25724</v>
      </c>
      <c r="G73" s="496" t="str">
        <f t="shared" si="4"/>
        <v>20100051169</v>
      </c>
    </row>
    <row r="74" spans="1:7">
      <c r="A74" s="496">
        <f t="shared" si="5"/>
        <v>73</v>
      </c>
      <c r="B74" s="496" t="s">
        <v>160</v>
      </c>
      <c r="C74" s="495" t="s">
        <v>77</v>
      </c>
      <c r="D74" s="497" t="s">
        <v>78</v>
      </c>
      <c r="E74" s="496" t="str">
        <f t="shared" si="3"/>
        <v>07</v>
      </c>
      <c r="F74" s="496">
        <v>25717</v>
      </c>
      <c r="G74" s="496" t="str">
        <f t="shared" si="4"/>
        <v>20100052050</v>
      </c>
    </row>
    <row r="75" spans="1:7">
      <c r="A75" s="496">
        <f t="shared" si="5"/>
        <v>74</v>
      </c>
      <c r="B75" s="496" t="s">
        <v>161</v>
      </c>
      <c r="C75" s="495" t="s">
        <v>82</v>
      </c>
      <c r="D75" s="497" t="s">
        <v>83</v>
      </c>
      <c r="E75" s="496" t="str">
        <f t="shared" si="3"/>
        <v>08</v>
      </c>
      <c r="F75" s="496">
        <v>25718</v>
      </c>
      <c r="G75" s="496" t="str">
        <f t="shared" si="4"/>
        <v>20100052564</v>
      </c>
    </row>
    <row r="76" spans="1:7">
      <c r="A76" s="496">
        <f t="shared" si="5"/>
        <v>75</v>
      </c>
      <c r="B76" s="496" t="s">
        <v>162</v>
      </c>
      <c r="C76" s="495" t="s">
        <v>85</v>
      </c>
      <c r="D76" s="497" t="s">
        <v>86</v>
      </c>
      <c r="E76" s="496" t="str">
        <f t="shared" si="3"/>
        <v>09</v>
      </c>
      <c r="F76" s="496">
        <v>25719</v>
      </c>
      <c r="G76" s="496" t="str">
        <f t="shared" si="4"/>
        <v>20100055318</v>
      </c>
    </row>
    <row r="77" spans="1:7">
      <c r="A77" s="496">
        <f t="shared" si="5"/>
        <v>76</v>
      </c>
      <c r="B77" s="496" t="s">
        <v>163</v>
      </c>
      <c r="C77" s="495" t="s">
        <v>88</v>
      </c>
      <c r="D77" s="497" t="s">
        <v>89</v>
      </c>
      <c r="E77" s="496" t="str">
        <f t="shared" si="3"/>
        <v>11</v>
      </c>
      <c r="F77" s="496">
        <v>25720</v>
      </c>
      <c r="G77" s="496" t="str">
        <f t="shared" si="4"/>
        <v>20100055661</v>
      </c>
    </row>
    <row r="78" spans="1:7">
      <c r="A78" s="496">
        <f t="shared" si="5"/>
        <v>77</v>
      </c>
      <c r="B78" s="496" t="s">
        <v>164</v>
      </c>
      <c r="C78" s="495" t="s">
        <v>91</v>
      </c>
      <c r="D78" s="497" t="s">
        <v>92</v>
      </c>
      <c r="E78" s="496" t="str">
        <f t="shared" si="3"/>
        <v>12</v>
      </c>
      <c r="F78" s="496">
        <v>25724</v>
      </c>
      <c r="G78" s="496" t="str">
        <f t="shared" si="4"/>
        <v>20100056802</v>
      </c>
    </row>
    <row r="79" spans="1:7">
      <c r="A79" s="496">
        <f t="shared" si="5"/>
        <v>78</v>
      </c>
      <c r="B79" s="496" t="s">
        <v>165</v>
      </c>
      <c r="C79" s="495" t="s">
        <v>77</v>
      </c>
      <c r="D79" s="497" t="s">
        <v>78</v>
      </c>
      <c r="E79" s="496" t="str">
        <f t="shared" si="3"/>
        <v>07</v>
      </c>
      <c r="F79" s="496">
        <v>25717</v>
      </c>
      <c r="G79" s="496" t="str">
        <f t="shared" si="4"/>
        <v>20100057523</v>
      </c>
    </row>
    <row r="80" spans="1:7">
      <c r="A80" s="496">
        <f t="shared" si="5"/>
        <v>79</v>
      </c>
      <c r="B80" s="496" t="s">
        <v>166</v>
      </c>
      <c r="C80" s="495" t="s">
        <v>82</v>
      </c>
      <c r="D80" s="497" t="s">
        <v>83</v>
      </c>
      <c r="E80" s="496" t="str">
        <f t="shared" si="3"/>
        <v>08</v>
      </c>
      <c r="F80" s="496">
        <v>25718</v>
      </c>
      <c r="G80" s="496" t="str">
        <f t="shared" si="4"/>
        <v>20100058503</v>
      </c>
    </row>
    <row r="81" spans="1:7">
      <c r="A81" s="496">
        <f t="shared" si="5"/>
        <v>80</v>
      </c>
      <c r="B81" s="496" t="s">
        <v>167</v>
      </c>
      <c r="C81" s="495" t="s">
        <v>85</v>
      </c>
      <c r="D81" s="497" t="s">
        <v>86</v>
      </c>
      <c r="E81" s="496" t="str">
        <f t="shared" si="3"/>
        <v>09</v>
      </c>
      <c r="F81" s="496">
        <v>25719</v>
      </c>
      <c r="G81" s="496" t="str">
        <f t="shared" si="4"/>
        <v>20100060150</v>
      </c>
    </row>
    <row r="82" spans="1:7">
      <c r="A82" s="496">
        <f t="shared" si="5"/>
        <v>81</v>
      </c>
      <c r="B82" s="496" t="s">
        <v>168</v>
      </c>
      <c r="C82" s="495" t="s">
        <v>88</v>
      </c>
      <c r="D82" s="497" t="s">
        <v>89</v>
      </c>
      <c r="E82" s="496" t="str">
        <f t="shared" si="3"/>
        <v>11</v>
      </c>
      <c r="F82" s="496">
        <v>25720</v>
      </c>
      <c r="G82" s="496" t="str">
        <f t="shared" si="4"/>
        <v>20100063680</v>
      </c>
    </row>
    <row r="83" spans="1:7">
      <c r="A83" s="496">
        <f t="shared" si="5"/>
        <v>82</v>
      </c>
      <c r="B83" s="496" t="s">
        <v>169</v>
      </c>
      <c r="C83" s="495" t="s">
        <v>91</v>
      </c>
      <c r="D83" s="497" t="s">
        <v>92</v>
      </c>
      <c r="E83" s="496" t="str">
        <f t="shared" si="3"/>
        <v>12</v>
      </c>
      <c r="F83" s="496">
        <v>25724</v>
      </c>
      <c r="G83" s="496" t="str">
        <f t="shared" si="4"/>
        <v>20100064490</v>
      </c>
    </row>
    <row r="84" spans="1:7">
      <c r="A84" s="496">
        <f t="shared" si="5"/>
        <v>83</v>
      </c>
      <c r="B84" s="496" t="s">
        <v>170</v>
      </c>
      <c r="C84" s="495" t="s">
        <v>77</v>
      </c>
      <c r="D84" s="497" t="s">
        <v>78</v>
      </c>
      <c r="E84" s="496" t="str">
        <f t="shared" si="3"/>
        <v>07</v>
      </c>
      <c r="F84" s="496">
        <v>25717</v>
      </c>
      <c r="G84" s="496" t="str">
        <f t="shared" si="4"/>
        <v>20100064571</v>
      </c>
    </row>
    <row r="85" spans="1:7">
      <c r="A85" s="496">
        <f t="shared" si="5"/>
        <v>84</v>
      </c>
      <c r="B85" s="496" t="s">
        <v>171</v>
      </c>
      <c r="C85" s="495" t="s">
        <v>82</v>
      </c>
      <c r="D85" s="497" t="s">
        <v>83</v>
      </c>
      <c r="E85" s="496" t="str">
        <f t="shared" si="3"/>
        <v>08</v>
      </c>
      <c r="F85" s="496">
        <v>25718</v>
      </c>
      <c r="G85" s="496" t="str">
        <f t="shared" si="4"/>
        <v>20100065038</v>
      </c>
    </row>
    <row r="86" spans="1:7">
      <c r="A86" s="496">
        <f t="shared" si="5"/>
        <v>85</v>
      </c>
      <c r="B86" s="496" t="s">
        <v>172</v>
      </c>
      <c r="C86" s="495" t="s">
        <v>85</v>
      </c>
      <c r="D86" s="497" t="s">
        <v>86</v>
      </c>
      <c r="E86" s="496" t="str">
        <f t="shared" si="3"/>
        <v>09</v>
      </c>
      <c r="F86" s="496">
        <v>25719</v>
      </c>
      <c r="G86" s="496" t="str">
        <f t="shared" si="4"/>
        <v>20100066352</v>
      </c>
    </row>
    <row r="87" spans="1:7" s="498" customFormat="1">
      <c r="A87" s="496">
        <f t="shared" si="5"/>
        <v>86</v>
      </c>
      <c r="B87" s="496" t="s">
        <v>173</v>
      </c>
      <c r="C87" s="495" t="s">
        <v>88</v>
      </c>
      <c r="D87" s="497" t="s">
        <v>89</v>
      </c>
      <c r="E87" s="496" t="str">
        <f t="shared" si="3"/>
        <v>11</v>
      </c>
      <c r="F87" s="496">
        <v>25720</v>
      </c>
      <c r="G87" s="496" t="str">
        <f t="shared" si="4"/>
        <v>20100066867</v>
      </c>
    </row>
    <row r="88" spans="1:7">
      <c r="A88" s="496">
        <f t="shared" si="5"/>
        <v>87</v>
      </c>
      <c r="B88" s="496" t="s">
        <v>174</v>
      </c>
      <c r="C88" s="495" t="s">
        <v>91</v>
      </c>
      <c r="D88" s="497" t="s">
        <v>92</v>
      </c>
      <c r="E88" s="496" t="str">
        <f t="shared" si="3"/>
        <v>12</v>
      </c>
      <c r="F88" s="496">
        <v>25724</v>
      </c>
      <c r="G88" s="496" t="str">
        <f t="shared" si="4"/>
        <v>20100067081</v>
      </c>
    </row>
    <row r="89" spans="1:7">
      <c r="A89" s="496">
        <f t="shared" si="5"/>
        <v>88</v>
      </c>
      <c r="B89" s="496" t="s">
        <v>175</v>
      </c>
      <c r="C89" s="495" t="s">
        <v>77</v>
      </c>
      <c r="D89" s="497" t="s">
        <v>78</v>
      </c>
      <c r="E89" s="496" t="str">
        <f t="shared" si="3"/>
        <v>07</v>
      </c>
      <c r="F89" s="496">
        <v>25717</v>
      </c>
      <c r="G89" s="496" t="str">
        <f t="shared" si="4"/>
        <v>20100067324</v>
      </c>
    </row>
    <row r="90" spans="1:7">
      <c r="A90" s="496">
        <f t="shared" si="5"/>
        <v>89</v>
      </c>
      <c r="B90" s="496" t="s">
        <v>176</v>
      </c>
      <c r="C90" s="495" t="s">
        <v>82</v>
      </c>
      <c r="D90" s="497" t="s">
        <v>83</v>
      </c>
      <c r="E90" s="496" t="str">
        <f t="shared" si="3"/>
        <v>08</v>
      </c>
      <c r="F90" s="496">
        <v>25718</v>
      </c>
      <c r="G90" s="496" t="str">
        <f t="shared" si="4"/>
        <v>20100067596</v>
      </c>
    </row>
    <row r="91" spans="1:7">
      <c r="A91" s="496">
        <f t="shared" si="5"/>
        <v>90</v>
      </c>
      <c r="B91" s="496" t="s">
        <v>177</v>
      </c>
      <c r="C91" s="495" t="s">
        <v>85</v>
      </c>
      <c r="D91" s="497" t="s">
        <v>86</v>
      </c>
      <c r="E91" s="496" t="str">
        <f t="shared" si="3"/>
        <v>09</v>
      </c>
      <c r="F91" s="496">
        <v>25719</v>
      </c>
      <c r="G91" s="496" t="str">
        <f t="shared" si="4"/>
        <v>20100067910</v>
      </c>
    </row>
    <row r="92" spans="1:7">
      <c r="A92" s="496">
        <f t="shared" si="5"/>
        <v>91</v>
      </c>
      <c r="B92" s="496" t="s">
        <v>178</v>
      </c>
      <c r="C92" s="495" t="s">
        <v>88</v>
      </c>
      <c r="D92" s="497" t="s">
        <v>89</v>
      </c>
      <c r="E92" s="496" t="str">
        <f t="shared" si="3"/>
        <v>11</v>
      </c>
      <c r="F92" s="496">
        <v>25720</v>
      </c>
      <c r="G92" s="496" t="str">
        <f t="shared" si="4"/>
        <v>20100068487</v>
      </c>
    </row>
    <row r="93" spans="1:7">
      <c r="A93" s="496">
        <f t="shared" si="5"/>
        <v>92</v>
      </c>
      <c r="B93" s="496" t="s">
        <v>179</v>
      </c>
      <c r="C93" s="495" t="s">
        <v>91</v>
      </c>
      <c r="D93" s="497" t="s">
        <v>92</v>
      </c>
      <c r="E93" s="496" t="str">
        <f t="shared" si="3"/>
        <v>12</v>
      </c>
      <c r="F93" s="496">
        <v>25724</v>
      </c>
      <c r="G93" s="496" t="str">
        <f t="shared" si="4"/>
        <v>20100068649</v>
      </c>
    </row>
    <row r="94" spans="1:7">
      <c r="A94" s="496">
        <f t="shared" si="5"/>
        <v>93</v>
      </c>
      <c r="B94" s="496" t="s">
        <v>180</v>
      </c>
      <c r="C94" s="495" t="s">
        <v>77</v>
      </c>
      <c r="D94" s="497" t="s">
        <v>78</v>
      </c>
      <c r="E94" s="496" t="str">
        <f t="shared" si="3"/>
        <v>07</v>
      </c>
      <c r="F94" s="496">
        <v>25717</v>
      </c>
      <c r="G94" s="496" t="str">
        <f t="shared" si="4"/>
        <v>20100068720</v>
      </c>
    </row>
    <row r="95" spans="1:7">
      <c r="A95" s="496">
        <f t="shared" si="5"/>
        <v>94</v>
      </c>
      <c r="B95" s="496" t="s">
        <v>181</v>
      </c>
      <c r="C95" s="495" t="s">
        <v>82</v>
      </c>
      <c r="D95" s="497" t="s">
        <v>83</v>
      </c>
      <c r="E95" s="496" t="str">
        <f t="shared" si="3"/>
        <v>08</v>
      </c>
      <c r="F95" s="496">
        <v>25718</v>
      </c>
      <c r="G95" s="496" t="str">
        <f t="shared" si="4"/>
        <v>20100069297</v>
      </c>
    </row>
    <row r="96" spans="1:7">
      <c r="A96" s="496">
        <f t="shared" si="5"/>
        <v>95</v>
      </c>
      <c r="B96" s="496" t="s">
        <v>182</v>
      </c>
      <c r="C96" s="495" t="s">
        <v>85</v>
      </c>
      <c r="D96" s="497" t="s">
        <v>86</v>
      </c>
      <c r="E96" s="496" t="str">
        <f t="shared" si="3"/>
        <v>09</v>
      </c>
      <c r="F96" s="496">
        <v>25719</v>
      </c>
      <c r="G96" s="496" t="str">
        <f t="shared" si="4"/>
        <v>20100069963</v>
      </c>
    </row>
    <row r="97" spans="1:7">
      <c r="A97" s="496">
        <f t="shared" si="5"/>
        <v>96</v>
      </c>
      <c r="B97" s="496" t="s">
        <v>183</v>
      </c>
      <c r="C97" s="495" t="s">
        <v>85</v>
      </c>
      <c r="D97" s="497" t="s">
        <v>86</v>
      </c>
      <c r="E97" s="496" t="str">
        <f t="shared" si="3"/>
        <v>09</v>
      </c>
      <c r="F97" s="496">
        <v>25719</v>
      </c>
      <c r="G97" s="496" t="str">
        <f t="shared" si="4"/>
        <v>20100070031</v>
      </c>
    </row>
    <row r="98" spans="1:7">
      <c r="A98" s="496">
        <f t="shared" si="5"/>
        <v>97</v>
      </c>
      <c r="B98" s="496" t="s">
        <v>184</v>
      </c>
      <c r="C98" s="495" t="s">
        <v>88</v>
      </c>
      <c r="D98" s="497" t="s">
        <v>89</v>
      </c>
      <c r="E98" s="496" t="str">
        <f t="shared" si="3"/>
        <v>11</v>
      </c>
      <c r="F98" s="496">
        <v>25720</v>
      </c>
      <c r="G98" s="496" t="str">
        <f t="shared" si="4"/>
        <v>20100070546</v>
      </c>
    </row>
    <row r="99" spans="1:7">
      <c r="A99" s="496">
        <f t="shared" si="5"/>
        <v>98</v>
      </c>
      <c r="B99" s="496" t="s">
        <v>185</v>
      </c>
      <c r="C99" s="495" t="s">
        <v>91</v>
      </c>
      <c r="D99" s="497" t="s">
        <v>92</v>
      </c>
      <c r="E99" s="496" t="str">
        <f t="shared" si="3"/>
        <v>12</v>
      </c>
      <c r="F99" s="496">
        <v>25724</v>
      </c>
      <c r="G99" s="496" t="str">
        <f t="shared" si="4"/>
        <v>20100072247</v>
      </c>
    </row>
    <row r="100" spans="1:7">
      <c r="A100" s="496">
        <f t="shared" si="5"/>
        <v>99</v>
      </c>
      <c r="B100" s="496" t="s">
        <v>186</v>
      </c>
      <c r="C100" s="495" t="s">
        <v>77</v>
      </c>
      <c r="D100" s="497" t="s">
        <v>78</v>
      </c>
      <c r="E100" s="496" t="str">
        <f t="shared" si="3"/>
        <v>07</v>
      </c>
      <c r="F100" s="496">
        <v>25717</v>
      </c>
      <c r="G100" s="496" t="str">
        <f t="shared" si="4"/>
        <v>20100073308</v>
      </c>
    </row>
    <row r="101" spans="1:7">
      <c r="A101" s="496">
        <f t="shared" si="5"/>
        <v>100</v>
      </c>
      <c r="B101" s="496" t="s">
        <v>187</v>
      </c>
      <c r="C101" s="495" t="s">
        <v>82</v>
      </c>
      <c r="D101" s="497" t="s">
        <v>83</v>
      </c>
      <c r="E101" s="496" t="str">
        <f t="shared" si="3"/>
        <v>08</v>
      </c>
      <c r="F101" s="496">
        <v>25718</v>
      </c>
      <c r="G101" s="496" t="str">
        <f t="shared" si="4"/>
        <v>20100073723</v>
      </c>
    </row>
    <row r="102" spans="1:7">
      <c r="A102" s="496">
        <f t="shared" si="5"/>
        <v>101</v>
      </c>
      <c r="B102" s="496" t="s">
        <v>188</v>
      </c>
      <c r="C102" s="495" t="s">
        <v>85</v>
      </c>
      <c r="D102" s="497" t="s">
        <v>86</v>
      </c>
      <c r="E102" s="496" t="str">
        <f t="shared" si="3"/>
        <v>09</v>
      </c>
      <c r="F102" s="496">
        <v>25719</v>
      </c>
      <c r="G102" s="496" t="str">
        <f t="shared" si="4"/>
        <v>20100074029</v>
      </c>
    </row>
    <row r="103" spans="1:7">
      <c r="A103" s="496">
        <f t="shared" si="5"/>
        <v>102</v>
      </c>
      <c r="B103" s="496" t="s">
        <v>189</v>
      </c>
      <c r="C103" s="495" t="s">
        <v>88</v>
      </c>
      <c r="D103" s="497" t="s">
        <v>89</v>
      </c>
      <c r="E103" s="496" t="str">
        <f t="shared" si="3"/>
        <v>11</v>
      </c>
      <c r="F103" s="496">
        <v>25720</v>
      </c>
      <c r="G103" s="496" t="str">
        <f t="shared" si="4"/>
        <v>20100074371</v>
      </c>
    </row>
    <row r="104" spans="1:7">
      <c r="A104" s="496">
        <f t="shared" si="5"/>
        <v>103</v>
      </c>
      <c r="B104" s="496" t="s">
        <v>190</v>
      </c>
      <c r="C104" s="495" t="s">
        <v>88</v>
      </c>
      <c r="D104" s="497" t="s">
        <v>89</v>
      </c>
      <c r="E104" s="496" t="str">
        <f t="shared" si="3"/>
        <v>11</v>
      </c>
      <c r="F104" s="496">
        <v>25720</v>
      </c>
      <c r="G104" s="496" t="str">
        <f t="shared" si="4"/>
        <v>20100077044</v>
      </c>
    </row>
    <row r="105" spans="1:7">
      <c r="A105" s="496">
        <f t="shared" si="5"/>
        <v>104</v>
      </c>
      <c r="B105" s="496" t="s">
        <v>191</v>
      </c>
      <c r="C105" s="495" t="s">
        <v>91</v>
      </c>
      <c r="D105" s="497" t="s">
        <v>92</v>
      </c>
      <c r="E105" s="496" t="str">
        <f t="shared" si="3"/>
        <v>12</v>
      </c>
      <c r="F105" s="496">
        <v>25724</v>
      </c>
      <c r="G105" s="496" t="str">
        <f t="shared" si="4"/>
        <v>20100077630</v>
      </c>
    </row>
    <row r="106" spans="1:7">
      <c r="A106" s="496">
        <f t="shared" si="5"/>
        <v>105</v>
      </c>
      <c r="B106" s="496" t="s">
        <v>192</v>
      </c>
      <c r="C106" s="495" t="s">
        <v>77</v>
      </c>
      <c r="D106" s="497" t="s">
        <v>78</v>
      </c>
      <c r="E106" s="496" t="str">
        <f t="shared" si="3"/>
        <v>07</v>
      </c>
      <c r="F106" s="496">
        <v>25717</v>
      </c>
      <c r="G106" s="496" t="str">
        <f t="shared" si="4"/>
        <v>20100078792</v>
      </c>
    </row>
    <row r="107" spans="1:7">
      <c r="A107" s="496">
        <f t="shared" si="5"/>
        <v>106</v>
      </c>
      <c r="B107" s="496" t="s">
        <v>193</v>
      </c>
      <c r="C107" s="495" t="s">
        <v>82</v>
      </c>
      <c r="D107" s="497" t="s">
        <v>83</v>
      </c>
      <c r="E107" s="496" t="str">
        <f t="shared" si="3"/>
        <v>08</v>
      </c>
      <c r="F107" s="496">
        <v>25718</v>
      </c>
      <c r="G107" s="496" t="str">
        <f t="shared" si="4"/>
        <v>20100079683</v>
      </c>
    </row>
    <row r="108" spans="1:7">
      <c r="A108" s="496">
        <f t="shared" si="5"/>
        <v>107</v>
      </c>
      <c r="B108" s="496" t="s">
        <v>194</v>
      </c>
      <c r="C108" s="495" t="s">
        <v>85</v>
      </c>
      <c r="D108" s="497" t="s">
        <v>86</v>
      </c>
      <c r="E108" s="496" t="str">
        <f t="shared" si="3"/>
        <v>09</v>
      </c>
      <c r="F108" s="496">
        <v>25719</v>
      </c>
      <c r="G108" s="496" t="str">
        <f t="shared" si="4"/>
        <v>20100080002</v>
      </c>
    </row>
    <row r="109" spans="1:7">
      <c r="A109" s="496">
        <f t="shared" si="5"/>
        <v>108</v>
      </c>
      <c r="B109" s="496" t="s">
        <v>195</v>
      </c>
      <c r="C109" s="495" t="s">
        <v>88</v>
      </c>
      <c r="D109" s="497" t="s">
        <v>89</v>
      </c>
      <c r="E109" s="496" t="str">
        <f t="shared" si="3"/>
        <v>11</v>
      </c>
      <c r="F109" s="496">
        <v>25720</v>
      </c>
      <c r="G109" s="496" t="str">
        <f t="shared" si="4"/>
        <v>20100080185</v>
      </c>
    </row>
    <row r="110" spans="1:7">
      <c r="A110" s="496">
        <f t="shared" si="5"/>
        <v>109</v>
      </c>
      <c r="B110" s="496" t="s">
        <v>196</v>
      </c>
      <c r="C110" s="495" t="s">
        <v>91</v>
      </c>
      <c r="D110" s="497" t="s">
        <v>92</v>
      </c>
      <c r="E110" s="496" t="str">
        <f t="shared" si="3"/>
        <v>12</v>
      </c>
      <c r="F110" s="496">
        <v>25724</v>
      </c>
      <c r="G110" s="496" t="str">
        <f t="shared" si="4"/>
        <v>20100080932</v>
      </c>
    </row>
    <row r="111" spans="1:7">
      <c r="A111" s="496">
        <f t="shared" si="5"/>
        <v>110</v>
      </c>
      <c r="B111" s="496" t="s">
        <v>197</v>
      </c>
      <c r="C111" s="495" t="s">
        <v>77</v>
      </c>
      <c r="D111" s="497" t="s">
        <v>78</v>
      </c>
      <c r="E111" s="496" t="str">
        <f t="shared" si="3"/>
        <v>07</v>
      </c>
      <c r="F111" s="496">
        <v>25717</v>
      </c>
      <c r="G111" s="496" t="str">
        <f t="shared" si="4"/>
        <v>20100081157</v>
      </c>
    </row>
    <row r="112" spans="1:7">
      <c r="A112" s="496">
        <f t="shared" si="5"/>
        <v>111</v>
      </c>
      <c r="B112" s="496" t="s">
        <v>198</v>
      </c>
      <c r="C112" s="495" t="s">
        <v>82</v>
      </c>
      <c r="D112" s="497" t="s">
        <v>83</v>
      </c>
      <c r="E112" s="496" t="str">
        <f t="shared" si="3"/>
        <v>08</v>
      </c>
      <c r="F112" s="496">
        <v>25718</v>
      </c>
      <c r="G112" s="496" t="str">
        <f t="shared" si="4"/>
        <v>20100081581</v>
      </c>
    </row>
    <row r="113" spans="1:7">
      <c r="A113" s="496">
        <f t="shared" si="5"/>
        <v>112</v>
      </c>
      <c r="B113" s="496" t="s">
        <v>199</v>
      </c>
      <c r="C113" s="495" t="s">
        <v>85</v>
      </c>
      <c r="D113" s="497" t="s">
        <v>86</v>
      </c>
      <c r="E113" s="496" t="str">
        <f t="shared" si="3"/>
        <v>09</v>
      </c>
      <c r="F113" s="496">
        <v>25719</v>
      </c>
      <c r="G113" s="496" t="str">
        <f t="shared" si="4"/>
        <v>20100082633</v>
      </c>
    </row>
    <row r="114" spans="1:7">
      <c r="A114" s="496">
        <f t="shared" si="5"/>
        <v>113</v>
      </c>
      <c r="B114" s="496" t="s">
        <v>200</v>
      </c>
      <c r="C114" s="495" t="s">
        <v>88</v>
      </c>
      <c r="D114" s="497" t="s">
        <v>89</v>
      </c>
      <c r="E114" s="496" t="str">
        <f t="shared" si="3"/>
        <v>11</v>
      </c>
      <c r="F114" s="496">
        <v>25720</v>
      </c>
      <c r="G114" s="496" t="str">
        <f t="shared" si="4"/>
        <v>20100082803</v>
      </c>
    </row>
    <row r="115" spans="1:7">
      <c r="A115" s="496">
        <f t="shared" si="5"/>
        <v>114</v>
      </c>
      <c r="B115" s="496" t="s">
        <v>201</v>
      </c>
      <c r="C115" s="495" t="s">
        <v>91</v>
      </c>
      <c r="D115" s="497" t="s">
        <v>92</v>
      </c>
      <c r="E115" s="496" t="str">
        <f t="shared" si="3"/>
        <v>12</v>
      </c>
      <c r="F115" s="496">
        <v>25724</v>
      </c>
      <c r="G115" s="496" t="str">
        <f t="shared" si="4"/>
        <v>20100083281</v>
      </c>
    </row>
    <row r="116" spans="1:7">
      <c r="A116" s="496">
        <f t="shared" si="5"/>
        <v>115</v>
      </c>
      <c r="B116" s="496" t="s">
        <v>202</v>
      </c>
      <c r="C116" s="495" t="s">
        <v>77</v>
      </c>
      <c r="D116" s="497" t="s">
        <v>78</v>
      </c>
      <c r="E116" s="496" t="str">
        <f t="shared" si="3"/>
        <v>07</v>
      </c>
      <c r="F116" s="496">
        <v>25717</v>
      </c>
      <c r="G116" s="496" t="str">
        <f t="shared" si="4"/>
        <v>20100083362</v>
      </c>
    </row>
    <row r="117" spans="1:7">
      <c r="A117" s="496">
        <f t="shared" si="5"/>
        <v>116</v>
      </c>
      <c r="B117" s="496" t="s">
        <v>203</v>
      </c>
      <c r="C117" s="495" t="s">
        <v>91</v>
      </c>
      <c r="D117" s="497" t="s">
        <v>92</v>
      </c>
      <c r="E117" s="496" t="str">
        <f t="shared" si="3"/>
        <v>12</v>
      </c>
      <c r="F117" s="496">
        <v>25724</v>
      </c>
      <c r="G117" s="496" t="str">
        <f t="shared" si="4"/>
        <v>20100083877</v>
      </c>
    </row>
    <row r="118" spans="1:7">
      <c r="A118" s="496">
        <f t="shared" si="5"/>
        <v>117</v>
      </c>
      <c r="B118" s="496" t="s">
        <v>204</v>
      </c>
      <c r="C118" s="495" t="s">
        <v>82</v>
      </c>
      <c r="D118" s="497" t="s">
        <v>83</v>
      </c>
      <c r="E118" s="496" t="str">
        <f t="shared" si="3"/>
        <v>08</v>
      </c>
      <c r="F118" s="496">
        <v>25718</v>
      </c>
      <c r="G118" s="496" t="str">
        <f t="shared" si="4"/>
        <v>20100084172</v>
      </c>
    </row>
    <row r="119" spans="1:7">
      <c r="A119" s="496">
        <f t="shared" si="5"/>
        <v>118</v>
      </c>
      <c r="B119" s="496" t="s">
        <v>205</v>
      </c>
      <c r="C119" s="495" t="s">
        <v>85</v>
      </c>
      <c r="D119" s="497" t="s">
        <v>86</v>
      </c>
      <c r="E119" s="496" t="str">
        <f t="shared" si="3"/>
        <v>09</v>
      </c>
      <c r="F119" s="496">
        <v>25719</v>
      </c>
      <c r="G119" s="496" t="str">
        <f t="shared" si="4"/>
        <v>20100084768</v>
      </c>
    </row>
    <row r="120" spans="1:7">
      <c r="A120" s="496">
        <f t="shared" si="5"/>
        <v>119</v>
      </c>
      <c r="B120" s="496" t="s">
        <v>206</v>
      </c>
      <c r="C120" s="495" t="s">
        <v>88</v>
      </c>
      <c r="D120" s="497" t="s">
        <v>89</v>
      </c>
      <c r="E120" s="496" t="str">
        <f t="shared" si="3"/>
        <v>11</v>
      </c>
      <c r="F120" s="496">
        <v>25720</v>
      </c>
      <c r="G120" s="496" t="str">
        <f t="shared" si="4"/>
        <v>20100084920</v>
      </c>
    </row>
    <row r="121" spans="1:7">
      <c r="A121" s="496">
        <f t="shared" si="5"/>
        <v>120</v>
      </c>
      <c r="B121" s="496" t="s">
        <v>207</v>
      </c>
      <c r="C121" s="495" t="s">
        <v>91</v>
      </c>
      <c r="D121" s="497" t="s">
        <v>92</v>
      </c>
      <c r="E121" s="496" t="str">
        <f t="shared" si="3"/>
        <v>12</v>
      </c>
      <c r="F121" s="496">
        <v>25724</v>
      </c>
      <c r="G121" s="496" t="str">
        <f t="shared" si="4"/>
        <v>20100085578</v>
      </c>
    </row>
    <row r="122" spans="1:7">
      <c r="A122" s="496">
        <f t="shared" si="5"/>
        <v>121</v>
      </c>
      <c r="B122" s="496" t="s">
        <v>208</v>
      </c>
      <c r="C122" s="495" t="s">
        <v>77</v>
      </c>
      <c r="D122" s="497" t="s">
        <v>78</v>
      </c>
      <c r="E122" s="496" t="str">
        <f t="shared" si="3"/>
        <v>07</v>
      </c>
      <c r="F122" s="496">
        <v>25717</v>
      </c>
      <c r="G122" s="496" t="str">
        <f t="shared" si="4"/>
        <v>20100086388</v>
      </c>
    </row>
    <row r="123" spans="1:7">
      <c r="A123" s="496">
        <f t="shared" si="5"/>
        <v>122</v>
      </c>
      <c r="B123" s="496" t="s">
        <v>209</v>
      </c>
      <c r="C123" s="495" t="s">
        <v>82</v>
      </c>
      <c r="D123" s="497" t="s">
        <v>83</v>
      </c>
      <c r="E123" s="496" t="str">
        <f t="shared" si="3"/>
        <v>08</v>
      </c>
      <c r="F123" s="496">
        <v>25718</v>
      </c>
      <c r="G123" s="496" t="str">
        <f t="shared" si="4"/>
        <v>20100087198</v>
      </c>
    </row>
    <row r="124" spans="1:7">
      <c r="A124" s="496">
        <f t="shared" si="5"/>
        <v>123</v>
      </c>
      <c r="B124" s="496" t="s">
        <v>210</v>
      </c>
      <c r="C124" s="495" t="s">
        <v>85</v>
      </c>
      <c r="D124" s="497" t="s">
        <v>86</v>
      </c>
      <c r="E124" s="496" t="str">
        <f t="shared" si="3"/>
        <v>09</v>
      </c>
      <c r="F124" s="496">
        <v>25719</v>
      </c>
      <c r="G124" s="496" t="str">
        <f t="shared" si="4"/>
        <v>20100089051</v>
      </c>
    </row>
    <row r="125" spans="1:7">
      <c r="A125" s="496">
        <f t="shared" si="5"/>
        <v>124</v>
      </c>
      <c r="B125" s="496" t="s">
        <v>211</v>
      </c>
      <c r="C125" s="495" t="s">
        <v>88</v>
      </c>
      <c r="D125" s="497" t="s">
        <v>89</v>
      </c>
      <c r="E125" s="496" t="str">
        <f t="shared" si="3"/>
        <v>11</v>
      </c>
      <c r="F125" s="496">
        <v>25720</v>
      </c>
      <c r="G125" s="496" t="str">
        <f t="shared" si="4"/>
        <v>20100089999</v>
      </c>
    </row>
    <row r="126" spans="1:7">
      <c r="A126" s="496">
        <f t="shared" si="5"/>
        <v>125</v>
      </c>
      <c r="B126" s="496" t="s">
        <v>212</v>
      </c>
      <c r="C126" s="495" t="s">
        <v>91</v>
      </c>
      <c r="D126" s="497" t="s">
        <v>92</v>
      </c>
      <c r="E126" s="496" t="str">
        <f t="shared" si="3"/>
        <v>12</v>
      </c>
      <c r="F126" s="496">
        <v>25724</v>
      </c>
      <c r="G126" s="496" t="str">
        <f t="shared" si="4"/>
        <v>20100090067</v>
      </c>
    </row>
    <row r="127" spans="1:7">
      <c r="A127" s="496">
        <f t="shared" si="5"/>
        <v>126</v>
      </c>
      <c r="B127" s="496" t="s">
        <v>213</v>
      </c>
      <c r="C127" s="495" t="s">
        <v>77</v>
      </c>
      <c r="D127" s="497" t="s">
        <v>78</v>
      </c>
      <c r="E127" s="496" t="str">
        <f t="shared" si="3"/>
        <v>07</v>
      </c>
      <c r="F127" s="496">
        <v>25717</v>
      </c>
      <c r="G127" s="496" t="str">
        <f t="shared" si="4"/>
        <v>20100091543</v>
      </c>
    </row>
    <row r="128" spans="1:7">
      <c r="A128" s="496">
        <f t="shared" si="5"/>
        <v>127</v>
      </c>
      <c r="B128" s="496" t="s">
        <v>214</v>
      </c>
      <c r="C128" s="495" t="s">
        <v>82</v>
      </c>
      <c r="D128" s="497" t="s">
        <v>83</v>
      </c>
      <c r="E128" s="496" t="str">
        <f t="shared" si="3"/>
        <v>08</v>
      </c>
      <c r="F128" s="496">
        <v>25718</v>
      </c>
      <c r="G128" s="496" t="str">
        <f t="shared" si="4"/>
        <v>20100093082</v>
      </c>
    </row>
    <row r="129" spans="1:7">
      <c r="A129" s="496">
        <f t="shared" si="5"/>
        <v>128</v>
      </c>
      <c r="B129" s="496" t="s">
        <v>215</v>
      </c>
      <c r="C129" s="495" t="s">
        <v>85</v>
      </c>
      <c r="D129" s="497" t="s">
        <v>86</v>
      </c>
      <c r="E129" s="496" t="str">
        <f t="shared" si="3"/>
        <v>09</v>
      </c>
      <c r="F129" s="496">
        <v>25719</v>
      </c>
      <c r="G129" s="496" t="str">
        <f t="shared" si="4"/>
        <v>20100093830</v>
      </c>
    </row>
    <row r="130" spans="1:7">
      <c r="A130" s="496">
        <f t="shared" si="5"/>
        <v>129</v>
      </c>
      <c r="B130" s="496" t="s">
        <v>216</v>
      </c>
      <c r="C130" s="495" t="s">
        <v>88</v>
      </c>
      <c r="D130" s="497" t="s">
        <v>89</v>
      </c>
      <c r="E130" s="496" t="str">
        <f t="shared" si="3"/>
        <v>11</v>
      </c>
      <c r="F130" s="496">
        <v>25720</v>
      </c>
      <c r="G130" s="496" t="str">
        <f t="shared" si="4"/>
        <v>20100094216</v>
      </c>
    </row>
    <row r="131" spans="1:7">
      <c r="A131" s="496">
        <f t="shared" si="5"/>
        <v>130</v>
      </c>
      <c r="B131" s="496" t="s">
        <v>217</v>
      </c>
      <c r="C131" s="495" t="s">
        <v>91</v>
      </c>
      <c r="D131" s="497" t="s">
        <v>92</v>
      </c>
      <c r="E131" s="496" t="str">
        <f t="shared" ref="E131:E194" si="6">IF(MID(D131,14,1)="@",MID(D131,12,2),"0"&amp;MID(D131,12,1))</f>
        <v>12</v>
      </c>
      <c r="F131" s="496">
        <v>25724</v>
      </c>
      <c r="G131" s="496" t="str">
        <f t="shared" ref="G131:G194" si="7">CONCATENATE(B131)</f>
        <v>20100094992</v>
      </c>
    </row>
    <row r="132" spans="1:7">
      <c r="A132" s="496">
        <f t="shared" ref="A132:A195" si="8">+A131+1</f>
        <v>131</v>
      </c>
      <c r="B132" s="496" t="s">
        <v>218</v>
      </c>
      <c r="C132" s="495" t="s">
        <v>77</v>
      </c>
      <c r="D132" s="497" t="s">
        <v>78</v>
      </c>
      <c r="E132" s="496" t="str">
        <f t="shared" si="6"/>
        <v>07</v>
      </c>
      <c r="F132" s="496">
        <v>25717</v>
      </c>
      <c r="G132" s="496" t="str">
        <f t="shared" si="7"/>
        <v>20100095298</v>
      </c>
    </row>
    <row r="133" spans="1:7">
      <c r="A133" s="496">
        <f t="shared" si="8"/>
        <v>132</v>
      </c>
      <c r="B133" s="496" t="s">
        <v>219</v>
      </c>
      <c r="C133" s="495" t="s">
        <v>77</v>
      </c>
      <c r="D133" s="497" t="s">
        <v>78</v>
      </c>
      <c r="E133" s="496" t="str">
        <f t="shared" si="6"/>
        <v>07</v>
      </c>
      <c r="F133" s="496">
        <v>25717</v>
      </c>
      <c r="G133" s="496" t="str">
        <f t="shared" si="7"/>
        <v>20100095379</v>
      </c>
    </row>
    <row r="134" spans="1:7">
      <c r="A134" s="496">
        <f t="shared" si="8"/>
        <v>133</v>
      </c>
      <c r="B134" s="496" t="s">
        <v>220</v>
      </c>
      <c r="C134" s="495" t="s">
        <v>82</v>
      </c>
      <c r="D134" s="497" t="s">
        <v>83</v>
      </c>
      <c r="E134" s="496" t="str">
        <f t="shared" si="6"/>
        <v>08</v>
      </c>
      <c r="F134" s="496">
        <v>25718</v>
      </c>
      <c r="G134" s="496" t="str">
        <f t="shared" si="7"/>
        <v>20100095450</v>
      </c>
    </row>
    <row r="135" spans="1:7">
      <c r="A135" s="496">
        <f t="shared" si="8"/>
        <v>134</v>
      </c>
      <c r="B135" s="496" t="s">
        <v>221</v>
      </c>
      <c r="C135" s="495" t="s">
        <v>85</v>
      </c>
      <c r="D135" s="497" t="s">
        <v>86</v>
      </c>
      <c r="E135" s="496" t="str">
        <f t="shared" si="6"/>
        <v>09</v>
      </c>
      <c r="F135" s="496">
        <v>25719</v>
      </c>
      <c r="G135" s="496" t="str">
        <f t="shared" si="7"/>
        <v>20100096260</v>
      </c>
    </row>
    <row r="136" spans="1:7">
      <c r="A136" s="496">
        <f t="shared" si="8"/>
        <v>135</v>
      </c>
      <c r="B136" s="496" t="s">
        <v>222</v>
      </c>
      <c r="C136" s="495" t="s">
        <v>88</v>
      </c>
      <c r="D136" s="497" t="s">
        <v>89</v>
      </c>
      <c r="E136" s="496" t="str">
        <f t="shared" si="6"/>
        <v>11</v>
      </c>
      <c r="F136" s="496">
        <v>25720</v>
      </c>
      <c r="G136" s="496" t="str">
        <f t="shared" si="7"/>
        <v>20100096855</v>
      </c>
    </row>
    <row r="137" spans="1:7">
      <c r="A137" s="496">
        <f t="shared" si="8"/>
        <v>136</v>
      </c>
      <c r="B137" s="496" t="s">
        <v>223</v>
      </c>
      <c r="C137" s="495" t="s">
        <v>91</v>
      </c>
      <c r="D137" s="497" t="s">
        <v>92</v>
      </c>
      <c r="E137" s="496" t="str">
        <f t="shared" si="6"/>
        <v>12</v>
      </c>
      <c r="F137" s="496">
        <v>25724</v>
      </c>
      <c r="G137" s="496" t="str">
        <f t="shared" si="7"/>
        <v>20100096936</v>
      </c>
    </row>
    <row r="138" spans="1:7">
      <c r="A138" s="496">
        <f t="shared" si="8"/>
        <v>137</v>
      </c>
      <c r="B138" s="496" t="s">
        <v>224</v>
      </c>
      <c r="C138" s="495" t="s">
        <v>77</v>
      </c>
      <c r="D138" s="497" t="s">
        <v>78</v>
      </c>
      <c r="E138" s="496" t="str">
        <f t="shared" si="6"/>
        <v>07</v>
      </c>
      <c r="F138" s="496">
        <v>25717</v>
      </c>
      <c r="G138" s="496" t="str">
        <f t="shared" si="7"/>
        <v>20100097746</v>
      </c>
    </row>
    <row r="139" spans="1:7">
      <c r="A139" s="496">
        <f t="shared" si="8"/>
        <v>138</v>
      </c>
      <c r="B139" s="496" t="s">
        <v>225</v>
      </c>
      <c r="C139" s="495" t="s">
        <v>82</v>
      </c>
      <c r="D139" s="497" t="s">
        <v>83</v>
      </c>
      <c r="E139" s="496" t="str">
        <f t="shared" si="6"/>
        <v>08</v>
      </c>
      <c r="F139" s="496">
        <v>25718</v>
      </c>
      <c r="G139" s="496" t="str">
        <f t="shared" si="7"/>
        <v>20100099447</v>
      </c>
    </row>
    <row r="140" spans="1:7">
      <c r="A140" s="496">
        <f t="shared" si="8"/>
        <v>139</v>
      </c>
      <c r="B140" s="496" t="s">
        <v>226</v>
      </c>
      <c r="C140" s="495" t="s">
        <v>82</v>
      </c>
      <c r="D140" s="497" t="s">
        <v>83</v>
      </c>
      <c r="E140" s="496" t="str">
        <f t="shared" si="6"/>
        <v>08</v>
      </c>
      <c r="F140" s="496">
        <v>25718</v>
      </c>
      <c r="G140" s="496" t="str">
        <f t="shared" si="7"/>
        <v>20100099951</v>
      </c>
    </row>
    <row r="141" spans="1:7">
      <c r="A141" s="496">
        <f t="shared" si="8"/>
        <v>140</v>
      </c>
      <c r="B141" s="496" t="s">
        <v>227</v>
      </c>
      <c r="C141" s="495" t="s">
        <v>85</v>
      </c>
      <c r="D141" s="497" t="s">
        <v>86</v>
      </c>
      <c r="E141" s="496" t="str">
        <f t="shared" si="6"/>
        <v>09</v>
      </c>
      <c r="F141" s="496">
        <v>25719</v>
      </c>
      <c r="G141" s="496" t="str">
        <f t="shared" si="7"/>
        <v>20100103223</v>
      </c>
    </row>
    <row r="142" spans="1:7">
      <c r="A142" s="496">
        <f t="shared" si="8"/>
        <v>141</v>
      </c>
      <c r="B142" s="496" t="s">
        <v>228</v>
      </c>
      <c r="C142" s="495" t="s">
        <v>88</v>
      </c>
      <c r="D142" s="497" t="s">
        <v>89</v>
      </c>
      <c r="E142" s="496" t="str">
        <f t="shared" si="6"/>
        <v>11</v>
      </c>
      <c r="F142" s="496">
        <v>25720</v>
      </c>
      <c r="G142" s="496" t="str">
        <f t="shared" si="7"/>
        <v>20100107644</v>
      </c>
    </row>
    <row r="143" spans="1:7">
      <c r="A143" s="496">
        <f t="shared" si="8"/>
        <v>142</v>
      </c>
      <c r="B143" s="496" t="s">
        <v>229</v>
      </c>
      <c r="C143" s="495" t="s">
        <v>91</v>
      </c>
      <c r="D143" s="497" t="s">
        <v>92</v>
      </c>
      <c r="E143" s="496" t="str">
        <f t="shared" si="6"/>
        <v>12</v>
      </c>
      <c r="F143" s="496">
        <v>25724</v>
      </c>
      <c r="G143" s="496" t="str">
        <f t="shared" si="7"/>
        <v>20100108292</v>
      </c>
    </row>
    <row r="144" spans="1:7">
      <c r="A144" s="496">
        <f t="shared" si="8"/>
        <v>143</v>
      </c>
      <c r="B144" s="496" t="s">
        <v>230</v>
      </c>
      <c r="C144" s="495" t="s">
        <v>77</v>
      </c>
      <c r="D144" s="497" t="s">
        <v>78</v>
      </c>
      <c r="E144" s="496" t="str">
        <f t="shared" si="6"/>
        <v>07</v>
      </c>
      <c r="F144" s="496">
        <v>25717</v>
      </c>
      <c r="G144" s="496" t="str">
        <f t="shared" si="7"/>
        <v>20100112214</v>
      </c>
    </row>
    <row r="145" spans="1:7">
      <c r="A145" s="496">
        <f t="shared" si="8"/>
        <v>144</v>
      </c>
      <c r="B145" s="496" t="s">
        <v>231</v>
      </c>
      <c r="C145" s="495" t="s">
        <v>82</v>
      </c>
      <c r="D145" s="497" t="s">
        <v>83</v>
      </c>
      <c r="E145" s="496" t="str">
        <f t="shared" si="6"/>
        <v>08</v>
      </c>
      <c r="F145" s="496">
        <v>25718</v>
      </c>
      <c r="G145" s="496" t="str">
        <f t="shared" si="7"/>
        <v>20100113539</v>
      </c>
    </row>
    <row r="146" spans="1:7">
      <c r="A146" s="496">
        <f t="shared" si="8"/>
        <v>145</v>
      </c>
      <c r="B146" s="496" t="s">
        <v>232</v>
      </c>
      <c r="C146" s="495" t="s">
        <v>85</v>
      </c>
      <c r="D146" s="497" t="s">
        <v>86</v>
      </c>
      <c r="E146" s="496" t="str">
        <f t="shared" si="6"/>
        <v>09</v>
      </c>
      <c r="F146" s="496">
        <v>25719</v>
      </c>
      <c r="G146" s="496" t="str">
        <f t="shared" si="7"/>
        <v>20100116988</v>
      </c>
    </row>
    <row r="147" spans="1:7">
      <c r="A147" s="496">
        <f t="shared" si="8"/>
        <v>146</v>
      </c>
      <c r="B147" s="496" t="s">
        <v>233</v>
      </c>
      <c r="C147" s="495" t="s">
        <v>88</v>
      </c>
      <c r="D147" s="497" t="s">
        <v>89</v>
      </c>
      <c r="E147" s="496" t="str">
        <f t="shared" si="6"/>
        <v>11</v>
      </c>
      <c r="F147" s="496">
        <v>25720</v>
      </c>
      <c r="G147" s="496" t="str">
        <f t="shared" si="7"/>
        <v>20100117364</v>
      </c>
    </row>
    <row r="148" spans="1:7">
      <c r="A148" s="496">
        <f t="shared" si="8"/>
        <v>147</v>
      </c>
      <c r="B148" s="496" t="s">
        <v>234</v>
      </c>
      <c r="C148" s="495" t="s">
        <v>91</v>
      </c>
      <c r="D148" s="497" t="s">
        <v>92</v>
      </c>
      <c r="E148" s="496" t="str">
        <f t="shared" si="6"/>
        <v>12</v>
      </c>
      <c r="F148" s="496">
        <v>25724</v>
      </c>
      <c r="G148" s="496" t="str">
        <f t="shared" si="7"/>
        <v>20100117526</v>
      </c>
    </row>
    <row r="149" spans="1:7">
      <c r="A149" s="496">
        <f t="shared" si="8"/>
        <v>148</v>
      </c>
      <c r="B149" s="496" t="s">
        <v>235</v>
      </c>
      <c r="C149" s="495" t="s">
        <v>85</v>
      </c>
      <c r="D149" s="497" t="s">
        <v>86</v>
      </c>
      <c r="E149" s="496" t="str">
        <f t="shared" si="6"/>
        <v>09</v>
      </c>
      <c r="F149" s="496">
        <v>25719</v>
      </c>
      <c r="G149" s="496" t="str">
        <f t="shared" si="7"/>
        <v>20100118336</v>
      </c>
    </row>
    <row r="150" spans="1:7">
      <c r="A150" s="496">
        <f t="shared" si="8"/>
        <v>149</v>
      </c>
      <c r="B150" s="496" t="s">
        <v>236</v>
      </c>
      <c r="C150" s="495" t="s">
        <v>77</v>
      </c>
      <c r="D150" s="497" t="s">
        <v>78</v>
      </c>
      <c r="E150" s="496" t="str">
        <f t="shared" si="6"/>
        <v>07</v>
      </c>
      <c r="F150" s="496">
        <v>25717</v>
      </c>
      <c r="G150" s="496" t="str">
        <f t="shared" si="7"/>
        <v>20100118506</v>
      </c>
    </row>
    <row r="151" spans="1:7">
      <c r="A151" s="496">
        <f t="shared" si="8"/>
        <v>150</v>
      </c>
      <c r="B151" s="496" t="s">
        <v>237</v>
      </c>
      <c r="C151" s="495" t="s">
        <v>82</v>
      </c>
      <c r="D151" s="497" t="s">
        <v>83</v>
      </c>
      <c r="E151" s="496" t="str">
        <f t="shared" si="6"/>
        <v>08</v>
      </c>
      <c r="F151" s="496">
        <v>25718</v>
      </c>
      <c r="G151" s="496" t="str">
        <f t="shared" si="7"/>
        <v>20100118760</v>
      </c>
    </row>
    <row r="152" spans="1:7">
      <c r="A152" s="496">
        <f t="shared" si="8"/>
        <v>151</v>
      </c>
      <c r="B152" s="496" t="s">
        <v>238</v>
      </c>
      <c r="C152" s="495" t="s">
        <v>85</v>
      </c>
      <c r="D152" s="497" t="s">
        <v>86</v>
      </c>
      <c r="E152" s="496" t="str">
        <f t="shared" si="6"/>
        <v>09</v>
      </c>
      <c r="F152" s="496">
        <v>25719</v>
      </c>
      <c r="G152" s="496" t="str">
        <f t="shared" si="7"/>
        <v>20100119227</v>
      </c>
    </row>
    <row r="153" spans="1:7">
      <c r="A153" s="496">
        <f t="shared" si="8"/>
        <v>152</v>
      </c>
      <c r="B153" s="496" t="s">
        <v>239</v>
      </c>
      <c r="C153" s="495" t="s">
        <v>88</v>
      </c>
      <c r="D153" s="497" t="s">
        <v>89</v>
      </c>
      <c r="E153" s="496" t="str">
        <f t="shared" si="6"/>
        <v>11</v>
      </c>
      <c r="F153" s="496">
        <v>25720</v>
      </c>
      <c r="G153" s="496" t="str">
        <f t="shared" si="7"/>
        <v>20100120314</v>
      </c>
    </row>
    <row r="154" spans="1:7">
      <c r="A154" s="496">
        <f t="shared" si="8"/>
        <v>153</v>
      </c>
      <c r="B154" s="496" t="s">
        <v>240</v>
      </c>
      <c r="C154" s="495" t="s">
        <v>88</v>
      </c>
      <c r="D154" s="497" t="s">
        <v>89</v>
      </c>
      <c r="E154" s="496" t="str">
        <f t="shared" si="6"/>
        <v>11</v>
      </c>
      <c r="F154" s="496">
        <v>25720</v>
      </c>
      <c r="G154" s="496" t="str">
        <f t="shared" si="7"/>
        <v>20100120403</v>
      </c>
    </row>
    <row r="155" spans="1:7">
      <c r="A155" s="496">
        <f t="shared" si="8"/>
        <v>154</v>
      </c>
      <c r="B155" s="496" t="s">
        <v>241</v>
      </c>
      <c r="C155" s="495" t="s">
        <v>91</v>
      </c>
      <c r="D155" s="497" t="s">
        <v>92</v>
      </c>
      <c r="E155" s="496" t="str">
        <f t="shared" si="6"/>
        <v>12</v>
      </c>
      <c r="F155" s="496">
        <v>25724</v>
      </c>
      <c r="G155" s="496" t="str">
        <f t="shared" si="7"/>
        <v>20100121043</v>
      </c>
    </row>
    <row r="156" spans="1:7">
      <c r="A156" s="496">
        <f t="shared" si="8"/>
        <v>155</v>
      </c>
      <c r="B156" s="496" t="s">
        <v>242</v>
      </c>
      <c r="C156" s="495" t="s">
        <v>91</v>
      </c>
      <c r="D156" s="497" t="s">
        <v>92</v>
      </c>
      <c r="E156" s="496" t="str">
        <f t="shared" si="6"/>
        <v>12</v>
      </c>
      <c r="F156" s="496">
        <v>25724</v>
      </c>
      <c r="G156" s="496" t="str">
        <f t="shared" si="7"/>
        <v>20100123411</v>
      </c>
    </row>
    <row r="157" spans="1:7">
      <c r="A157" s="496">
        <f t="shared" si="8"/>
        <v>156</v>
      </c>
      <c r="B157" s="496" t="s">
        <v>243</v>
      </c>
      <c r="C157" s="495" t="s">
        <v>77</v>
      </c>
      <c r="D157" s="497" t="s">
        <v>78</v>
      </c>
      <c r="E157" s="496" t="str">
        <f t="shared" si="6"/>
        <v>07</v>
      </c>
      <c r="F157" s="496">
        <v>25717</v>
      </c>
      <c r="G157" s="496" t="str">
        <f t="shared" si="7"/>
        <v>20100123682</v>
      </c>
    </row>
    <row r="158" spans="1:7">
      <c r="A158" s="496">
        <f t="shared" si="8"/>
        <v>157</v>
      </c>
      <c r="B158" s="496" t="s">
        <v>244</v>
      </c>
      <c r="C158" s="495" t="s">
        <v>82</v>
      </c>
      <c r="D158" s="497" t="s">
        <v>83</v>
      </c>
      <c r="E158" s="496" t="str">
        <f t="shared" si="6"/>
        <v>08</v>
      </c>
      <c r="F158" s="496">
        <v>25718</v>
      </c>
      <c r="G158" s="496" t="str">
        <f t="shared" si="7"/>
        <v>20100124654</v>
      </c>
    </row>
    <row r="159" spans="1:7">
      <c r="A159" s="496">
        <f t="shared" si="8"/>
        <v>158</v>
      </c>
      <c r="B159" s="496" t="s">
        <v>245</v>
      </c>
      <c r="C159" s="495" t="s">
        <v>85</v>
      </c>
      <c r="D159" s="497" t="s">
        <v>86</v>
      </c>
      <c r="E159" s="496" t="str">
        <f t="shared" si="6"/>
        <v>09</v>
      </c>
      <c r="F159" s="496">
        <v>25719</v>
      </c>
      <c r="G159" s="496" t="str">
        <f t="shared" si="7"/>
        <v>20100124735</v>
      </c>
    </row>
    <row r="160" spans="1:7">
      <c r="A160" s="496">
        <f t="shared" si="8"/>
        <v>159</v>
      </c>
      <c r="B160" s="496" t="s">
        <v>246</v>
      </c>
      <c r="C160" s="495" t="s">
        <v>88</v>
      </c>
      <c r="D160" s="497" t="s">
        <v>89</v>
      </c>
      <c r="E160" s="496" t="str">
        <f t="shared" si="6"/>
        <v>11</v>
      </c>
      <c r="F160" s="496">
        <v>25720</v>
      </c>
      <c r="G160" s="496" t="str">
        <f t="shared" si="7"/>
        <v>20100126193</v>
      </c>
    </row>
    <row r="161" spans="1:7">
      <c r="A161" s="496">
        <f t="shared" si="8"/>
        <v>160</v>
      </c>
      <c r="B161" s="496" t="s">
        <v>247</v>
      </c>
      <c r="C161" s="495" t="s">
        <v>91</v>
      </c>
      <c r="D161" s="497" t="s">
        <v>92</v>
      </c>
      <c r="E161" s="496" t="str">
        <f t="shared" si="6"/>
        <v>12</v>
      </c>
      <c r="F161" s="496">
        <v>25724</v>
      </c>
      <c r="G161" s="496" t="str">
        <f t="shared" si="7"/>
        <v>20100127670</v>
      </c>
    </row>
    <row r="162" spans="1:7">
      <c r="A162" s="496">
        <f t="shared" si="8"/>
        <v>161</v>
      </c>
      <c r="B162" s="496" t="s">
        <v>248</v>
      </c>
      <c r="C162" s="495" t="s">
        <v>77</v>
      </c>
      <c r="D162" s="497" t="s">
        <v>78</v>
      </c>
      <c r="E162" s="496" t="str">
        <f t="shared" si="6"/>
        <v>07</v>
      </c>
      <c r="F162" s="496">
        <v>25717</v>
      </c>
      <c r="G162" s="496" t="str">
        <f t="shared" si="7"/>
        <v>20100128137</v>
      </c>
    </row>
    <row r="163" spans="1:7">
      <c r="A163" s="496">
        <f t="shared" si="8"/>
        <v>162</v>
      </c>
      <c r="B163" s="496" t="s">
        <v>249</v>
      </c>
      <c r="C163" s="495" t="s">
        <v>82</v>
      </c>
      <c r="D163" s="497" t="s">
        <v>83</v>
      </c>
      <c r="E163" s="496" t="str">
        <f t="shared" si="6"/>
        <v>08</v>
      </c>
      <c r="F163" s="496">
        <v>25718</v>
      </c>
      <c r="G163" s="496" t="str">
        <f t="shared" si="7"/>
        <v>20100128994</v>
      </c>
    </row>
    <row r="164" spans="1:7">
      <c r="A164" s="496">
        <f t="shared" si="8"/>
        <v>163</v>
      </c>
      <c r="B164" s="496" t="s">
        <v>250</v>
      </c>
      <c r="C164" s="495" t="s">
        <v>85</v>
      </c>
      <c r="D164" s="497" t="s">
        <v>86</v>
      </c>
      <c r="E164" s="496" t="str">
        <f t="shared" si="6"/>
        <v>09</v>
      </c>
      <c r="F164" s="496">
        <v>25719</v>
      </c>
      <c r="G164" s="496" t="str">
        <f t="shared" si="7"/>
        <v>20100129532</v>
      </c>
    </row>
    <row r="165" spans="1:7">
      <c r="A165" s="496">
        <f t="shared" si="8"/>
        <v>164</v>
      </c>
      <c r="B165" s="496" t="s">
        <v>251</v>
      </c>
      <c r="C165" s="495" t="s">
        <v>88</v>
      </c>
      <c r="D165" s="497" t="s">
        <v>89</v>
      </c>
      <c r="E165" s="496" t="str">
        <f t="shared" si="6"/>
        <v>11</v>
      </c>
      <c r="F165" s="496">
        <v>25720</v>
      </c>
      <c r="G165" s="496" t="str">
        <f t="shared" si="7"/>
        <v>20100131278</v>
      </c>
    </row>
    <row r="166" spans="1:7">
      <c r="A166" s="496">
        <f t="shared" si="8"/>
        <v>165</v>
      </c>
      <c r="B166" s="496" t="s">
        <v>252</v>
      </c>
      <c r="C166" s="495" t="s">
        <v>91</v>
      </c>
      <c r="D166" s="497" t="s">
        <v>92</v>
      </c>
      <c r="E166" s="496" t="str">
        <f t="shared" si="6"/>
        <v>12</v>
      </c>
      <c r="F166" s="496">
        <v>25724</v>
      </c>
      <c r="G166" s="496" t="str">
        <f t="shared" si="7"/>
        <v>20100131359</v>
      </c>
    </row>
    <row r="167" spans="1:7">
      <c r="A167" s="496">
        <f t="shared" si="8"/>
        <v>166</v>
      </c>
      <c r="B167" s="496" t="s">
        <v>253</v>
      </c>
      <c r="C167" s="495" t="s">
        <v>77</v>
      </c>
      <c r="D167" s="497" t="s">
        <v>78</v>
      </c>
      <c r="E167" s="496" t="str">
        <f t="shared" si="6"/>
        <v>07</v>
      </c>
      <c r="F167" s="496">
        <v>25717</v>
      </c>
      <c r="G167" s="496" t="str">
        <f t="shared" si="7"/>
        <v>20100131430</v>
      </c>
    </row>
    <row r="168" spans="1:7">
      <c r="A168" s="496">
        <f t="shared" si="8"/>
        <v>167</v>
      </c>
      <c r="B168" s="496" t="s">
        <v>254</v>
      </c>
      <c r="C168" s="495" t="s">
        <v>82</v>
      </c>
      <c r="D168" s="497" t="s">
        <v>83</v>
      </c>
      <c r="E168" s="496" t="str">
        <f t="shared" si="6"/>
        <v>08</v>
      </c>
      <c r="F168" s="496">
        <v>25718</v>
      </c>
      <c r="G168" s="496" t="str">
        <f t="shared" si="7"/>
        <v>20100131863</v>
      </c>
    </row>
    <row r="169" spans="1:7">
      <c r="A169" s="496">
        <f t="shared" si="8"/>
        <v>168</v>
      </c>
      <c r="B169" s="496" t="s">
        <v>255</v>
      </c>
      <c r="C169" s="495" t="s">
        <v>85</v>
      </c>
      <c r="D169" s="497" t="s">
        <v>86</v>
      </c>
      <c r="E169" s="496" t="str">
        <f t="shared" si="6"/>
        <v>09</v>
      </c>
      <c r="F169" s="496">
        <v>25719</v>
      </c>
      <c r="G169" s="496" t="str">
        <f t="shared" si="7"/>
        <v>20100131944</v>
      </c>
    </row>
    <row r="170" spans="1:7">
      <c r="A170" s="496">
        <f t="shared" si="8"/>
        <v>169</v>
      </c>
      <c r="B170" s="496" t="s">
        <v>256</v>
      </c>
      <c r="C170" s="495" t="s">
        <v>88</v>
      </c>
      <c r="D170" s="497" t="s">
        <v>89</v>
      </c>
      <c r="E170" s="496" t="str">
        <f t="shared" si="6"/>
        <v>11</v>
      </c>
      <c r="F170" s="496">
        <v>25720</v>
      </c>
      <c r="G170" s="496" t="str">
        <f t="shared" si="7"/>
        <v>20100132240</v>
      </c>
    </row>
    <row r="171" spans="1:7">
      <c r="A171" s="496">
        <f t="shared" si="8"/>
        <v>170</v>
      </c>
      <c r="B171" s="496" t="s">
        <v>257</v>
      </c>
      <c r="C171" s="495" t="s">
        <v>91</v>
      </c>
      <c r="D171" s="497" t="s">
        <v>92</v>
      </c>
      <c r="E171" s="496" t="str">
        <f t="shared" si="6"/>
        <v>12</v>
      </c>
      <c r="F171" s="496">
        <v>25724</v>
      </c>
      <c r="G171" s="496" t="str">
        <f t="shared" si="7"/>
        <v>20100133050</v>
      </c>
    </row>
    <row r="172" spans="1:7">
      <c r="A172" s="496">
        <f t="shared" si="8"/>
        <v>171</v>
      </c>
      <c r="B172" s="496" t="s">
        <v>258</v>
      </c>
      <c r="C172" s="495" t="s">
        <v>77</v>
      </c>
      <c r="D172" s="497" t="s">
        <v>78</v>
      </c>
      <c r="E172" s="496" t="str">
        <f t="shared" si="6"/>
        <v>07</v>
      </c>
      <c r="F172" s="496">
        <v>25717</v>
      </c>
      <c r="G172" s="496" t="str">
        <f t="shared" si="7"/>
        <v>20100134617</v>
      </c>
    </row>
    <row r="173" spans="1:7">
      <c r="A173" s="496">
        <f t="shared" si="8"/>
        <v>172</v>
      </c>
      <c r="B173" s="496" t="s">
        <v>259</v>
      </c>
      <c r="C173" s="495" t="s">
        <v>82</v>
      </c>
      <c r="D173" s="497" t="s">
        <v>83</v>
      </c>
      <c r="E173" s="496" t="str">
        <f t="shared" si="6"/>
        <v>08</v>
      </c>
      <c r="F173" s="496">
        <v>25718</v>
      </c>
      <c r="G173" s="496" t="str">
        <f t="shared" si="7"/>
        <v>20100135699</v>
      </c>
    </row>
    <row r="174" spans="1:7">
      <c r="A174" s="496">
        <f t="shared" si="8"/>
        <v>173</v>
      </c>
      <c r="B174" s="496" t="s">
        <v>260</v>
      </c>
      <c r="C174" s="495" t="s">
        <v>85</v>
      </c>
      <c r="D174" s="497" t="s">
        <v>86</v>
      </c>
      <c r="E174" s="496" t="str">
        <f t="shared" si="6"/>
        <v>09</v>
      </c>
      <c r="F174" s="496">
        <v>25719</v>
      </c>
      <c r="G174" s="496" t="str">
        <f t="shared" si="7"/>
        <v>20100136156</v>
      </c>
    </row>
    <row r="175" spans="1:7">
      <c r="A175" s="496">
        <f t="shared" si="8"/>
        <v>174</v>
      </c>
      <c r="B175" s="496" t="s">
        <v>261</v>
      </c>
      <c r="C175" s="495" t="s">
        <v>88</v>
      </c>
      <c r="D175" s="497" t="s">
        <v>89</v>
      </c>
      <c r="E175" s="496" t="str">
        <f t="shared" si="6"/>
        <v>11</v>
      </c>
      <c r="F175" s="496">
        <v>25720</v>
      </c>
      <c r="G175" s="496" t="str">
        <f t="shared" si="7"/>
        <v>20100136237</v>
      </c>
    </row>
    <row r="176" spans="1:7">
      <c r="A176" s="496">
        <f t="shared" si="8"/>
        <v>175</v>
      </c>
      <c r="B176" s="496" t="s">
        <v>262</v>
      </c>
      <c r="C176" s="495" t="s">
        <v>77</v>
      </c>
      <c r="D176" s="497" t="s">
        <v>78</v>
      </c>
      <c r="E176" s="496" t="str">
        <f t="shared" si="6"/>
        <v>07</v>
      </c>
      <c r="F176" s="496">
        <v>25717</v>
      </c>
      <c r="G176" s="496" t="str">
        <f t="shared" si="7"/>
        <v>20100136318</v>
      </c>
    </row>
    <row r="177" spans="1:7">
      <c r="A177" s="496">
        <f t="shared" si="8"/>
        <v>176</v>
      </c>
      <c r="B177" s="496" t="s">
        <v>263</v>
      </c>
      <c r="C177" s="495" t="s">
        <v>91</v>
      </c>
      <c r="D177" s="497" t="s">
        <v>92</v>
      </c>
      <c r="E177" s="496" t="str">
        <f t="shared" si="6"/>
        <v>12</v>
      </c>
      <c r="F177" s="496">
        <v>25724</v>
      </c>
      <c r="G177" s="496" t="str">
        <f t="shared" si="7"/>
        <v>20100136580</v>
      </c>
    </row>
    <row r="178" spans="1:7">
      <c r="A178" s="496">
        <f t="shared" si="8"/>
        <v>177</v>
      </c>
      <c r="B178" s="496" t="s">
        <v>264</v>
      </c>
      <c r="C178" s="495" t="s">
        <v>77</v>
      </c>
      <c r="D178" s="497" t="s">
        <v>78</v>
      </c>
      <c r="E178" s="496" t="str">
        <f t="shared" si="6"/>
        <v>07</v>
      </c>
      <c r="F178" s="496">
        <v>25717</v>
      </c>
      <c r="G178" s="496" t="str">
        <f t="shared" si="7"/>
        <v>20100136661</v>
      </c>
    </row>
    <row r="179" spans="1:7">
      <c r="A179" s="496">
        <f t="shared" si="8"/>
        <v>178</v>
      </c>
      <c r="B179" s="496" t="s">
        <v>265</v>
      </c>
      <c r="C179" s="495" t="s">
        <v>82</v>
      </c>
      <c r="D179" s="497" t="s">
        <v>83</v>
      </c>
      <c r="E179" s="496" t="str">
        <f t="shared" si="6"/>
        <v>08</v>
      </c>
      <c r="F179" s="496">
        <v>25718</v>
      </c>
      <c r="G179" s="496" t="str">
        <f t="shared" si="7"/>
        <v>20100136741</v>
      </c>
    </row>
    <row r="180" spans="1:7">
      <c r="A180" s="496">
        <f t="shared" si="8"/>
        <v>179</v>
      </c>
      <c r="B180" s="496" t="s">
        <v>266</v>
      </c>
      <c r="C180" s="495" t="s">
        <v>85</v>
      </c>
      <c r="D180" s="497" t="s">
        <v>86</v>
      </c>
      <c r="E180" s="496" t="str">
        <f t="shared" si="6"/>
        <v>09</v>
      </c>
      <c r="F180" s="496">
        <v>25719</v>
      </c>
      <c r="G180" s="496" t="str">
        <f t="shared" si="7"/>
        <v>20100136822</v>
      </c>
    </row>
    <row r="181" spans="1:7">
      <c r="A181" s="496">
        <f t="shared" si="8"/>
        <v>180</v>
      </c>
      <c r="B181" s="496" t="s">
        <v>267</v>
      </c>
      <c r="C181" s="495" t="s">
        <v>82</v>
      </c>
      <c r="D181" s="497" t="s">
        <v>83</v>
      </c>
      <c r="E181" s="496" t="str">
        <f t="shared" si="6"/>
        <v>08</v>
      </c>
      <c r="F181" s="496">
        <v>25718</v>
      </c>
      <c r="G181" s="496" t="str">
        <f t="shared" si="7"/>
        <v>20100137128</v>
      </c>
    </row>
    <row r="182" spans="1:7">
      <c r="A182" s="496">
        <f t="shared" si="8"/>
        <v>181</v>
      </c>
      <c r="B182" s="496" t="s">
        <v>268</v>
      </c>
      <c r="C182" s="495" t="s">
        <v>85</v>
      </c>
      <c r="D182" s="497" t="s">
        <v>86</v>
      </c>
      <c r="E182" s="496" t="str">
        <f t="shared" si="6"/>
        <v>09</v>
      </c>
      <c r="F182" s="496">
        <v>25719</v>
      </c>
      <c r="G182" s="496" t="str">
        <f t="shared" si="7"/>
        <v>20100139686</v>
      </c>
    </row>
    <row r="183" spans="1:7">
      <c r="A183" s="496">
        <f t="shared" si="8"/>
        <v>182</v>
      </c>
      <c r="B183" s="496" t="s">
        <v>269</v>
      </c>
      <c r="C183" s="495" t="s">
        <v>88</v>
      </c>
      <c r="D183" s="497" t="s">
        <v>89</v>
      </c>
      <c r="E183" s="496" t="str">
        <f t="shared" si="6"/>
        <v>11</v>
      </c>
      <c r="F183" s="496">
        <v>25720</v>
      </c>
      <c r="G183" s="496" t="str">
        <f t="shared" si="7"/>
        <v>20100139848</v>
      </c>
    </row>
    <row r="184" spans="1:7">
      <c r="A184" s="496">
        <f t="shared" si="8"/>
        <v>183</v>
      </c>
      <c r="B184" s="496" t="s">
        <v>270</v>
      </c>
      <c r="C184" s="495" t="s">
        <v>91</v>
      </c>
      <c r="D184" s="497" t="s">
        <v>92</v>
      </c>
      <c r="E184" s="496" t="str">
        <f t="shared" si="6"/>
        <v>12</v>
      </c>
      <c r="F184" s="496">
        <v>25724</v>
      </c>
      <c r="G184" s="496" t="str">
        <f t="shared" si="7"/>
        <v>20100140340</v>
      </c>
    </row>
    <row r="185" spans="1:7">
      <c r="A185" s="496">
        <f t="shared" si="8"/>
        <v>184</v>
      </c>
      <c r="B185" s="496" t="s">
        <v>271</v>
      </c>
      <c r="C185" s="495" t="s">
        <v>88</v>
      </c>
      <c r="D185" s="497" t="s">
        <v>89</v>
      </c>
      <c r="E185" s="496" t="str">
        <f t="shared" si="6"/>
        <v>11</v>
      </c>
      <c r="F185" s="496">
        <v>25720</v>
      </c>
      <c r="G185" s="496" t="str">
        <f t="shared" si="7"/>
        <v>20100140692</v>
      </c>
    </row>
    <row r="186" spans="1:7">
      <c r="A186" s="496">
        <f t="shared" si="8"/>
        <v>185</v>
      </c>
      <c r="B186" s="496" t="s">
        <v>272</v>
      </c>
      <c r="C186" s="495" t="s">
        <v>77</v>
      </c>
      <c r="D186" s="497" t="s">
        <v>78</v>
      </c>
      <c r="E186" s="496" t="str">
        <f t="shared" si="6"/>
        <v>07</v>
      </c>
      <c r="F186" s="496">
        <v>25717</v>
      </c>
      <c r="G186" s="496" t="str">
        <f t="shared" si="7"/>
        <v>20100141150</v>
      </c>
    </row>
    <row r="187" spans="1:7">
      <c r="A187" s="496">
        <f t="shared" si="8"/>
        <v>186</v>
      </c>
      <c r="B187" s="496" t="s">
        <v>273</v>
      </c>
      <c r="C187" s="495" t="s">
        <v>82</v>
      </c>
      <c r="D187" s="497" t="s">
        <v>83</v>
      </c>
      <c r="E187" s="496" t="str">
        <f t="shared" si="6"/>
        <v>08</v>
      </c>
      <c r="F187" s="496">
        <v>25718</v>
      </c>
      <c r="G187" s="496" t="str">
        <f t="shared" si="7"/>
        <v>20100141583</v>
      </c>
    </row>
    <row r="188" spans="1:7">
      <c r="A188" s="496">
        <f t="shared" si="8"/>
        <v>187</v>
      </c>
      <c r="B188" s="496" t="s">
        <v>274</v>
      </c>
      <c r="C188" s="495" t="s">
        <v>85</v>
      </c>
      <c r="D188" s="497" t="s">
        <v>86</v>
      </c>
      <c r="E188" s="496" t="str">
        <f t="shared" si="6"/>
        <v>09</v>
      </c>
      <c r="F188" s="496">
        <v>25719</v>
      </c>
      <c r="G188" s="496" t="str">
        <f t="shared" si="7"/>
        <v>20100144507</v>
      </c>
    </row>
    <row r="189" spans="1:7">
      <c r="A189" s="496">
        <f t="shared" si="8"/>
        <v>188</v>
      </c>
      <c r="B189" s="496" t="s">
        <v>275</v>
      </c>
      <c r="C189" s="495" t="s">
        <v>88</v>
      </c>
      <c r="D189" s="497" t="s">
        <v>89</v>
      </c>
      <c r="E189" s="496" t="str">
        <f t="shared" si="6"/>
        <v>11</v>
      </c>
      <c r="F189" s="496">
        <v>25720</v>
      </c>
      <c r="G189" s="496" t="str">
        <f t="shared" si="7"/>
        <v>20100145902</v>
      </c>
    </row>
    <row r="190" spans="1:7">
      <c r="A190" s="496">
        <f t="shared" si="8"/>
        <v>189</v>
      </c>
      <c r="B190" s="496" t="s">
        <v>276</v>
      </c>
      <c r="C190" s="495" t="s">
        <v>91</v>
      </c>
      <c r="D190" s="497" t="s">
        <v>92</v>
      </c>
      <c r="E190" s="496" t="str">
        <f t="shared" si="6"/>
        <v>12</v>
      </c>
      <c r="F190" s="496">
        <v>25724</v>
      </c>
      <c r="G190" s="496" t="str">
        <f t="shared" si="7"/>
        <v>20100146895</v>
      </c>
    </row>
    <row r="191" spans="1:7">
      <c r="A191" s="496">
        <f t="shared" si="8"/>
        <v>190</v>
      </c>
      <c r="B191" s="496" t="s">
        <v>277</v>
      </c>
      <c r="C191" s="495" t="s">
        <v>91</v>
      </c>
      <c r="D191" s="497" t="s">
        <v>92</v>
      </c>
      <c r="E191" s="496" t="str">
        <f t="shared" si="6"/>
        <v>12</v>
      </c>
      <c r="F191" s="496">
        <v>25724</v>
      </c>
      <c r="G191" s="496" t="str">
        <f t="shared" si="7"/>
        <v>20100150736</v>
      </c>
    </row>
    <row r="192" spans="1:7">
      <c r="A192" s="496">
        <f t="shared" si="8"/>
        <v>191</v>
      </c>
      <c r="B192" s="496" t="s">
        <v>278</v>
      </c>
      <c r="C192" s="495" t="s">
        <v>77</v>
      </c>
      <c r="D192" s="497" t="s">
        <v>78</v>
      </c>
      <c r="E192" s="496" t="str">
        <f t="shared" si="6"/>
        <v>07</v>
      </c>
      <c r="F192" s="496">
        <v>25717</v>
      </c>
      <c r="G192" s="496" t="str">
        <f t="shared" si="7"/>
        <v>20100151627</v>
      </c>
    </row>
    <row r="193" spans="1:7">
      <c r="A193" s="496">
        <f t="shared" si="8"/>
        <v>192</v>
      </c>
      <c r="B193" s="496" t="s">
        <v>279</v>
      </c>
      <c r="C193" s="495" t="s">
        <v>82</v>
      </c>
      <c r="D193" s="497" t="s">
        <v>83</v>
      </c>
      <c r="E193" s="496" t="str">
        <f t="shared" si="6"/>
        <v>08</v>
      </c>
      <c r="F193" s="496">
        <v>25718</v>
      </c>
      <c r="G193" s="496" t="str">
        <f t="shared" si="7"/>
        <v>20100151899</v>
      </c>
    </row>
    <row r="194" spans="1:7">
      <c r="A194" s="496">
        <f t="shared" si="8"/>
        <v>193</v>
      </c>
      <c r="B194" s="496" t="s">
        <v>280</v>
      </c>
      <c r="C194" s="495" t="s">
        <v>85</v>
      </c>
      <c r="D194" s="497" t="s">
        <v>86</v>
      </c>
      <c r="E194" s="496" t="str">
        <f t="shared" si="6"/>
        <v>09</v>
      </c>
      <c r="F194" s="496">
        <v>25719</v>
      </c>
      <c r="G194" s="496" t="str">
        <f t="shared" si="7"/>
        <v>20100152356</v>
      </c>
    </row>
    <row r="195" spans="1:7">
      <c r="A195" s="496">
        <f t="shared" si="8"/>
        <v>194</v>
      </c>
      <c r="B195" s="496" t="s">
        <v>281</v>
      </c>
      <c r="C195" s="495" t="s">
        <v>88</v>
      </c>
      <c r="D195" s="497" t="s">
        <v>89</v>
      </c>
      <c r="E195" s="496" t="str">
        <f t="shared" ref="E195:E258" si="9">IF(MID(D195,14,1)="@",MID(D195,12,2),"0"&amp;MID(D195,12,1))</f>
        <v>11</v>
      </c>
      <c r="F195" s="496">
        <v>25720</v>
      </c>
      <c r="G195" s="496" t="str">
        <f t="shared" ref="G195:G258" si="10">CONCATENATE(B195)</f>
        <v>20100153751</v>
      </c>
    </row>
    <row r="196" spans="1:7">
      <c r="A196" s="496">
        <f t="shared" ref="A196:A259" si="11">+A195+1</f>
        <v>195</v>
      </c>
      <c r="B196" s="496" t="s">
        <v>282</v>
      </c>
      <c r="C196" s="495" t="s">
        <v>91</v>
      </c>
      <c r="D196" s="497" t="s">
        <v>92</v>
      </c>
      <c r="E196" s="496" t="str">
        <f t="shared" si="9"/>
        <v>12</v>
      </c>
      <c r="F196" s="496">
        <v>25724</v>
      </c>
      <c r="G196" s="496" t="str">
        <f t="shared" si="10"/>
        <v>20100153832</v>
      </c>
    </row>
    <row r="197" spans="1:7">
      <c r="A197" s="496">
        <f t="shared" si="11"/>
        <v>196</v>
      </c>
      <c r="B197" s="496" t="s">
        <v>283</v>
      </c>
      <c r="C197" s="495" t="s">
        <v>77</v>
      </c>
      <c r="D197" s="497" t="s">
        <v>78</v>
      </c>
      <c r="E197" s="496" t="str">
        <f t="shared" si="9"/>
        <v>07</v>
      </c>
      <c r="F197" s="496">
        <v>25717</v>
      </c>
      <c r="G197" s="496" t="str">
        <f t="shared" si="10"/>
        <v>20100154057</v>
      </c>
    </row>
    <row r="198" spans="1:7">
      <c r="A198" s="496">
        <f t="shared" si="11"/>
        <v>197</v>
      </c>
      <c r="B198" s="496" t="s">
        <v>284</v>
      </c>
      <c r="C198" s="495" t="s">
        <v>82</v>
      </c>
      <c r="D198" s="497" t="s">
        <v>83</v>
      </c>
      <c r="E198" s="496" t="str">
        <f t="shared" si="9"/>
        <v>08</v>
      </c>
      <c r="F198" s="496">
        <v>25718</v>
      </c>
      <c r="G198" s="496" t="str">
        <f t="shared" si="10"/>
        <v>20100154138</v>
      </c>
    </row>
    <row r="199" spans="1:7">
      <c r="A199" s="496">
        <f t="shared" si="11"/>
        <v>198</v>
      </c>
      <c r="B199" s="496" t="s">
        <v>285</v>
      </c>
      <c r="C199" s="495" t="s">
        <v>85</v>
      </c>
      <c r="D199" s="497" t="s">
        <v>86</v>
      </c>
      <c r="E199" s="496" t="str">
        <f t="shared" si="9"/>
        <v>09</v>
      </c>
      <c r="F199" s="496">
        <v>25719</v>
      </c>
      <c r="G199" s="496" t="str">
        <f t="shared" si="10"/>
        <v>20100154219</v>
      </c>
    </row>
    <row r="200" spans="1:7">
      <c r="A200" s="496">
        <f t="shared" si="11"/>
        <v>199</v>
      </c>
      <c r="B200" s="496" t="s">
        <v>286</v>
      </c>
      <c r="C200" s="495" t="s">
        <v>88</v>
      </c>
      <c r="D200" s="497" t="s">
        <v>89</v>
      </c>
      <c r="E200" s="496" t="str">
        <f t="shared" si="9"/>
        <v>11</v>
      </c>
      <c r="F200" s="496">
        <v>25720</v>
      </c>
      <c r="G200" s="496" t="str">
        <f t="shared" si="10"/>
        <v>20100154308</v>
      </c>
    </row>
    <row r="201" spans="1:7">
      <c r="A201" s="496">
        <f t="shared" si="11"/>
        <v>200</v>
      </c>
      <c r="B201" s="496" t="s">
        <v>287</v>
      </c>
      <c r="C201" s="495" t="s">
        <v>91</v>
      </c>
      <c r="D201" s="497" t="s">
        <v>92</v>
      </c>
      <c r="E201" s="496" t="str">
        <f t="shared" si="9"/>
        <v>12</v>
      </c>
      <c r="F201" s="496">
        <v>25724</v>
      </c>
      <c r="G201" s="496" t="str">
        <f t="shared" si="10"/>
        <v>20100157315</v>
      </c>
    </row>
    <row r="202" spans="1:7">
      <c r="A202" s="496">
        <f t="shared" si="11"/>
        <v>201</v>
      </c>
      <c r="B202" s="496" t="s">
        <v>288</v>
      </c>
      <c r="C202" s="495" t="s">
        <v>77</v>
      </c>
      <c r="D202" s="497" t="s">
        <v>78</v>
      </c>
      <c r="E202" s="496" t="str">
        <f t="shared" si="9"/>
        <v>07</v>
      </c>
      <c r="F202" s="496">
        <v>25717</v>
      </c>
      <c r="G202" s="496" t="str">
        <f t="shared" si="10"/>
        <v>20100160375</v>
      </c>
    </row>
    <row r="203" spans="1:7">
      <c r="A203" s="496">
        <f t="shared" si="11"/>
        <v>202</v>
      </c>
      <c r="B203" s="496" t="s">
        <v>289</v>
      </c>
      <c r="C203" s="495" t="s">
        <v>82</v>
      </c>
      <c r="D203" s="497" t="s">
        <v>83</v>
      </c>
      <c r="E203" s="496" t="str">
        <f t="shared" si="9"/>
        <v>08</v>
      </c>
      <c r="F203" s="496">
        <v>25718</v>
      </c>
      <c r="G203" s="496" t="str">
        <f t="shared" si="10"/>
        <v>20100160707</v>
      </c>
    </row>
    <row r="204" spans="1:7">
      <c r="A204" s="496">
        <f t="shared" si="11"/>
        <v>203</v>
      </c>
      <c r="B204" s="496" t="s">
        <v>290</v>
      </c>
      <c r="C204" s="495" t="s">
        <v>85</v>
      </c>
      <c r="D204" s="497" t="s">
        <v>86</v>
      </c>
      <c r="E204" s="496" t="str">
        <f t="shared" si="9"/>
        <v>09</v>
      </c>
      <c r="F204" s="496">
        <v>25719</v>
      </c>
      <c r="G204" s="496" t="str">
        <f t="shared" si="10"/>
        <v>20100161771</v>
      </c>
    </row>
    <row r="205" spans="1:7">
      <c r="A205" s="496">
        <f t="shared" si="11"/>
        <v>204</v>
      </c>
      <c r="B205" s="496" t="s">
        <v>291</v>
      </c>
      <c r="C205" s="495" t="s">
        <v>88</v>
      </c>
      <c r="D205" s="497" t="s">
        <v>89</v>
      </c>
      <c r="E205" s="496" t="str">
        <f t="shared" si="9"/>
        <v>11</v>
      </c>
      <c r="F205" s="496">
        <v>25720</v>
      </c>
      <c r="G205" s="496" t="str">
        <f t="shared" si="10"/>
        <v>20100162238</v>
      </c>
    </row>
    <row r="206" spans="1:7">
      <c r="A206" s="496">
        <f t="shared" si="11"/>
        <v>205</v>
      </c>
      <c r="B206" s="496" t="s">
        <v>292</v>
      </c>
      <c r="C206" s="495" t="s">
        <v>91</v>
      </c>
      <c r="D206" s="497" t="s">
        <v>92</v>
      </c>
      <c r="E206" s="496" t="str">
        <f t="shared" si="9"/>
        <v>12</v>
      </c>
      <c r="F206" s="496">
        <v>25724</v>
      </c>
      <c r="G206" s="496" t="str">
        <f t="shared" si="10"/>
        <v>20100163048</v>
      </c>
    </row>
    <row r="207" spans="1:7">
      <c r="A207" s="496">
        <f t="shared" si="11"/>
        <v>206</v>
      </c>
      <c r="B207" s="496" t="s">
        <v>293</v>
      </c>
      <c r="C207" s="495" t="s">
        <v>77</v>
      </c>
      <c r="D207" s="497" t="s">
        <v>78</v>
      </c>
      <c r="E207" s="496" t="str">
        <f t="shared" si="9"/>
        <v>07</v>
      </c>
      <c r="F207" s="496">
        <v>25717</v>
      </c>
      <c r="G207" s="496" t="str">
        <f t="shared" si="10"/>
        <v>20100163391</v>
      </c>
    </row>
    <row r="208" spans="1:7">
      <c r="A208" s="496">
        <f t="shared" si="11"/>
        <v>207</v>
      </c>
      <c r="B208" s="496" t="s">
        <v>294</v>
      </c>
      <c r="C208" s="495" t="s">
        <v>77</v>
      </c>
      <c r="D208" s="497" t="s">
        <v>78</v>
      </c>
      <c r="E208" s="496" t="str">
        <f t="shared" si="9"/>
        <v>07</v>
      </c>
      <c r="F208" s="496">
        <v>25717</v>
      </c>
      <c r="G208" s="496" t="str">
        <f t="shared" si="10"/>
        <v>20100163471</v>
      </c>
    </row>
    <row r="209" spans="1:7">
      <c r="A209" s="496">
        <f t="shared" si="11"/>
        <v>208</v>
      </c>
      <c r="B209" s="496" t="s">
        <v>295</v>
      </c>
      <c r="C209" s="495" t="s">
        <v>82</v>
      </c>
      <c r="D209" s="497" t="s">
        <v>83</v>
      </c>
      <c r="E209" s="496" t="str">
        <f t="shared" si="9"/>
        <v>08</v>
      </c>
      <c r="F209" s="496">
        <v>25718</v>
      </c>
      <c r="G209" s="496" t="str">
        <f t="shared" si="10"/>
        <v>20100163552</v>
      </c>
    </row>
    <row r="210" spans="1:7">
      <c r="A210" s="496">
        <f t="shared" si="11"/>
        <v>209</v>
      </c>
      <c r="B210" s="496" t="s">
        <v>296</v>
      </c>
      <c r="C210" s="495" t="s">
        <v>85</v>
      </c>
      <c r="D210" s="497" t="s">
        <v>86</v>
      </c>
      <c r="E210" s="496" t="str">
        <f t="shared" si="9"/>
        <v>09</v>
      </c>
      <c r="F210" s="496">
        <v>25719</v>
      </c>
      <c r="G210" s="496" t="str">
        <f t="shared" si="10"/>
        <v>20100165504</v>
      </c>
    </row>
    <row r="211" spans="1:7">
      <c r="A211" s="496">
        <f t="shared" si="11"/>
        <v>210</v>
      </c>
      <c r="B211" s="496" t="s">
        <v>297</v>
      </c>
      <c r="C211" s="495" t="s">
        <v>88</v>
      </c>
      <c r="D211" s="497" t="s">
        <v>89</v>
      </c>
      <c r="E211" s="496" t="str">
        <f t="shared" si="9"/>
        <v>11</v>
      </c>
      <c r="F211" s="496">
        <v>25720</v>
      </c>
      <c r="G211" s="496" t="str">
        <f t="shared" si="10"/>
        <v>20100165687</v>
      </c>
    </row>
    <row r="212" spans="1:7">
      <c r="A212" s="496">
        <f t="shared" si="11"/>
        <v>211</v>
      </c>
      <c r="B212" s="496" t="s">
        <v>298</v>
      </c>
      <c r="C212" s="495" t="s">
        <v>91</v>
      </c>
      <c r="D212" s="497" t="s">
        <v>92</v>
      </c>
      <c r="E212" s="496" t="str">
        <f t="shared" si="9"/>
        <v>12</v>
      </c>
      <c r="F212" s="496">
        <v>25724</v>
      </c>
      <c r="G212" s="496" t="str">
        <f t="shared" si="10"/>
        <v>20100165849</v>
      </c>
    </row>
    <row r="213" spans="1:7">
      <c r="A213" s="496">
        <f t="shared" si="11"/>
        <v>212</v>
      </c>
      <c r="B213" s="496" t="s">
        <v>299</v>
      </c>
      <c r="C213" s="495" t="s">
        <v>77</v>
      </c>
      <c r="D213" s="497" t="s">
        <v>78</v>
      </c>
      <c r="E213" s="496" t="str">
        <f t="shared" si="9"/>
        <v>07</v>
      </c>
      <c r="F213" s="496">
        <v>25717</v>
      </c>
      <c r="G213" s="496" t="str">
        <f t="shared" si="10"/>
        <v>20100166144</v>
      </c>
    </row>
    <row r="214" spans="1:7">
      <c r="A214" s="496">
        <f t="shared" si="11"/>
        <v>213</v>
      </c>
      <c r="B214" s="496" t="s">
        <v>300</v>
      </c>
      <c r="C214" s="495" t="s">
        <v>82</v>
      </c>
      <c r="D214" s="497" t="s">
        <v>83</v>
      </c>
      <c r="E214" s="496" t="str">
        <f t="shared" si="9"/>
        <v>08</v>
      </c>
      <c r="F214" s="496">
        <v>25718</v>
      </c>
      <c r="G214" s="496" t="str">
        <f t="shared" si="10"/>
        <v>20100166578</v>
      </c>
    </row>
    <row r="215" spans="1:7">
      <c r="A215" s="496">
        <f t="shared" si="11"/>
        <v>214</v>
      </c>
      <c r="B215" s="496" t="s">
        <v>301</v>
      </c>
      <c r="C215" s="495" t="s">
        <v>85</v>
      </c>
      <c r="D215" s="497" t="s">
        <v>86</v>
      </c>
      <c r="E215" s="496" t="str">
        <f t="shared" si="9"/>
        <v>09</v>
      </c>
      <c r="F215" s="496">
        <v>25719</v>
      </c>
      <c r="G215" s="496" t="str">
        <f t="shared" si="10"/>
        <v>20100166730</v>
      </c>
    </row>
    <row r="216" spans="1:7">
      <c r="A216" s="496">
        <f t="shared" si="11"/>
        <v>215</v>
      </c>
      <c r="B216" s="496" t="s">
        <v>302</v>
      </c>
      <c r="C216" s="495" t="s">
        <v>88</v>
      </c>
      <c r="D216" s="497" t="s">
        <v>89</v>
      </c>
      <c r="E216" s="496" t="str">
        <f t="shared" si="9"/>
        <v>11</v>
      </c>
      <c r="F216" s="496">
        <v>25720</v>
      </c>
      <c r="G216" s="496" t="str">
        <f t="shared" si="10"/>
        <v>20100166811</v>
      </c>
    </row>
    <row r="217" spans="1:7">
      <c r="A217" s="496">
        <f t="shared" si="11"/>
        <v>216</v>
      </c>
      <c r="B217" s="496" t="s">
        <v>303</v>
      </c>
      <c r="C217" s="495" t="s">
        <v>91</v>
      </c>
      <c r="D217" s="497" t="s">
        <v>92</v>
      </c>
      <c r="E217" s="496" t="str">
        <f t="shared" si="9"/>
        <v>12</v>
      </c>
      <c r="F217" s="496">
        <v>25724</v>
      </c>
      <c r="G217" s="496" t="str">
        <f t="shared" si="10"/>
        <v>20100170681</v>
      </c>
    </row>
    <row r="218" spans="1:7">
      <c r="A218" s="496">
        <f t="shared" si="11"/>
        <v>217</v>
      </c>
      <c r="B218" s="496" t="s">
        <v>304</v>
      </c>
      <c r="C218" s="495" t="s">
        <v>77</v>
      </c>
      <c r="D218" s="497" t="s">
        <v>78</v>
      </c>
      <c r="E218" s="496" t="str">
        <f t="shared" si="9"/>
        <v>07</v>
      </c>
      <c r="F218" s="496">
        <v>25717</v>
      </c>
      <c r="G218" s="496" t="str">
        <f t="shared" si="10"/>
        <v>20100170842</v>
      </c>
    </row>
    <row r="219" spans="1:7">
      <c r="A219" s="496">
        <f t="shared" si="11"/>
        <v>218</v>
      </c>
      <c r="B219" s="496" t="s">
        <v>305</v>
      </c>
      <c r="C219" s="495" t="s">
        <v>82</v>
      </c>
      <c r="D219" s="497" t="s">
        <v>83</v>
      </c>
      <c r="E219" s="496" t="str">
        <f t="shared" si="9"/>
        <v>08</v>
      </c>
      <c r="F219" s="496">
        <v>25718</v>
      </c>
      <c r="G219" s="496" t="str">
        <f t="shared" si="10"/>
        <v>20100171814</v>
      </c>
    </row>
    <row r="220" spans="1:7">
      <c r="A220" s="496">
        <f t="shared" si="11"/>
        <v>219</v>
      </c>
      <c r="B220" s="496" t="s">
        <v>306</v>
      </c>
      <c r="C220" s="495" t="s">
        <v>85</v>
      </c>
      <c r="D220" s="497" t="s">
        <v>86</v>
      </c>
      <c r="E220" s="496" t="str">
        <f t="shared" si="9"/>
        <v>09</v>
      </c>
      <c r="F220" s="496">
        <v>25719</v>
      </c>
      <c r="G220" s="496" t="str">
        <f t="shared" si="10"/>
        <v>20100172543</v>
      </c>
    </row>
    <row r="221" spans="1:7">
      <c r="A221" s="496">
        <f t="shared" si="11"/>
        <v>220</v>
      </c>
      <c r="B221" s="496" t="s">
        <v>307</v>
      </c>
      <c r="C221" s="495" t="s">
        <v>88</v>
      </c>
      <c r="D221" s="497" t="s">
        <v>89</v>
      </c>
      <c r="E221" s="496" t="str">
        <f t="shared" si="9"/>
        <v>11</v>
      </c>
      <c r="F221" s="496">
        <v>25720</v>
      </c>
      <c r="G221" s="496" t="str">
        <f t="shared" si="10"/>
        <v>20100173191</v>
      </c>
    </row>
    <row r="222" spans="1:7">
      <c r="A222" s="496">
        <f t="shared" si="11"/>
        <v>221</v>
      </c>
      <c r="B222" s="496" t="s">
        <v>308</v>
      </c>
      <c r="C222" s="495" t="s">
        <v>91</v>
      </c>
      <c r="D222" s="497" t="s">
        <v>92</v>
      </c>
      <c r="E222" s="496" t="str">
        <f t="shared" si="9"/>
        <v>12</v>
      </c>
      <c r="F222" s="496">
        <v>25724</v>
      </c>
      <c r="G222" s="496" t="str">
        <f t="shared" si="10"/>
        <v>20100174911</v>
      </c>
    </row>
    <row r="223" spans="1:7">
      <c r="A223" s="496">
        <f t="shared" si="11"/>
        <v>222</v>
      </c>
      <c r="B223" s="496" t="s">
        <v>309</v>
      </c>
      <c r="C223" s="495" t="s">
        <v>77</v>
      </c>
      <c r="D223" s="497" t="s">
        <v>78</v>
      </c>
      <c r="E223" s="496" t="str">
        <f t="shared" si="9"/>
        <v>07</v>
      </c>
      <c r="F223" s="496">
        <v>25717</v>
      </c>
      <c r="G223" s="496" t="str">
        <f t="shared" si="10"/>
        <v>20100175569</v>
      </c>
    </row>
    <row r="224" spans="1:7">
      <c r="A224" s="496">
        <f t="shared" si="11"/>
        <v>223</v>
      </c>
      <c r="B224" s="496" t="s">
        <v>310</v>
      </c>
      <c r="C224" s="495" t="s">
        <v>82</v>
      </c>
      <c r="D224" s="497" t="s">
        <v>83</v>
      </c>
      <c r="E224" s="496" t="str">
        <f t="shared" si="9"/>
        <v>08</v>
      </c>
      <c r="F224" s="496">
        <v>25718</v>
      </c>
      <c r="G224" s="496" t="str">
        <f t="shared" si="10"/>
        <v>20100177421</v>
      </c>
    </row>
    <row r="225" spans="1:7">
      <c r="A225" s="496">
        <f t="shared" si="11"/>
        <v>224</v>
      </c>
      <c r="B225" s="496" t="s">
        <v>311</v>
      </c>
      <c r="C225" s="495" t="s">
        <v>85</v>
      </c>
      <c r="D225" s="497" t="s">
        <v>86</v>
      </c>
      <c r="E225" s="496" t="str">
        <f t="shared" si="9"/>
        <v>09</v>
      </c>
      <c r="F225" s="496">
        <v>25719</v>
      </c>
      <c r="G225" s="496" t="str">
        <f t="shared" si="10"/>
        <v>20100180481</v>
      </c>
    </row>
    <row r="226" spans="1:7">
      <c r="A226" s="496">
        <f t="shared" si="11"/>
        <v>225</v>
      </c>
      <c r="B226" s="496" t="s">
        <v>312</v>
      </c>
      <c r="C226" s="495" t="s">
        <v>88</v>
      </c>
      <c r="D226" s="497" t="s">
        <v>89</v>
      </c>
      <c r="E226" s="496" t="str">
        <f t="shared" si="9"/>
        <v>11</v>
      </c>
      <c r="F226" s="496">
        <v>25720</v>
      </c>
      <c r="G226" s="496" t="str">
        <f t="shared" si="10"/>
        <v>20100182778</v>
      </c>
    </row>
    <row r="227" spans="1:7">
      <c r="A227" s="496">
        <f t="shared" si="11"/>
        <v>226</v>
      </c>
      <c r="B227" s="496" t="s">
        <v>313</v>
      </c>
      <c r="C227" s="495" t="s">
        <v>91</v>
      </c>
      <c r="D227" s="497" t="s">
        <v>92</v>
      </c>
      <c r="E227" s="496" t="str">
        <f t="shared" si="9"/>
        <v>12</v>
      </c>
      <c r="F227" s="496">
        <v>25724</v>
      </c>
      <c r="G227" s="496" t="str">
        <f t="shared" si="10"/>
        <v>20100182859</v>
      </c>
    </row>
    <row r="228" spans="1:7">
      <c r="A228" s="496">
        <f t="shared" si="11"/>
        <v>227</v>
      </c>
      <c r="B228" s="496" t="s">
        <v>314</v>
      </c>
      <c r="C228" s="495" t="s">
        <v>77</v>
      </c>
      <c r="D228" s="497" t="s">
        <v>78</v>
      </c>
      <c r="E228" s="496" t="str">
        <f t="shared" si="9"/>
        <v>07</v>
      </c>
      <c r="F228" s="496">
        <v>25717</v>
      </c>
      <c r="G228" s="496" t="str">
        <f t="shared" si="10"/>
        <v>20100183588</v>
      </c>
    </row>
    <row r="229" spans="1:7">
      <c r="A229" s="496">
        <f t="shared" si="11"/>
        <v>228</v>
      </c>
      <c r="B229" s="496" t="s">
        <v>315</v>
      </c>
      <c r="C229" s="495" t="s">
        <v>82</v>
      </c>
      <c r="D229" s="497" t="s">
        <v>83</v>
      </c>
      <c r="E229" s="496" t="str">
        <f t="shared" si="9"/>
        <v>08</v>
      </c>
      <c r="F229" s="496">
        <v>25718</v>
      </c>
      <c r="G229" s="496" t="str">
        <f t="shared" si="10"/>
        <v>20100183740</v>
      </c>
    </row>
    <row r="230" spans="1:7">
      <c r="A230" s="496">
        <f t="shared" si="11"/>
        <v>229</v>
      </c>
      <c r="B230" s="496" t="s">
        <v>316</v>
      </c>
      <c r="C230" s="495" t="s">
        <v>85</v>
      </c>
      <c r="D230" s="497" t="s">
        <v>86</v>
      </c>
      <c r="E230" s="496" t="str">
        <f t="shared" si="9"/>
        <v>09</v>
      </c>
      <c r="F230" s="496">
        <v>25719</v>
      </c>
      <c r="G230" s="496" t="str">
        <f t="shared" si="10"/>
        <v>20100189942</v>
      </c>
    </row>
    <row r="231" spans="1:7">
      <c r="A231" s="496">
        <f t="shared" si="11"/>
        <v>230</v>
      </c>
      <c r="B231" s="496" t="s">
        <v>317</v>
      </c>
      <c r="C231" s="495" t="s">
        <v>88</v>
      </c>
      <c r="D231" s="497" t="s">
        <v>89</v>
      </c>
      <c r="E231" s="496" t="str">
        <f t="shared" si="9"/>
        <v>11</v>
      </c>
      <c r="F231" s="496">
        <v>25720</v>
      </c>
      <c r="G231" s="496" t="str">
        <f t="shared" si="10"/>
        <v>20100193117</v>
      </c>
    </row>
    <row r="232" spans="1:7">
      <c r="A232" s="496">
        <f t="shared" si="11"/>
        <v>231</v>
      </c>
      <c r="B232" s="496" t="s">
        <v>318</v>
      </c>
      <c r="C232" s="495" t="s">
        <v>91</v>
      </c>
      <c r="D232" s="497" t="s">
        <v>92</v>
      </c>
      <c r="E232" s="496" t="str">
        <f t="shared" si="9"/>
        <v>12</v>
      </c>
      <c r="F232" s="496">
        <v>25724</v>
      </c>
      <c r="G232" s="496" t="str">
        <f t="shared" si="10"/>
        <v>20100195080</v>
      </c>
    </row>
    <row r="233" spans="1:7">
      <c r="A233" s="496">
        <f t="shared" si="11"/>
        <v>232</v>
      </c>
      <c r="B233" s="496" t="s">
        <v>319</v>
      </c>
      <c r="C233" s="495" t="s">
        <v>77</v>
      </c>
      <c r="D233" s="497" t="s">
        <v>78</v>
      </c>
      <c r="E233" s="496" t="str">
        <f t="shared" si="9"/>
        <v>07</v>
      </c>
      <c r="F233" s="496">
        <v>25717</v>
      </c>
      <c r="G233" s="496" t="str">
        <f t="shared" si="10"/>
        <v>20100199743</v>
      </c>
    </row>
    <row r="234" spans="1:7">
      <c r="A234" s="496">
        <f t="shared" si="11"/>
        <v>233</v>
      </c>
      <c r="B234" s="496" t="s">
        <v>320</v>
      </c>
      <c r="C234" s="495" t="s">
        <v>82</v>
      </c>
      <c r="D234" s="497" t="s">
        <v>83</v>
      </c>
      <c r="E234" s="496" t="str">
        <f t="shared" si="9"/>
        <v>08</v>
      </c>
      <c r="F234" s="496">
        <v>25718</v>
      </c>
      <c r="G234" s="496" t="str">
        <f t="shared" si="10"/>
        <v>20100226813</v>
      </c>
    </row>
    <row r="235" spans="1:7">
      <c r="A235" s="496">
        <f t="shared" si="11"/>
        <v>234</v>
      </c>
      <c r="B235" s="496" t="s">
        <v>321</v>
      </c>
      <c r="C235" s="495" t="s">
        <v>85</v>
      </c>
      <c r="D235" s="497" t="s">
        <v>86</v>
      </c>
      <c r="E235" s="496" t="str">
        <f t="shared" si="9"/>
        <v>09</v>
      </c>
      <c r="F235" s="496">
        <v>25719</v>
      </c>
      <c r="G235" s="496" t="str">
        <f t="shared" si="10"/>
        <v>20100227461</v>
      </c>
    </row>
    <row r="236" spans="1:7">
      <c r="A236" s="496">
        <f t="shared" si="11"/>
        <v>235</v>
      </c>
      <c r="B236" s="496" t="s">
        <v>322</v>
      </c>
      <c r="C236" s="495" t="s">
        <v>88</v>
      </c>
      <c r="D236" s="497" t="s">
        <v>89</v>
      </c>
      <c r="E236" s="496" t="str">
        <f t="shared" si="9"/>
        <v>11</v>
      </c>
      <c r="F236" s="496">
        <v>25720</v>
      </c>
      <c r="G236" s="496" t="str">
        <f t="shared" si="10"/>
        <v>20100227542</v>
      </c>
    </row>
    <row r="237" spans="1:7">
      <c r="A237" s="496">
        <f t="shared" si="11"/>
        <v>236</v>
      </c>
      <c r="B237" s="496" t="s">
        <v>323</v>
      </c>
      <c r="C237" s="495" t="s">
        <v>91</v>
      </c>
      <c r="D237" s="497" t="s">
        <v>92</v>
      </c>
      <c r="E237" s="496" t="str">
        <f t="shared" si="9"/>
        <v>12</v>
      </c>
      <c r="F237" s="496">
        <v>25724</v>
      </c>
      <c r="G237" s="496" t="str">
        <f t="shared" si="10"/>
        <v>20100231817</v>
      </c>
    </row>
    <row r="238" spans="1:7">
      <c r="A238" s="496">
        <f t="shared" si="11"/>
        <v>237</v>
      </c>
      <c r="B238" s="496" t="s">
        <v>324</v>
      </c>
      <c r="C238" s="495" t="s">
        <v>77</v>
      </c>
      <c r="D238" s="497" t="s">
        <v>78</v>
      </c>
      <c r="E238" s="496" t="str">
        <f t="shared" si="9"/>
        <v>07</v>
      </c>
      <c r="F238" s="496">
        <v>25717</v>
      </c>
      <c r="G238" s="496" t="str">
        <f t="shared" si="10"/>
        <v>20100244391</v>
      </c>
    </row>
    <row r="239" spans="1:7">
      <c r="A239" s="496">
        <f t="shared" si="11"/>
        <v>238</v>
      </c>
      <c r="B239" s="496" t="s">
        <v>325</v>
      </c>
      <c r="C239" s="495" t="s">
        <v>82</v>
      </c>
      <c r="D239" s="497" t="s">
        <v>83</v>
      </c>
      <c r="E239" s="496" t="str">
        <f t="shared" si="9"/>
        <v>08</v>
      </c>
      <c r="F239" s="496">
        <v>25718</v>
      </c>
      <c r="G239" s="496" t="str">
        <f t="shared" si="10"/>
        <v>20100245796</v>
      </c>
    </row>
    <row r="240" spans="1:7">
      <c r="A240" s="496">
        <f t="shared" si="11"/>
        <v>239</v>
      </c>
      <c r="B240" s="496" t="s">
        <v>326</v>
      </c>
      <c r="C240" s="495" t="s">
        <v>85</v>
      </c>
      <c r="D240" s="497" t="s">
        <v>86</v>
      </c>
      <c r="E240" s="496" t="str">
        <f t="shared" si="9"/>
        <v>09</v>
      </c>
      <c r="F240" s="496">
        <v>25719</v>
      </c>
      <c r="G240" s="496" t="str">
        <f t="shared" si="10"/>
        <v>20100249350</v>
      </c>
    </row>
    <row r="241" spans="1:7">
      <c r="A241" s="496">
        <f t="shared" si="11"/>
        <v>240</v>
      </c>
      <c r="B241" s="496" t="s">
        <v>327</v>
      </c>
      <c r="C241" s="495" t="s">
        <v>88</v>
      </c>
      <c r="D241" s="497" t="s">
        <v>89</v>
      </c>
      <c r="E241" s="496" t="str">
        <f t="shared" si="9"/>
        <v>11</v>
      </c>
      <c r="F241" s="496">
        <v>25720</v>
      </c>
      <c r="G241" s="496" t="str">
        <f t="shared" si="10"/>
        <v>20100257298</v>
      </c>
    </row>
    <row r="242" spans="1:7">
      <c r="A242" s="496">
        <f t="shared" si="11"/>
        <v>241</v>
      </c>
      <c r="B242" s="496" t="s">
        <v>328</v>
      </c>
      <c r="C242" s="495" t="s">
        <v>91</v>
      </c>
      <c r="D242" s="497" t="s">
        <v>92</v>
      </c>
      <c r="E242" s="496" t="str">
        <f t="shared" si="9"/>
        <v>12</v>
      </c>
      <c r="F242" s="496">
        <v>25724</v>
      </c>
      <c r="G242" s="496" t="str">
        <f t="shared" si="10"/>
        <v>20100257964</v>
      </c>
    </row>
    <row r="243" spans="1:7">
      <c r="A243" s="496">
        <f t="shared" si="11"/>
        <v>242</v>
      </c>
      <c r="B243" s="496" t="s">
        <v>329</v>
      </c>
      <c r="C243" s="495" t="s">
        <v>77</v>
      </c>
      <c r="D243" s="497" t="s">
        <v>78</v>
      </c>
      <c r="E243" s="496" t="str">
        <f t="shared" si="9"/>
        <v>07</v>
      </c>
      <c r="F243" s="496">
        <v>25717</v>
      </c>
      <c r="G243" s="496" t="str">
        <f t="shared" si="10"/>
        <v>20100260591</v>
      </c>
    </row>
    <row r="244" spans="1:7">
      <c r="A244" s="496">
        <f t="shared" si="11"/>
        <v>243</v>
      </c>
      <c r="B244" s="496" t="s">
        <v>330</v>
      </c>
      <c r="C244" s="495" t="s">
        <v>82</v>
      </c>
      <c r="D244" s="497" t="s">
        <v>83</v>
      </c>
      <c r="E244" s="496" t="str">
        <f t="shared" si="9"/>
        <v>08</v>
      </c>
      <c r="F244" s="496">
        <v>25718</v>
      </c>
      <c r="G244" s="496" t="str">
        <f t="shared" si="10"/>
        <v>20100261481</v>
      </c>
    </row>
    <row r="245" spans="1:7">
      <c r="A245" s="496">
        <f t="shared" si="11"/>
        <v>244</v>
      </c>
      <c r="B245" s="496" t="s">
        <v>331</v>
      </c>
      <c r="C245" s="495" t="s">
        <v>85</v>
      </c>
      <c r="D245" s="497" t="s">
        <v>86</v>
      </c>
      <c r="E245" s="496" t="str">
        <f t="shared" si="9"/>
        <v>09</v>
      </c>
      <c r="F245" s="496">
        <v>25719</v>
      </c>
      <c r="G245" s="496" t="str">
        <f t="shared" si="10"/>
        <v>20100263182</v>
      </c>
    </row>
    <row r="246" spans="1:7">
      <c r="A246" s="496">
        <f t="shared" si="11"/>
        <v>245</v>
      </c>
      <c r="B246" s="496" t="s">
        <v>332</v>
      </c>
      <c r="C246" s="495" t="s">
        <v>88</v>
      </c>
      <c r="D246" s="497" t="s">
        <v>89</v>
      </c>
      <c r="E246" s="496" t="str">
        <f t="shared" si="9"/>
        <v>11</v>
      </c>
      <c r="F246" s="496">
        <v>25720</v>
      </c>
      <c r="G246" s="496" t="str">
        <f t="shared" si="10"/>
        <v>20100266874</v>
      </c>
    </row>
    <row r="247" spans="1:7">
      <c r="A247" s="496">
        <f t="shared" si="11"/>
        <v>246</v>
      </c>
      <c r="B247" s="496" t="s">
        <v>333</v>
      </c>
      <c r="C247" s="495" t="s">
        <v>91</v>
      </c>
      <c r="D247" s="497" t="s">
        <v>92</v>
      </c>
      <c r="E247" s="496" t="str">
        <f t="shared" si="9"/>
        <v>12</v>
      </c>
      <c r="F247" s="496">
        <v>25724</v>
      </c>
      <c r="G247" s="496" t="str">
        <f t="shared" si="10"/>
        <v>20100268575</v>
      </c>
    </row>
    <row r="248" spans="1:7">
      <c r="A248" s="496">
        <f t="shared" si="11"/>
        <v>247</v>
      </c>
      <c r="B248" s="496" t="s">
        <v>334</v>
      </c>
      <c r="C248" s="495" t="s">
        <v>77</v>
      </c>
      <c r="D248" s="497" t="s">
        <v>78</v>
      </c>
      <c r="E248" s="496" t="str">
        <f t="shared" si="9"/>
        <v>07</v>
      </c>
      <c r="F248" s="496">
        <v>25717</v>
      </c>
      <c r="G248" s="496" t="str">
        <f t="shared" si="10"/>
        <v>20100269385</v>
      </c>
    </row>
    <row r="249" spans="1:7">
      <c r="A249" s="496">
        <f t="shared" si="11"/>
        <v>248</v>
      </c>
      <c r="B249" s="496" t="s">
        <v>335</v>
      </c>
      <c r="C249" s="495" t="s">
        <v>82</v>
      </c>
      <c r="D249" s="497" t="s">
        <v>83</v>
      </c>
      <c r="E249" s="496" t="str">
        <f t="shared" si="9"/>
        <v>08</v>
      </c>
      <c r="F249" s="496">
        <v>25718</v>
      </c>
      <c r="G249" s="496" t="str">
        <f t="shared" si="10"/>
        <v>20100274621</v>
      </c>
    </row>
    <row r="250" spans="1:7">
      <c r="A250" s="496">
        <f t="shared" si="11"/>
        <v>249</v>
      </c>
      <c r="B250" s="496" t="s">
        <v>336</v>
      </c>
      <c r="C250" s="495" t="s">
        <v>85</v>
      </c>
      <c r="D250" s="497" t="s">
        <v>86</v>
      </c>
      <c r="E250" s="496" t="str">
        <f t="shared" si="9"/>
        <v>09</v>
      </c>
      <c r="F250" s="496">
        <v>25719</v>
      </c>
      <c r="G250" s="496" t="str">
        <f t="shared" si="10"/>
        <v>20100277485</v>
      </c>
    </row>
    <row r="251" spans="1:7">
      <c r="A251" s="496">
        <f t="shared" si="11"/>
        <v>250</v>
      </c>
      <c r="B251" s="496" t="s">
        <v>337</v>
      </c>
      <c r="C251" s="495" t="s">
        <v>88</v>
      </c>
      <c r="D251" s="497" t="s">
        <v>89</v>
      </c>
      <c r="E251" s="496" t="str">
        <f t="shared" si="9"/>
        <v>11</v>
      </c>
      <c r="F251" s="496">
        <v>25720</v>
      </c>
      <c r="G251" s="496" t="str">
        <f t="shared" si="10"/>
        <v>20100281245</v>
      </c>
    </row>
    <row r="252" spans="1:7">
      <c r="A252" s="496">
        <f t="shared" si="11"/>
        <v>251</v>
      </c>
      <c r="B252" s="496" t="s">
        <v>338</v>
      </c>
      <c r="C252" s="495" t="s">
        <v>91</v>
      </c>
      <c r="D252" s="497" t="s">
        <v>92</v>
      </c>
      <c r="E252" s="496" t="str">
        <f t="shared" si="9"/>
        <v>12</v>
      </c>
      <c r="F252" s="496">
        <v>25724</v>
      </c>
      <c r="G252" s="496" t="str">
        <f t="shared" si="10"/>
        <v>20100282721</v>
      </c>
    </row>
    <row r="253" spans="1:7">
      <c r="A253" s="496">
        <f t="shared" si="11"/>
        <v>252</v>
      </c>
      <c r="B253" s="496" t="s">
        <v>339</v>
      </c>
      <c r="C253" s="495" t="s">
        <v>77</v>
      </c>
      <c r="D253" s="497" t="s">
        <v>78</v>
      </c>
      <c r="E253" s="496" t="str">
        <f t="shared" si="9"/>
        <v>07</v>
      </c>
      <c r="F253" s="496">
        <v>25717</v>
      </c>
      <c r="G253" s="496" t="str">
        <f t="shared" si="10"/>
        <v>20100283027</v>
      </c>
    </row>
    <row r="254" spans="1:7">
      <c r="A254" s="496">
        <f t="shared" si="11"/>
        <v>253</v>
      </c>
      <c r="B254" s="496" t="s">
        <v>340</v>
      </c>
      <c r="C254" s="495" t="s">
        <v>82</v>
      </c>
      <c r="D254" s="497" t="s">
        <v>83</v>
      </c>
      <c r="E254" s="496" t="str">
        <f t="shared" si="9"/>
        <v>08</v>
      </c>
      <c r="F254" s="496">
        <v>25718</v>
      </c>
      <c r="G254" s="496" t="str">
        <f t="shared" si="10"/>
        <v>20100287791</v>
      </c>
    </row>
    <row r="255" spans="1:7">
      <c r="A255" s="496">
        <f t="shared" si="11"/>
        <v>254</v>
      </c>
      <c r="B255" s="496" t="s">
        <v>341</v>
      </c>
      <c r="C255" s="495" t="s">
        <v>85</v>
      </c>
      <c r="D255" s="497" t="s">
        <v>86</v>
      </c>
      <c r="E255" s="496" t="str">
        <f t="shared" si="9"/>
        <v>09</v>
      </c>
      <c r="F255" s="496">
        <v>25719</v>
      </c>
      <c r="G255" s="496" t="str">
        <f t="shared" si="10"/>
        <v>20100292956</v>
      </c>
    </row>
    <row r="256" spans="1:7">
      <c r="A256" s="496">
        <f t="shared" si="11"/>
        <v>255</v>
      </c>
      <c r="B256" s="496" t="s">
        <v>342</v>
      </c>
      <c r="C256" s="495" t="s">
        <v>88</v>
      </c>
      <c r="D256" s="497" t="s">
        <v>89</v>
      </c>
      <c r="E256" s="496" t="str">
        <f t="shared" si="9"/>
        <v>11</v>
      </c>
      <c r="F256" s="496">
        <v>25720</v>
      </c>
      <c r="G256" s="496" t="str">
        <f t="shared" si="10"/>
        <v>20100293928</v>
      </c>
    </row>
    <row r="257" spans="1:7">
      <c r="A257" s="496">
        <f t="shared" si="11"/>
        <v>256</v>
      </c>
      <c r="B257" s="496" t="s">
        <v>343</v>
      </c>
      <c r="C257" s="495" t="s">
        <v>91</v>
      </c>
      <c r="D257" s="497" t="s">
        <v>92</v>
      </c>
      <c r="E257" s="496" t="str">
        <f t="shared" si="9"/>
        <v>12</v>
      </c>
      <c r="F257" s="496">
        <v>25724</v>
      </c>
      <c r="G257" s="496" t="str">
        <f t="shared" si="10"/>
        <v>20100300053</v>
      </c>
    </row>
    <row r="258" spans="1:7">
      <c r="A258" s="496">
        <f t="shared" si="11"/>
        <v>257</v>
      </c>
      <c r="B258" s="496" t="s">
        <v>344</v>
      </c>
      <c r="C258" s="495" t="s">
        <v>77</v>
      </c>
      <c r="D258" s="497" t="s">
        <v>78</v>
      </c>
      <c r="E258" s="496" t="str">
        <f t="shared" si="9"/>
        <v>07</v>
      </c>
      <c r="F258" s="496">
        <v>25717</v>
      </c>
      <c r="G258" s="496" t="str">
        <f t="shared" si="10"/>
        <v>20100300991</v>
      </c>
    </row>
    <row r="259" spans="1:7">
      <c r="A259" s="496">
        <f t="shared" si="11"/>
        <v>258</v>
      </c>
      <c r="B259" s="496" t="s">
        <v>345</v>
      </c>
      <c r="C259" s="495" t="s">
        <v>82</v>
      </c>
      <c r="D259" s="497" t="s">
        <v>83</v>
      </c>
      <c r="E259" s="496" t="str">
        <f t="shared" ref="E259:E322" si="12">IF(MID(D259,14,1)="@",MID(D259,12,2),"0"&amp;MID(D259,12,1))</f>
        <v>08</v>
      </c>
      <c r="F259" s="496">
        <v>25718</v>
      </c>
      <c r="G259" s="496" t="str">
        <f t="shared" ref="G259:G322" si="13">CONCATENATE(B259)</f>
        <v>20100302773</v>
      </c>
    </row>
    <row r="260" spans="1:7">
      <c r="A260" s="496">
        <f t="shared" ref="A260:A323" si="14">+A259+1</f>
        <v>259</v>
      </c>
      <c r="B260" s="496" t="s">
        <v>346</v>
      </c>
      <c r="C260" s="495" t="s">
        <v>85</v>
      </c>
      <c r="D260" s="497" t="s">
        <v>86</v>
      </c>
      <c r="E260" s="496" t="str">
        <f t="shared" si="12"/>
        <v>09</v>
      </c>
      <c r="F260" s="496">
        <v>25719</v>
      </c>
      <c r="G260" s="496" t="str">
        <f t="shared" si="13"/>
        <v>20100310288</v>
      </c>
    </row>
    <row r="261" spans="1:7">
      <c r="A261" s="496">
        <f t="shared" si="14"/>
        <v>260</v>
      </c>
      <c r="B261" s="496" t="s">
        <v>347</v>
      </c>
      <c r="C261" s="495" t="s">
        <v>88</v>
      </c>
      <c r="D261" s="497" t="s">
        <v>89</v>
      </c>
      <c r="E261" s="496" t="str">
        <f t="shared" si="12"/>
        <v>11</v>
      </c>
      <c r="F261" s="496">
        <v>25720</v>
      </c>
      <c r="G261" s="496" t="str">
        <f t="shared" si="13"/>
        <v>20100312736</v>
      </c>
    </row>
    <row r="262" spans="1:7">
      <c r="A262" s="496">
        <f t="shared" si="14"/>
        <v>261</v>
      </c>
      <c r="B262" s="496" t="s">
        <v>348</v>
      </c>
      <c r="C262" s="495" t="s">
        <v>91</v>
      </c>
      <c r="D262" s="497" t="s">
        <v>92</v>
      </c>
      <c r="E262" s="496" t="str">
        <f t="shared" si="12"/>
        <v>12</v>
      </c>
      <c r="F262" s="496">
        <v>25724</v>
      </c>
      <c r="G262" s="496" t="str">
        <f t="shared" si="13"/>
        <v>20100316138</v>
      </c>
    </row>
    <row r="263" spans="1:7">
      <c r="A263" s="496">
        <f t="shared" si="14"/>
        <v>262</v>
      </c>
      <c r="B263" s="496" t="s">
        <v>349</v>
      </c>
      <c r="C263" s="495" t="s">
        <v>77</v>
      </c>
      <c r="D263" s="497" t="s">
        <v>78</v>
      </c>
      <c r="E263" s="496" t="str">
        <f t="shared" si="12"/>
        <v>07</v>
      </c>
      <c r="F263" s="496">
        <v>25717</v>
      </c>
      <c r="G263" s="496" t="str">
        <f t="shared" si="13"/>
        <v>20100318696</v>
      </c>
    </row>
    <row r="264" spans="1:7">
      <c r="A264" s="496">
        <f t="shared" si="14"/>
        <v>263</v>
      </c>
      <c r="B264" s="496" t="s">
        <v>350</v>
      </c>
      <c r="C264" s="495" t="s">
        <v>82</v>
      </c>
      <c r="D264" s="497" t="s">
        <v>83</v>
      </c>
      <c r="E264" s="496" t="str">
        <f t="shared" si="12"/>
        <v>08</v>
      </c>
      <c r="F264" s="496">
        <v>25718</v>
      </c>
      <c r="G264" s="496" t="str">
        <f t="shared" si="13"/>
        <v>20100320321</v>
      </c>
    </row>
    <row r="265" spans="1:7">
      <c r="A265" s="496">
        <f t="shared" si="14"/>
        <v>264</v>
      </c>
      <c r="B265" s="496" t="s">
        <v>351</v>
      </c>
      <c r="C265" s="495" t="s">
        <v>82</v>
      </c>
      <c r="D265" s="497" t="s">
        <v>83</v>
      </c>
      <c r="E265" s="496" t="str">
        <f t="shared" si="12"/>
        <v>08</v>
      </c>
      <c r="F265" s="496">
        <v>25718</v>
      </c>
      <c r="G265" s="496" t="str">
        <f t="shared" si="13"/>
        <v>20100323932</v>
      </c>
    </row>
    <row r="266" spans="1:7">
      <c r="A266" s="496">
        <f t="shared" si="14"/>
        <v>265</v>
      </c>
      <c r="B266" s="496" t="s">
        <v>352</v>
      </c>
      <c r="C266" s="495" t="s">
        <v>85</v>
      </c>
      <c r="D266" s="497" t="s">
        <v>86</v>
      </c>
      <c r="E266" s="496" t="str">
        <f t="shared" si="12"/>
        <v>09</v>
      </c>
      <c r="F266" s="496">
        <v>25719</v>
      </c>
      <c r="G266" s="496" t="str">
        <f t="shared" si="13"/>
        <v>20100328225</v>
      </c>
    </row>
    <row r="267" spans="1:7">
      <c r="A267" s="496">
        <f t="shared" si="14"/>
        <v>266</v>
      </c>
      <c r="B267" s="496" t="s">
        <v>353</v>
      </c>
      <c r="C267" s="495" t="s">
        <v>88</v>
      </c>
      <c r="D267" s="497" t="s">
        <v>89</v>
      </c>
      <c r="E267" s="496" t="str">
        <f t="shared" si="12"/>
        <v>11</v>
      </c>
      <c r="F267" s="496">
        <v>25720</v>
      </c>
      <c r="G267" s="496" t="str">
        <f t="shared" si="13"/>
        <v>20100328497</v>
      </c>
    </row>
    <row r="268" spans="1:7">
      <c r="A268" s="496">
        <f t="shared" si="14"/>
        <v>267</v>
      </c>
      <c r="B268" s="496" t="s">
        <v>354</v>
      </c>
      <c r="C268" s="495" t="s">
        <v>91</v>
      </c>
      <c r="D268" s="497" t="s">
        <v>92</v>
      </c>
      <c r="E268" s="496" t="str">
        <f t="shared" si="12"/>
        <v>12</v>
      </c>
      <c r="F268" s="496">
        <v>25724</v>
      </c>
      <c r="G268" s="496" t="str">
        <f t="shared" si="13"/>
        <v>20100330475</v>
      </c>
    </row>
    <row r="269" spans="1:7">
      <c r="A269" s="496">
        <f t="shared" si="14"/>
        <v>268</v>
      </c>
      <c r="B269" s="496" t="s">
        <v>355</v>
      </c>
      <c r="C269" s="495" t="s">
        <v>77</v>
      </c>
      <c r="D269" s="497" t="s">
        <v>78</v>
      </c>
      <c r="E269" s="496" t="str">
        <f t="shared" si="12"/>
        <v>07</v>
      </c>
      <c r="F269" s="496">
        <v>25717</v>
      </c>
      <c r="G269" s="496" t="str">
        <f t="shared" si="13"/>
        <v>20100331285</v>
      </c>
    </row>
    <row r="270" spans="1:7">
      <c r="A270" s="496">
        <f t="shared" si="14"/>
        <v>269</v>
      </c>
      <c r="B270" s="496" t="s">
        <v>356</v>
      </c>
      <c r="C270" s="495" t="s">
        <v>82</v>
      </c>
      <c r="D270" s="497" t="s">
        <v>83</v>
      </c>
      <c r="E270" s="496" t="str">
        <f t="shared" si="12"/>
        <v>08</v>
      </c>
      <c r="F270" s="496">
        <v>25718</v>
      </c>
      <c r="G270" s="496" t="str">
        <f t="shared" si="13"/>
        <v>20100334381</v>
      </c>
    </row>
    <row r="271" spans="1:7">
      <c r="A271" s="496">
        <f t="shared" si="14"/>
        <v>270</v>
      </c>
      <c r="B271" s="496" t="s">
        <v>357</v>
      </c>
      <c r="C271" s="495" t="s">
        <v>85</v>
      </c>
      <c r="D271" s="497" t="s">
        <v>86</v>
      </c>
      <c r="E271" s="496" t="str">
        <f t="shared" si="12"/>
        <v>09</v>
      </c>
      <c r="F271" s="496">
        <v>25719</v>
      </c>
      <c r="G271" s="496" t="str">
        <f t="shared" si="13"/>
        <v>20100334624</v>
      </c>
    </row>
    <row r="272" spans="1:7">
      <c r="A272" s="496">
        <f t="shared" si="14"/>
        <v>271</v>
      </c>
      <c r="B272" s="496" t="s">
        <v>358</v>
      </c>
      <c r="C272" s="495" t="s">
        <v>88</v>
      </c>
      <c r="D272" s="497" t="s">
        <v>89</v>
      </c>
      <c r="E272" s="496" t="str">
        <f t="shared" si="12"/>
        <v>11</v>
      </c>
      <c r="F272" s="496">
        <v>25720</v>
      </c>
      <c r="G272" s="496" t="str">
        <f t="shared" si="13"/>
        <v>20100337992</v>
      </c>
    </row>
    <row r="273" spans="1:7">
      <c r="A273" s="496">
        <f t="shared" si="14"/>
        <v>272</v>
      </c>
      <c r="B273" s="496" t="s">
        <v>359</v>
      </c>
      <c r="C273" s="495" t="s">
        <v>91</v>
      </c>
      <c r="D273" s="497" t="s">
        <v>92</v>
      </c>
      <c r="E273" s="496" t="str">
        <f t="shared" si="12"/>
        <v>12</v>
      </c>
      <c r="F273" s="496">
        <v>25724</v>
      </c>
      <c r="G273" s="496" t="str">
        <f t="shared" si="13"/>
        <v>20100343887</v>
      </c>
    </row>
    <row r="274" spans="1:7">
      <c r="A274" s="496">
        <f t="shared" si="14"/>
        <v>273</v>
      </c>
      <c r="B274" s="496" t="s">
        <v>360</v>
      </c>
      <c r="C274" s="495" t="s">
        <v>77</v>
      </c>
      <c r="D274" s="497" t="s">
        <v>78</v>
      </c>
      <c r="E274" s="496" t="str">
        <f t="shared" si="12"/>
        <v>07</v>
      </c>
      <c r="F274" s="496">
        <v>25717</v>
      </c>
      <c r="G274" s="496" t="str">
        <f t="shared" si="13"/>
        <v>20100346479</v>
      </c>
    </row>
    <row r="275" spans="1:7">
      <c r="A275" s="496">
        <f t="shared" si="14"/>
        <v>274</v>
      </c>
      <c r="B275" s="496" t="s">
        <v>361</v>
      </c>
      <c r="C275" s="495" t="s">
        <v>82</v>
      </c>
      <c r="D275" s="497" t="s">
        <v>83</v>
      </c>
      <c r="E275" s="496" t="str">
        <f t="shared" si="12"/>
        <v>08</v>
      </c>
      <c r="F275" s="496">
        <v>25718</v>
      </c>
      <c r="G275" s="496" t="str">
        <f t="shared" si="13"/>
        <v>20100351804</v>
      </c>
    </row>
    <row r="276" spans="1:7">
      <c r="A276" s="496">
        <f t="shared" si="14"/>
        <v>275</v>
      </c>
      <c r="B276" s="496" t="s">
        <v>362</v>
      </c>
      <c r="C276" s="495" t="s">
        <v>85</v>
      </c>
      <c r="D276" s="497" t="s">
        <v>86</v>
      </c>
      <c r="E276" s="496" t="str">
        <f t="shared" si="12"/>
        <v>09</v>
      </c>
      <c r="F276" s="496">
        <v>25719</v>
      </c>
      <c r="G276" s="496" t="str">
        <f t="shared" si="13"/>
        <v>20100352525</v>
      </c>
    </row>
    <row r="277" spans="1:7">
      <c r="A277" s="496">
        <f t="shared" si="14"/>
        <v>276</v>
      </c>
      <c r="B277" s="496" t="s">
        <v>363</v>
      </c>
      <c r="C277" s="495" t="s">
        <v>88</v>
      </c>
      <c r="D277" s="497" t="s">
        <v>89</v>
      </c>
      <c r="E277" s="496" t="str">
        <f t="shared" si="12"/>
        <v>11</v>
      </c>
      <c r="F277" s="496">
        <v>25720</v>
      </c>
      <c r="G277" s="496" t="str">
        <f t="shared" si="13"/>
        <v>20100365007</v>
      </c>
    </row>
    <row r="278" spans="1:7">
      <c r="A278" s="496">
        <f t="shared" si="14"/>
        <v>277</v>
      </c>
      <c r="B278" s="496" t="s">
        <v>364</v>
      </c>
      <c r="C278" s="495" t="s">
        <v>91</v>
      </c>
      <c r="D278" s="497" t="s">
        <v>92</v>
      </c>
      <c r="E278" s="496" t="str">
        <f t="shared" si="12"/>
        <v>12</v>
      </c>
      <c r="F278" s="496">
        <v>25724</v>
      </c>
      <c r="G278" s="496" t="str">
        <f t="shared" si="13"/>
        <v>20100366151</v>
      </c>
    </row>
    <row r="279" spans="1:7">
      <c r="A279" s="496">
        <f t="shared" si="14"/>
        <v>278</v>
      </c>
      <c r="B279" s="496" t="s">
        <v>365</v>
      </c>
      <c r="C279" s="495" t="s">
        <v>77</v>
      </c>
      <c r="D279" s="497" t="s">
        <v>78</v>
      </c>
      <c r="E279" s="496" t="str">
        <f t="shared" si="12"/>
        <v>07</v>
      </c>
      <c r="F279" s="496">
        <v>25717</v>
      </c>
      <c r="G279" s="496" t="str">
        <f t="shared" si="13"/>
        <v>20100371741</v>
      </c>
    </row>
    <row r="280" spans="1:7">
      <c r="A280" s="496">
        <f t="shared" si="14"/>
        <v>279</v>
      </c>
      <c r="B280" s="496" t="s">
        <v>366</v>
      </c>
      <c r="C280" s="495" t="s">
        <v>82</v>
      </c>
      <c r="D280" s="497" t="s">
        <v>83</v>
      </c>
      <c r="E280" s="496" t="str">
        <f t="shared" si="12"/>
        <v>08</v>
      </c>
      <c r="F280" s="496">
        <v>25718</v>
      </c>
      <c r="G280" s="496" t="str">
        <f t="shared" si="13"/>
        <v>20100372551</v>
      </c>
    </row>
    <row r="281" spans="1:7">
      <c r="A281" s="496">
        <f t="shared" si="14"/>
        <v>280</v>
      </c>
      <c r="B281" s="496" t="s">
        <v>367</v>
      </c>
      <c r="C281" s="495" t="s">
        <v>85</v>
      </c>
      <c r="D281" s="497" t="s">
        <v>86</v>
      </c>
      <c r="E281" s="496" t="str">
        <f t="shared" si="12"/>
        <v>09</v>
      </c>
      <c r="F281" s="496">
        <v>25719</v>
      </c>
      <c r="G281" s="496" t="str">
        <f t="shared" si="13"/>
        <v>20100373956</v>
      </c>
    </row>
    <row r="282" spans="1:7">
      <c r="A282" s="496">
        <f t="shared" si="14"/>
        <v>281</v>
      </c>
      <c r="B282" s="496" t="s">
        <v>368</v>
      </c>
      <c r="C282" s="495" t="s">
        <v>88</v>
      </c>
      <c r="D282" s="497" t="s">
        <v>89</v>
      </c>
      <c r="E282" s="496" t="str">
        <f t="shared" si="12"/>
        <v>11</v>
      </c>
      <c r="F282" s="496">
        <v>25720</v>
      </c>
      <c r="G282" s="496" t="str">
        <f t="shared" si="13"/>
        <v>20100378168</v>
      </c>
    </row>
    <row r="283" spans="1:7">
      <c r="A283" s="496">
        <f t="shared" si="14"/>
        <v>282</v>
      </c>
      <c r="B283" s="496" t="s">
        <v>369</v>
      </c>
      <c r="C283" s="495" t="s">
        <v>91</v>
      </c>
      <c r="D283" s="497" t="s">
        <v>92</v>
      </c>
      <c r="E283" s="496" t="str">
        <f t="shared" si="12"/>
        <v>12</v>
      </c>
      <c r="F283" s="496">
        <v>25724</v>
      </c>
      <c r="G283" s="496" t="str">
        <f t="shared" si="13"/>
        <v>20100388121</v>
      </c>
    </row>
    <row r="284" spans="1:7">
      <c r="A284" s="496">
        <f t="shared" si="14"/>
        <v>283</v>
      </c>
      <c r="B284" s="496" t="s">
        <v>370</v>
      </c>
      <c r="C284" s="495" t="s">
        <v>77</v>
      </c>
      <c r="D284" s="497" t="s">
        <v>78</v>
      </c>
      <c r="E284" s="496" t="str">
        <f t="shared" si="12"/>
        <v>07</v>
      </c>
      <c r="F284" s="496">
        <v>25717</v>
      </c>
      <c r="G284" s="496" t="str">
        <f t="shared" si="13"/>
        <v>20100403294</v>
      </c>
    </row>
    <row r="285" spans="1:7">
      <c r="A285" s="496">
        <f t="shared" si="14"/>
        <v>284</v>
      </c>
      <c r="B285" s="496" t="s">
        <v>371</v>
      </c>
      <c r="C285" s="495" t="s">
        <v>82</v>
      </c>
      <c r="D285" s="497" t="s">
        <v>83</v>
      </c>
      <c r="E285" s="496" t="str">
        <f t="shared" si="12"/>
        <v>08</v>
      </c>
      <c r="F285" s="496">
        <v>25718</v>
      </c>
      <c r="G285" s="496" t="str">
        <f t="shared" si="13"/>
        <v>20100412447</v>
      </c>
    </row>
    <row r="286" spans="1:7">
      <c r="A286" s="496">
        <f t="shared" si="14"/>
        <v>285</v>
      </c>
      <c r="B286" s="496" t="s">
        <v>372</v>
      </c>
      <c r="C286" s="495" t="s">
        <v>85</v>
      </c>
      <c r="D286" s="497" t="s">
        <v>86</v>
      </c>
      <c r="E286" s="496" t="str">
        <f t="shared" si="12"/>
        <v>09</v>
      </c>
      <c r="F286" s="496">
        <v>25719</v>
      </c>
      <c r="G286" s="496" t="str">
        <f t="shared" si="13"/>
        <v>20100416949</v>
      </c>
    </row>
    <row r="287" spans="1:7">
      <c r="A287" s="496">
        <f t="shared" si="14"/>
        <v>286</v>
      </c>
      <c r="B287" s="496" t="s">
        <v>373</v>
      </c>
      <c r="C287" s="495" t="s">
        <v>88</v>
      </c>
      <c r="D287" s="497" t="s">
        <v>89</v>
      </c>
      <c r="E287" s="496" t="str">
        <f t="shared" si="12"/>
        <v>11</v>
      </c>
      <c r="F287" s="496">
        <v>25720</v>
      </c>
      <c r="G287" s="496" t="str">
        <f t="shared" si="13"/>
        <v>20100456495</v>
      </c>
    </row>
    <row r="288" spans="1:7">
      <c r="A288" s="496">
        <f t="shared" si="14"/>
        <v>287</v>
      </c>
      <c r="B288" s="496" t="s">
        <v>374</v>
      </c>
      <c r="C288" s="495" t="s">
        <v>91</v>
      </c>
      <c r="D288" s="497" t="s">
        <v>92</v>
      </c>
      <c r="E288" s="496" t="str">
        <f t="shared" si="12"/>
        <v>12</v>
      </c>
      <c r="F288" s="496">
        <v>25724</v>
      </c>
      <c r="G288" s="496" t="str">
        <f t="shared" si="13"/>
        <v>20100488427</v>
      </c>
    </row>
    <row r="289" spans="1:7">
      <c r="A289" s="496">
        <f t="shared" si="14"/>
        <v>288</v>
      </c>
      <c r="B289" s="496" t="s">
        <v>375</v>
      </c>
      <c r="C289" s="495" t="s">
        <v>77</v>
      </c>
      <c r="D289" s="497" t="s">
        <v>78</v>
      </c>
      <c r="E289" s="496" t="str">
        <f t="shared" si="12"/>
        <v>07</v>
      </c>
      <c r="F289" s="496">
        <v>25717</v>
      </c>
      <c r="G289" s="496" t="str">
        <f t="shared" si="13"/>
        <v>20100490324</v>
      </c>
    </row>
    <row r="290" spans="1:7" s="498" customFormat="1">
      <c r="A290" s="496">
        <f t="shared" si="14"/>
        <v>289</v>
      </c>
      <c r="B290" s="496" t="s">
        <v>376</v>
      </c>
      <c r="C290" s="495" t="s">
        <v>82</v>
      </c>
      <c r="D290" s="497" t="s">
        <v>83</v>
      </c>
      <c r="E290" s="496" t="str">
        <f t="shared" si="12"/>
        <v>08</v>
      </c>
      <c r="F290" s="496">
        <v>25718</v>
      </c>
      <c r="G290" s="496" t="str">
        <f t="shared" si="13"/>
        <v>20100509441</v>
      </c>
    </row>
    <row r="291" spans="1:7">
      <c r="A291" s="496">
        <f t="shared" si="14"/>
        <v>290</v>
      </c>
      <c r="B291" s="496" t="s">
        <v>377</v>
      </c>
      <c r="C291" s="495" t="s">
        <v>85</v>
      </c>
      <c r="D291" s="497" t="s">
        <v>86</v>
      </c>
      <c r="E291" s="496" t="str">
        <f t="shared" si="12"/>
        <v>09</v>
      </c>
      <c r="F291" s="496">
        <v>25719</v>
      </c>
      <c r="G291" s="496" t="str">
        <f t="shared" si="13"/>
        <v>20100539439</v>
      </c>
    </row>
    <row r="292" spans="1:7">
      <c r="A292" s="496">
        <f t="shared" si="14"/>
        <v>291</v>
      </c>
      <c r="B292" s="496" t="s">
        <v>378</v>
      </c>
      <c r="C292" s="495" t="s">
        <v>88</v>
      </c>
      <c r="D292" s="497" t="s">
        <v>89</v>
      </c>
      <c r="E292" s="496" t="str">
        <f t="shared" si="12"/>
        <v>11</v>
      </c>
      <c r="F292" s="496">
        <v>25720</v>
      </c>
      <c r="G292" s="496" t="str">
        <f t="shared" si="13"/>
        <v>20100544866</v>
      </c>
    </row>
    <row r="293" spans="1:7">
      <c r="A293" s="496">
        <f t="shared" si="14"/>
        <v>292</v>
      </c>
      <c r="B293" s="496" t="s">
        <v>379</v>
      </c>
      <c r="C293" s="495" t="s">
        <v>91</v>
      </c>
      <c r="D293" s="497" t="s">
        <v>92</v>
      </c>
      <c r="E293" s="496" t="str">
        <f t="shared" si="12"/>
        <v>12</v>
      </c>
      <c r="F293" s="496">
        <v>25724</v>
      </c>
      <c r="G293" s="496" t="str">
        <f t="shared" si="13"/>
        <v>20100562848</v>
      </c>
    </row>
    <row r="294" spans="1:7">
      <c r="A294" s="496">
        <f t="shared" si="14"/>
        <v>293</v>
      </c>
      <c r="B294" s="496" t="s">
        <v>380</v>
      </c>
      <c r="C294" s="495" t="s">
        <v>77</v>
      </c>
      <c r="D294" s="497" t="s">
        <v>78</v>
      </c>
      <c r="E294" s="496" t="str">
        <f t="shared" si="12"/>
        <v>07</v>
      </c>
      <c r="F294" s="496">
        <v>25717</v>
      </c>
      <c r="G294" s="496" t="str">
        <f t="shared" si="13"/>
        <v>20100576989</v>
      </c>
    </row>
    <row r="295" spans="1:7">
      <c r="A295" s="496">
        <f t="shared" si="14"/>
        <v>294</v>
      </c>
      <c r="B295" s="496" t="s">
        <v>381</v>
      </c>
      <c r="C295" s="495" t="s">
        <v>82</v>
      </c>
      <c r="D295" s="497" t="s">
        <v>83</v>
      </c>
      <c r="E295" s="496" t="str">
        <f t="shared" si="12"/>
        <v>08</v>
      </c>
      <c r="F295" s="496">
        <v>25718</v>
      </c>
      <c r="G295" s="496" t="str">
        <f t="shared" si="13"/>
        <v>20100582792</v>
      </c>
    </row>
    <row r="296" spans="1:7">
      <c r="A296" s="496">
        <f t="shared" si="14"/>
        <v>295</v>
      </c>
      <c r="B296" s="496" t="s">
        <v>382</v>
      </c>
      <c r="C296" s="495" t="s">
        <v>85</v>
      </c>
      <c r="D296" s="497" t="s">
        <v>86</v>
      </c>
      <c r="E296" s="496" t="str">
        <f t="shared" si="12"/>
        <v>09</v>
      </c>
      <c r="F296" s="496">
        <v>25719</v>
      </c>
      <c r="G296" s="496" t="str">
        <f t="shared" si="13"/>
        <v>20100582954</v>
      </c>
    </row>
    <row r="297" spans="1:7">
      <c r="A297" s="496">
        <f t="shared" si="14"/>
        <v>296</v>
      </c>
      <c r="B297" s="496" t="s">
        <v>383</v>
      </c>
      <c r="C297" s="495" t="s">
        <v>88</v>
      </c>
      <c r="D297" s="497" t="s">
        <v>89</v>
      </c>
      <c r="E297" s="496" t="str">
        <f t="shared" si="12"/>
        <v>11</v>
      </c>
      <c r="F297" s="496">
        <v>25720</v>
      </c>
      <c r="G297" s="496" t="str">
        <f t="shared" si="13"/>
        <v>20100633702</v>
      </c>
    </row>
    <row r="298" spans="1:7">
      <c r="A298" s="496">
        <f t="shared" si="14"/>
        <v>297</v>
      </c>
      <c r="B298" s="496" t="s">
        <v>384</v>
      </c>
      <c r="C298" s="495" t="s">
        <v>91</v>
      </c>
      <c r="D298" s="497" t="s">
        <v>92</v>
      </c>
      <c r="E298" s="496" t="str">
        <f t="shared" si="12"/>
        <v>12</v>
      </c>
      <c r="F298" s="496">
        <v>25724</v>
      </c>
      <c r="G298" s="496" t="str">
        <f t="shared" si="13"/>
        <v>20100639654</v>
      </c>
    </row>
    <row r="299" spans="1:7">
      <c r="A299" s="496">
        <f t="shared" si="14"/>
        <v>298</v>
      </c>
      <c r="B299" s="496" t="s">
        <v>385</v>
      </c>
      <c r="C299" s="495" t="s">
        <v>77</v>
      </c>
      <c r="D299" s="497" t="s">
        <v>78</v>
      </c>
      <c r="E299" s="496" t="str">
        <f t="shared" si="12"/>
        <v>07</v>
      </c>
      <c r="F299" s="496">
        <v>25717</v>
      </c>
      <c r="G299" s="496" t="str">
        <f t="shared" si="13"/>
        <v>20100652596</v>
      </c>
    </row>
    <row r="300" spans="1:7">
      <c r="A300" s="496">
        <f t="shared" si="14"/>
        <v>299</v>
      </c>
      <c r="B300" s="496" t="s">
        <v>386</v>
      </c>
      <c r="C300" s="495" t="s">
        <v>82</v>
      </c>
      <c r="D300" s="497" t="s">
        <v>83</v>
      </c>
      <c r="E300" s="496" t="str">
        <f t="shared" si="12"/>
        <v>08</v>
      </c>
      <c r="F300" s="496">
        <v>25718</v>
      </c>
      <c r="G300" s="496" t="str">
        <f t="shared" si="13"/>
        <v>20100654025</v>
      </c>
    </row>
    <row r="301" spans="1:7">
      <c r="A301" s="496">
        <f t="shared" si="14"/>
        <v>300</v>
      </c>
      <c r="B301" s="496" t="s">
        <v>387</v>
      </c>
      <c r="C301" s="495" t="s">
        <v>85</v>
      </c>
      <c r="D301" s="497" t="s">
        <v>86</v>
      </c>
      <c r="E301" s="496" t="str">
        <f t="shared" si="12"/>
        <v>09</v>
      </c>
      <c r="F301" s="496">
        <v>25719</v>
      </c>
      <c r="G301" s="496" t="str">
        <f t="shared" si="13"/>
        <v>20100675618</v>
      </c>
    </row>
    <row r="302" spans="1:7">
      <c r="A302" s="496">
        <f t="shared" si="14"/>
        <v>301</v>
      </c>
      <c r="B302" s="496" t="s">
        <v>388</v>
      </c>
      <c r="C302" s="495" t="s">
        <v>88</v>
      </c>
      <c r="D302" s="497" t="s">
        <v>89</v>
      </c>
      <c r="E302" s="496" t="str">
        <f t="shared" si="12"/>
        <v>11</v>
      </c>
      <c r="F302" s="496">
        <v>25720</v>
      </c>
      <c r="G302" s="496" t="str">
        <f t="shared" si="13"/>
        <v>20100717558</v>
      </c>
    </row>
    <row r="303" spans="1:7">
      <c r="A303" s="496">
        <f t="shared" si="14"/>
        <v>302</v>
      </c>
      <c r="B303" s="496" t="s">
        <v>389</v>
      </c>
      <c r="C303" s="495" t="s">
        <v>91</v>
      </c>
      <c r="D303" s="497" t="s">
        <v>92</v>
      </c>
      <c r="E303" s="496" t="str">
        <f t="shared" si="12"/>
        <v>12</v>
      </c>
      <c r="F303" s="496">
        <v>25724</v>
      </c>
      <c r="G303" s="496" t="str">
        <f t="shared" si="13"/>
        <v>20100718872</v>
      </c>
    </row>
    <row r="304" spans="1:7">
      <c r="A304" s="496">
        <f t="shared" si="14"/>
        <v>303</v>
      </c>
      <c r="B304" s="496" t="s">
        <v>390</v>
      </c>
      <c r="C304" s="495" t="s">
        <v>77</v>
      </c>
      <c r="D304" s="497" t="s">
        <v>78</v>
      </c>
      <c r="E304" s="496" t="str">
        <f t="shared" si="12"/>
        <v>07</v>
      </c>
      <c r="F304" s="496">
        <v>25717</v>
      </c>
      <c r="G304" s="496" t="str">
        <f t="shared" si="13"/>
        <v>20100725810</v>
      </c>
    </row>
    <row r="305" spans="1:7">
      <c r="A305" s="496">
        <f t="shared" si="14"/>
        <v>304</v>
      </c>
      <c r="B305" s="496" t="s">
        <v>391</v>
      </c>
      <c r="C305" s="495" t="s">
        <v>85</v>
      </c>
      <c r="D305" s="497" t="s">
        <v>86</v>
      </c>
      <c r="E305" s="496" t="str">
        <f t="shared" si="12"/>
        <v>09</v>
      </c>
      <c r="F305" s="496">
        <v>25719</v>
      </c>
      <c r="G305" s="496" t="str">
        <f t="shared" si="13"/>
        <v>20100727278</v>
      </c>
    </row>
    <row r="306" spans="1:7">
      <c r="A306" s="496">
        <f t="shared" si="14"/>
        <v>305</v>
      </c>
      <c r="B306" s="496" t="s">
        <v>392</v>
      </c>
      <c r="C306" s="495" t="s">
        <v>82</v>
      </c>
      <c r="D306" s="497" t="s">
        <v>83</v>
      </c>
      <c r="E306" s="496" t="str">
        <f t="shared" si="12"/>
        <v>08</v>
      </c>
      <c r="F306" s="496">
        <v>25718</v>
      </c>
      <c r="G306" s="496" t="str">
        <f t="shared" si="13"/>
        <v>20100727359</v>
      </c>
    </row>
    <row r="307" spans="1:7">
      <c r="A307" s="496">
        <f t="shared" si="14"/>
        <v>306</v>
      </c>
      <c r="B307" s="496" t="s">
        <v>393</v>
      </c>
      <c r="C307" s="495" t="s">
        <v>85</v>
      </c>
      <c r="D307" s="497" t="s">
        <v>86</v>
      </c>
      <c r="E307" s="496" t="str">
        <f t="shared" si="12"/>
        <v>09</v>
      </c>
      <c r="F307" s="496">
        <v>25719</v>
      </c>
      <c r="G307" s="496" t="str">
        <f t="shared" si="13"/>
        <v>20100737826</v>
      </c>
    </row>
    <row r="308" spans="1:7">
      <c r="A308" s="496">
        <f t="shared" si="14"/>
        <v>307</v>
      </c>
      <c r="B308" s="496" t="s">
        <v>394</v>
      </c>
      <c r="C308" s="495" t="s">
        <v>88</v>
      </c>
      <c r="D308" s="497" t="s">
        <v>89</v>
      </c>
      <c r="E308" s="496" t="str">
        <f t="shared" si="12"/>
        <v>11</v>
      </c>
      <c r="F308" s="496">
        <v>25720</v>
      </c>
      <c r="G308" s="496" t="str">
        <f t="shared" si="13"/>
        <v>20100814162</v>
      </c>
    </row>
    <row r="309" spans="1:7">
      <c r="A309" s="496">
        <f t="shared" si="14"/>
        <v>308</v>
      </c>
      <c r="B309" s="496" t="s">
        <v>395</v>
      </c>
      <c r="C309" s="495" t="s">
        <v>88</v>
      </c>
      <c r="D309" s="497" t="s">
        <v>89</v>
      </c>
      <c r="E309" s="496" t="str">
        <f t="shared" si="12"/>
        <v>11</v>
      </c>
      <c r="F309" s="496">
        <v>25720</v>
      </c>
      <c r="G309" s="496" t="str">
        <f t="shared" si="13"/>
        <v>20100842964</v>
      </c>
    </row>
    <row r="310" spans="1:7">
      <c r="A310" s="496">
        <f t="shared" si="14"/>
        <v>309</v>
      </c>
      <c r="B310" s="496" t="s">
        <v>396</v>
      </c>
      <c r="C310" s="495" t="s">
        <v>91</v>
      </c>
      <c r="D310" s="497" t="s">
        <v>92</v>
      </c>
      <c r="E310" s="496" t="str">
        <f t="shared" si="12"/>
        <v>12</v>
      </c>
      <c r="F310" s="496">
        <v>25724</v>
      </c>
      <c r="G310" s="496" t="str">
        <f t="shared" si="13"/>
        <v>20100853907</v>
      </c>
    </row>
    <row r="311" spans="1:7">
      <c r="A311" s="496">
        <f t="shared" si="14"/>
        <v>310</v>
      </c>
      <c r="B311" s="496" t="s">
        <v>397</v>
      </c>
      <c r="C311" s="495" t="s">
        <v>77</v>
      </c>
      <c r="D311" s="497" t="s">
        <v>78</v>
      </c>
      <c r="E311" s="496" t="str">
        <f t="shared" si="12"/>
        <v>07</v>
      </c>
      <c r="F311" s="496">
        <v>25717</v>
      </c>
      <c r="G311" s="496" t="str">
        <f t="shared" si="13"/>
        <v>20100873410</v>
      </c>
    </row>
    <row r="312" spans="1:7">
      <c r="A312" s="496">
        <f t="shared" si="14"/>
        <v>311</v>
      </c>
      <c r="B312" s="496" t="s">
        <v>398</v>
      </c>
      <c r="C312" s="495" t="s">
        <v>82</v>
      </c>
      <c r="D312" s="497" t="s">
        <v>83</v>
      </c>
      <c r="E312" s="496" t="str">
        <f t="shared" si="12"/>
        <v>08</v>
      </c>
      <c r="F312" s="496">
        <v>25718</v>
      </c>
      <c r="G312" s="496" t="str">
        <f t="shared" si="13"/>
        <v>20100898242</v>
      </c>
    </row>
    <row r="313" spans="1:7">
      <c r="A313" s="496">
        <f t="shared" si="14"/>
        <v>312</v>
      </c>
      <c r="B313" s="496" t="s">
        <v>399</v>
      </c>
      <c r="C313" s="495" t="s">
        <v>85</v>
      </c>
      <c r="D313" s="497" t="s">
        <v>86</v>
      </c>
      <c r="E313" s="496" t="str">
        <f t="shared" si="12"/>
        <v>09</v>
      </c>
      <c r="F313" s="496">
        <v>25719</v>
      </c>
      <c r="G313" s="496" t="str">
        <f t="shared" si="13"/>
        <v>20100938139</v>
      </c>
    </row>
    <row r="314" spans="1:7">
      <c r="A314" s="496">
        <f t="shared" si="14"/>
        <v>313</v>
      </c>
      <c r="B314" s="496" t="s">
        <v>400</v>
      </c>
      <c r="C314" s="495" t="s">
        <v>88</v>
      </c>
      <c r="D314" s="497" t="s">
        <v>89</v>
      </c>
      <c r="E314" s="496" t="str">
        <f t="shared" si="12"/>
        <v>11</v>
      </c>
      <c r="F314" s="496">
        <v>25720</v>
      </c>
      <c r="G314" s="496" t="str">
        <f t="shared" si="13"/>
        <v>20100957435</v>
      </c>
    </row>
    <row r="315" spans="1:7">
      <c r="A315" s="496">
        <f t="shared" si="14"/>
        <v>314</v>
      </c>
      <c r="B315" s="496" t="s">
        <v>401</v>
      </c>
      <c r="C315" s="495" t="s">
        <v>91</v>
      </c>
      <c r="D315" s="497" t="s">
        <v>92</v>
      </c>
      <c r="E315" s="496" t="str">
        <f t="shared" si="12"/>
        <v>12</v>
      </c>
      <c r="F315" s="496">
        <v>25724</v>
      </c>
      <c r="G315" s="496" t="str">
        <f t="shared" si="13"/>
        <v>20100963834</v>
      </c>
    </row>
    <row r="316" spans="1:7">
      <c r="A316" s="496">
        <f t="shared" si="14"/>
        <v>315</v>
      </c>
      <c r="B316" s="496" t="s">
        <v>402</v>
      </c>
      <c r="C316" s="495" t="s">
        <v>77</v>
      </c>
      <c r="D316" s="497" t="s">
        <v>78</v>
      </c>
      <c r="E316" s="496" t="str">
        <f t="shared" si="12"/>
        <v>07</v>
      </c>
      <c r="F316" s="496">
        <v>25717</v>
      </c>
      <c r="G316" s="496" t="str">
        <f t="shared" si="13"/>
        <v>20100966264</v>
      </c>
    </row>
    <row r="317" spans="1:7">
      <c r="A317" s="496">
        <f t="shared" si="14"/>
        <v>316</v>
      </c>
      <c r="B317" s="496" t="s">
        <v>403</v>
      </c>
      <c r="C317" s="495" t="s">
        <v>91</v>
      </c>
      <c r="D317" s="497" t="s">
        <v>92</v>
      </c>
      <c r="E317" s="496" t="str">
        <f t="shared" si="12"/>
        <v>12</v>
      </c>
      <c r="F317" s="496">
        <v>25724</v>
      </c>
      <c r="G317" s="496" t="str">
        <f t="shared" si="13"/>
        <v>20100970377</v>
      </c>
    </row>
    <row r="318" spans="1:7">
      <c r="A318" s="496">
        <f t="shared" si="14"/>
        <v>317</v>
      </c>
      <c r="B318" s="496" t="s">
        <v>404</v>
      </c>
      <c r="C318" s="495" t="s">
        <v>82</v>
      </c>
      <c r="D318" s="497" t="s">
        <v>83</v>
      </c>
      <c r="E318" s="496" t="str">
        <f t="shared" si="12"/>
        <v>08</v>
      </c>
      <c r="F318" s="496">
        <v>25718</v>
      </c>
      <c r="G318" s="496" t="str">
        <f t="shared" si="13"/>
        <v>20100973473</v>
      </c>
    </row>
    <row r="319" spans="1:7">
      <c r="A319" s="496">
        <f t="shared" si="14"/>
        <v>318</v>
      </c>
      <c r="B319" s="496" t="s">
        <v>405</v>
      </c>
      <c r="C319" s="495" t="s">
        <v>77</v>
      </c>
      <c r="D319" s="497" t="s">
        <v>78</v>
      </c>
      <c r="E319" s="496" t="str">
        <f t="shared" si="12"/>
        <v>07</v>
      </c>
      <c r="F319" s="496">
        <v>25717</v>
      </c>
      <c r="G319" s="496" t="str">
        <f t="shared" si="13"/>
        <v>20100975841</v>
      </c>
    </row>
    <row r="320" spans="1:7">
      <c r="A320" s="496">
        <f t="shared" si="14"/>
        <v>319</v>
      </c>
      <c r="B320" s="496" t="s">
        <v>406</v>
      </c>
      <c r="C320" s="495" t="s">
        <v>85</v>
      </c>
      <c r="D320" s="497" t="s">
        <v>86</v>
      </c>
      <c r="E320" s="496" t="str">
        <f t="shared" si="12"/>
        <v>09</v>
      </c>
      <c r="F320" s="496">
        <v>25719</v>
      </c>
      <c r="G320" s="496" t="str">
        <f t="shared" si="13"/>
        <v>20100977037</v>
      </c>
    </row>
    <row r="321" spans="1:7">
      <c r="A321" s="496">
        <f t="shared" si="14"/>
        <v>320</v>
      </c>
      <c r="B321" s="496" t="s">
        <v>407</v>
      </c>
      <c r="C321" s="495" t="s">
        <v>88</v>
      </c>
      <c r="D321" s="497" t="s">
        <v>89</v>
      </c>
      <c r="E321" s="496" t="str">
        <f t="shared" si="12"/>
        <v>11</v>
      </c>
      <c r="F321" s="496">
        <v>25720</v>
      </c>
      <c r="G321" s="496" t="str">
        <f t="shared" si="13"/>
        <v>20100985722</v>
      </c>
    </row>
    <row r="322" spans="1:7">
      <c r="A322" s="496">
        <f t="shared" si="14"/>
        <v>321</v>
      </c>
      <c r="B322" s="496" t="s">
        <v>408</v>
      </c>
      <c r="C322" s="495" t="s">
        <v>91</v>
      </c>
      <c r="D322" s="497" t="s">
        <v>92</v>
      </c>
      <c r="E322" s="496" t="str">
        <f t="shared" si="12"/>
        <v>12</v>
      </c>
      <c r="F322" s="496">
        <v>25724</v>
      </c>
      <c r="G322" s="496" t="str">
        <f t="shared" si="13"/>
        <v>20100990998</v>
      </c>
    </row>
    <row r="323" spans="1:7">
      <c r="A323" s="496">
        <f t="shared" si="14"/>
        <v>322</v>
      </c>
      <c r="B323" s="496" t="s">
        <v>409</v>
      </c>
      <c r="C323" s="495" t="s">
        <v>77</v>
      </c>
      <c r="D323" s="497" t="s">
        <v>78</v>
      </c>
      <c r="E323" s="496" t="str">
        <f t="shared" ref="E323:E386" si="15">IF(MID(D323,14,1)="@",MID(D323,12,2),"0"&amp;MID(D323,12,1))</f>
        <v>07</v>
      </c>
      <c r="F323" s="496">
        <v>25717</v>
      </c>
      <c r="G323" s="496" t="str">
        <f t="shared" ref="G323:G386" si="16">CONCATENATE(B323)</f>
        <v>20101009174</v>
      </c>
    </row>
    <row r="324" spans="1:7">
      <c r="A324" s="496">
        <f t="shared" ref="A324:A387" si="17">+A323+1</f>
        <v>323</v>
      </c>
      <c r="B324" s="496" t="s">
        <v>410</v>
      </c>
      <c r="C324" s="495" t="s">
        <v>82</v>
      </c>
      <c r="D324" s="497" t="s">
        <v>83</v>
      </c>
      <c r="E324" s="496" t="str">
        <f t="shared" si="15"/>
        <v>08</v>
      </c>
      <c r="F324" s="496">
        <v>25718</v>
      </c>
      <c r="G324" s="496" t="str">
        <f t="shared" si="16"/>
        <v>20101009255</v>
      </c>
    </row>
    <row r="325" spans="1:7">
      <c r="A325" s="496">
        <f t="shared" si="17"/>
        <v>324</v>
      </c>
      <c r="B325" s="496" t="s">
        <v>411</v>
      </c>
      <c r="C325" s="495" t="s">
        <v>85</v>
      </c>
      <c r="D325" s="497" t="s">
        <v>86</v>
      </c>
      <c r="E325" s="496" t="str">
        <f t="shared" si="15"/>
        <v>09</v>
      </c>
      <c r="F325" s="496">
        <v>25719</v>
      </c>
      <c r="G325" s="496" t="str">
        <f t="shared" si="16"/>
        <v>20101010181</v>
      </c>
    </row>
    <row r="326" spans="1:7">
      <c r="A326" s="496">
        <f t="shared" si="17"/>
        <v>325</v>
      </c>
      <c r="B326" s="496" t="s">
        <v>412</v>
      </c>
      <c r="C326" s="495" t="s">
        <v>88</v>
      </c>
      <c r="D326" s="497" t="s">
        <v>89</v>
      </c>
      <c r="E326" s="496" t="str">
        <f t="shared" si="15"/>
        <v>11</v>
      </c>
      <c r="F326" s="496">
        <v>25720</v>
      </c>
      <c r="G326" s="496" t="str">
        <f t="shared" si="16"/>
        <v>20101030882</v>
      </c>
    </row>
    <row r="327" spans="1:7">
      <c r="A327" s="496">
        <f t="shared" si="17"/>
        <v>326</v>
      </c>
      <c r="B327" s="496" t="s">
        <v>413</v>
      </c>
      <c r="C327" s="495" t="s">
        <v>91</v>
      </c>
      <c r="D327" s="497" t="s">
        <v>92</v>
      </c>
      <c r="E327" s="496" t="str">
        <f t="shared" si="15"/>
        <v>12</v>
      </c>
      <c r="F327" s="496">
        <v>25724</v>
      </c>
      <c r="G327" s="496" t="str">
        <f t="shared" si="16"/>
        <v>20101031340</v>
      </c>
    </row>
    <row r="328" spans="1:7">
      <c r="A328" s="496">
        <f t="shared" si="17"/>
        <v>327</v>
      </c>
      <c r="B328" s="496" t="s">
        <v>414</v>
      </c>
      <c r="C328" s="495" t="s">
        <v>77</v>
      </c>
      <c r="D328" s="497" t="s">
        <v>78</v>
      </c>
      <c r="E328" s="496" t="str">
        <f t="shared" si="15"/>
        <v>07</v>
      </c>
      <c r="F328" s="496">
        <v>25717</v>
      </c>
      <c r="G328" s="496" t="str">
        <f t="shared" si="16"/>
        <v>20101037623</v>
      </c>
    </row>
    <row r="329" spans="1:7">
      <c r="A329" s="496">
        <f t="shared" si="17"/>
        <v>328</v>
      </c>
      <c r="B329" s="496" t="s">
        <v>415</v>
      </c>
      <c r="C329" s="495" t="s">
        <v>82</v>
      </c>
      <c r="D329" s="497" t="s">
        <v>83</v>
      </c>
      <c r="E329" s="496" t="str">
        <f t="shared" si="15"/>
        <v>08</v>
      </c>
      <c r="F329" s="496">
        <v>25718</v>
      </c>
      <c r="G329" s="496" t="str">
        <f t="shared" si="16"/>
        <v>20101052771</v>
      </c>
    </row>
    <row r="330" spans="1:7">
      <c r="A330" s="496">
        <f t="shared" si="17"/>
        <v>329</v>
      </c>
      <c r="B330" s="496" t="s">
        <v>416</v>
      </c>
      <c r="C330" s="495" t="s">
        <v>85</v>
      </c>
      <c r="D330" s="497" t="s">
        <v>86</v>
      </c>
      <c r="E330" s="496" t="str">
        <f t="shared" si="15"/>
        <v>09</v>
      </c>
      <c r="F330" s="496">
        <v>25719</v>
      </c>
      <c r="G330" s="496" t="str">
        <f t="shared" si="16"/>
        <v>20101053157</v>
      </c>
    </row>
    <row r="331" spans="1:7">
      <c r="A331" s="496">
        <f t="shared" si="17"/>
        <v>330</v>
      </c>
      <c r="B331" s="496" t="s">
        <v>417</v>
      </c>
      <c r="C331" s="495" t="s">
        <v>88</v>
      </c>
      <c r="D331" s="497" t="s">
        <v>89</v>
      </c>
      <c r="E331" s="496" t="str">
        <f t="shared" si="15"/>
        <v>11</v>
      </c>
      <c r="F331" s="496">
        <v>25720</v>
      </c>
      <c r="G331" s="496" t="str">
        <f t="shared" si="16"/>
        <v>20101064515</v>
      </c>
    </row>
    <row r="332" spans="1:7">
      <c r="A332" s="496">
        <f t="shared" si="17"/>
        <v>331</v>
      </c>
      <c r="B332" s="496" t="s">
        <v>418</v>
      </c>
      <c r="C332" s="495" t="s">
        <v>91</v>
      </c>
      <c r="D332" s="497" t="s">
        <v>92</v>
      </c>
      <c r="E332" s="496" t="str">
        <f t="shared" si="15"/>
        <v>12</v>
      </c>
      <c r="F332" s="496">
        <v>25724</v>
      </c>
      <c r="G332" s="496" t="str">
        <f t="shared" si="16"/>
        <v>20101065759</v>
      </c>
    </row>
    <row r="333" spans="1:7">
      <c r="A333" s="496">
        <f t="shared" si="17"/>
        <v>332</v>
      </c>
      <c r="B333" s="496" t="s">
        <v>419</v>
      </c>
      <c r="C333" s="495" t="s">
        <v>77</v>
      </c>
      <c r="D333" s="497" t="s">
        <v>78</v>
      </c>
      <c r="E333" s="496" t="str">
        <f t="shared" si="15"/>
        <v>07</v>
      </c>
      <c r="F333" s="496">
        <v>25717</v>
      </c>
      <c r="G333" s="496" t="str">
        <f t="shared" si="16"/>
        <v>20101066992</v>
      </c>
    </row>
    <row r="334" spans="1:7">
      <c r="A334" s="496">
        <f t="shared" si="17"/>
        <v>333</v>
      </c>
      <c r="B334" s="496" t="s">
        <v>420</v>
      </c>
      <c r="C334" s="495" t="s">
        <v>82</v>
      </c>
      <c r="D334" s="497" t="s">
        <v>83</v>
      </c>
      <c r="E334" s="496" t="str">
        <f t="shared" si="15"/>
        <v>08</v>
      </c>
      <c r="F334" s="496">
        <v>25718</v>
      </c>
      <c r="G334" s="496" t="str">
        <f t="shared" si="16"/>
        <v>20101067379</v>
      </c>
    </row>
    <row r="335" spans="1:7">
      <c r="A335" s="496">
        <f t="shared" si="17"/>
        <v>334</v>
      </c>
      <c r="B335" s="496" t="s">
        <v>421</v>
      </c>
      <c r="C335" s="495" t="s">
        <v>85</v>
      </c>
      <c r="D335" s="497" t="s">
        <v>86</v>
      </c>
      <c r="E335" s="496" t="str">
        <f t="shared" si="15"/>
        <v>09</v>
      </c>
      <c r="F335" s="496">
        <v>25719</v>
      </c>
      <c r="G335" s="496" t="str">
        <f t="shared" si="16"/>
        <v>20101077099</v>
      </c>
    </row>
    <row r="336" spans="1:7">
      <c r="A336" s="496">
        <f t="shared" si="17"/>
        <v>335</v>
      </c>
      <c r="B336" s="496" t="s">
        <v>422</v>
      </c>
      <c r="C336" s="495" t="s">
        <v>88</v>
      </c>
      <c r="D336" s="497" t="s">
        <v>89</v>
      </c>
      <c r="E336" s="496" t="str">
        <f t="shared" si="15"/>
        <v>11</v>
      </c>
      <c r="F336" s="496">
        <v>25720</v>
      </c>
      <c r="G336" s="496" t="str">
        <f t="shared" si="16"/>
        <v>20101078818</v>
      </c>
    </row>
    <row r="337" spans="1:7">
      <c r="A337" s="496">
        <f t="shared" si="17"/>
        <v>336</v>
      </c>
      <c r="B337" s="496" t="s">
        <v>423</v>
      </c>
      <c r="C337" s="495" t="s">
        <v>91</v>
      </c>
      <c r="D337" s="497" t="s">
        <v>92</v>
      </c>
      <c r="E337" s="496" t="str">
        <f t="shared" si="15"/>
        <v>12</v>
      </c>
      <c r="F337" s="496">
        <v>25724</v>
      </c>
      <c r="G337" s="496" t="str">
        <f t="shared" si="16"/>
        <v>20101085199</v>
      </c>
    </row>
    <row r="338" spans="1:7">
      <c r="A338" s="496">
        <f t="shared" si="17"/>
        <v>337</v>
      </c>
      <c r="B338" s="496" t="s">
        <v>424</v>
      </c>
      <c r="C338" s="495" t="s">
        <v>77</v>
      </c>
      <c r="D338" s="497" t="s">
        <v>78</v>
      </c>
      <c r="E338" s="496" t="str">
        <f t="shared" si="15"/>
        <v>07</v>
      </c>
      <c r="F338" s="496">
        <v>25717</v>
      </c>
      <c r="G338" s="496" t="str">
        <f t="shared" si="16"/>
        <v>20101087566</v>
      </c>
    </row>
    <row r="339" spans="1:7">
      <c r="A339" s="496">
        <f t="shared" si="17"/>
        <v>338</v>
      </c>
      <c r="B339" s="496" t="s">
        <v>425</v>
      </c>
      <c r="C339" s="495" t="s">
        <v>82</v>
      </c>
      <c r="D339" s="497" t="s">
        <v>83</v>
      </c>
      <c r="E339" s="496" t="str">
        <f t="shared" si="15"/>
        <v>08</v>
      </c>
      <c r="F339" s="496">
        <v>25718</v>
      </c>
      <c r="G339" s="496" t="str">
        <f t="shared" si="16"/>
        <v>20101087647</v>
      </c>
    </row>
    <row r="340" spans="1:7">
      <c r="A340" s="496">
        <f t="shared" si="17"/>
        <v>339</v>
      </c>
      <c r="B340" s="496" t="s">
        <v>426</v>
      </c>
      <c r="C340" s="495" t="s">
        <v>85</v>
      </c>
      <c r="D340" s="497" t="s">
        <v>86</v>
      </c>
      <c r="E340" s="496" t="str">
        <f t="shared" si="15"/>
        <v>09</v>
      </c>
      <c r="F340" s="496">
        <v>25719</v>
      </c>
      <c r="G340" s="496" t="str">
        <f t="shared" si="16"/>
        <v>20101093027</v>
      </c>
    </row>
    <row r="341" spans="1:7">
      <c r="A341" s="496">
        <f t="shared" si="17"/>
        <v>340</v>
      </c>
      <c r="B341" s="496" t="s">
        <v>427</v>
      </c>
      <c r="C341" s="495" t="s">
        <v>88</v>
      </c>
      <c r="D341" s="497" t="s">
        <v>89</v>
      </c>
      <c r="E341" s="496" t="str">
        <f t="shared" si="15"/>
        <v>11</v>
      </c>
      <c r="F341" s="496">
        <v>25720</v>
      </c>
      <c r="G341" s="496" t="str">
        <f t="shared" si="16"/>
        <v>20101132880</v>
      </c>
    </row>
    <row r="342" spans="1:7">
      <c r="A342" s="496">
        <f t="shared" si="17"/>
        <v>341</v>
      </c>
      <c r="B342" s="496" t="s">
        <v>428</v>
      </c>
      <c r="C342" s="495" t="s">
        <v>91</v>
      </c>
      <c r="D342" s="497" t="s">
        <v>92</v>
      </c>
      <c r="E342" s="496" t="str">
        <f t="shared" si="15"/>
        <v>12</v>
      </c>
      <c r="F342" s="496">
        <v>25724</v>
      </c>
      <c r="G342" s="496" t="str">
        <f t="shared" si="16"/>
        <v>20101152210</v>
      </c>
    </row>
    <row r="343" spans="1:7">
      <c r="A343" s="496">
        <f t="shared" si="17"/>
        <v>342</v>
      </c>
      <c r="B343" s="496" t="s">
        <v>429</v>
      </c>
      <c r="C343" s="495" t="s">
        <v>77</v>
      </c>
      <c r="D343" s="497" t="s">
        <v>78</v>
      </c>
      <c r="E343" s="496" t="str">
        <f t="shared" si="15"/>
        <v>07</v>
      </c>
      <c r="F343" s="496">
        <v>25717</v>
      </c>
      <c r="G343" s="496" t="str">
        <f t="shared" si="16"/>
        <v>20101155405</v>
      </c>
    </row>
    <row r="344" spans="1:7">
      <c r="A344" s="496">
        <f t="shared" si="17"/>
        <v>343</v>
      </c>
      <c r="B344" s="496" t="s">
        <v>430</v>
      </c>
      <c r="C344" s="495" t="s">
        <v>82</v>
      </c>
      <c r="D344" s="497" t="s">
        <v>83</v>
      </c>
      <c r="E344" s="496" t="str">
        <f t="shared" si="15"/>
        <v>08</v>
      </c>
      <c r="F344" s="496">
        <v>25718</v>
      </c>
      <c r="G344" s="496" t="str">
        <f t="shared" si="16"/>
        <v>20101161634</v>
      </c>
    </row>
    <row r="345" spans="1:7">
      <c r="A345" s="496">
        <f t="shared" si="17"/>
        <v>344</v>
      </c>
      <c r="B345" s="496" t="s">
        <v>431</v>
      </c>
      <c r="C345" s="495" t="s">
        <v>85</v>
      </c>
      <c r="D345" s="497" t="s">
        <v>86</v>
      </c>
      <c r="E345" s="496" t="str">
        <f t="shared" si="15"/>
        <v>09</v>
      </c>
      <c r="F345" s="496">
        <v>25719</v>
      </c>
      <c r="G345" s="496" t="str">
        <f t="shared" si="16"/>
        <v>20101198805</v>
      </c>
    </row>
    <row r="346" spans="1:7">
      <c r="A346" s="496">
        <f t="shared" si="17"/>
        <v>345</v>
      </c>
      <c r="B346" s="496" t="s">
        <v>432</v>
      </c>
      <c r="C346" s="495" t="s">
        <v>88</v>
      </c>
      <c r="D346" s="497" t="s">
        <v>89</v>
      </c>
      <c r="E346" s="496" t="str">
        <f t="shared" si="15"/>
        <v>11</v>
      </c>
      <c r="F346" s="496">
        <v>25720</v>
      </c>
      <c r="G346" s="496" t="str">
        <f t="shared" si="16"/>
        <v>20101217010</v>
      </c>
    </row>
    <row r="347" spans="1:7">
      <c r="A347" s="496">
        <f t="shared" si="17"/>
        <v>346</v>
      </c>
      <c r="B347" s="496" t="s">
        <v>433</v>
      </c>
      <c r="C347" s="495" t="s">
        <v>91</v>
      </c>
      <c r="D347" s="497" t="s">
        <v>92</v>
      </c>
      <c r="E347" s="496" t="str">
        <f t="shared" si="15"/>
        <v>12</v>
      </c>
      <c r="F347" s="496">
        <v>25724</v>
      </c>
      <c r="G347" s="496" t="str">
        <f t="shared" si="16"/>
        <v>20101228992</v>
      </c>
    </row>
    <row r="348" spans="1:7">
      <c r="A348" s="496">
        <f t="shared" si="17"/>
        <v>347</v>
      </c>
      <c r="B348" s="496" t="s">
        <v>434</v>
      </c>
      <c r="C348" s="495" t="s">
        <v>77</v>
      </c>
      <c r="D348" s="497" t="s">
        <v>78</v>
      </c>
      <c r="E348" s="496" t="str">
        <f t="shared" si="15"/>
        <v>07</v>
      </c>
      <c r="F348" s="496">
        <v>25717</v>
      </c>
      <c r="G348" s="496" t="str">
        <f t="shared" si="16"/>
        <v>20101253750</v>
      </c>
    </row>
    <row r="349" spans="1:7">
      <c r="A349" s="496">
        <f t="shared" si="17"/>
        <v>348</v>
      </c>
      <c r="B349" s="496" t="s">
        <v>435</v>
      </c>
      <c r="C349" s="495" t="s">
        <v>82</v>
      </c>
      <c r="D349" s="497" t="s">
        <v>83</v>
      </c>
      <c r="E349" s="496" t="str">
        <f t="shared" si="15"/>
        <v>08</v>
      </c>
      <c r="F349" s="496">
        <v>25718</v>
      </c>
      <c r="G349" s="496" t="str">
        <f t="shared" si="16"/>
        <v>20101260373</v>
      </c>
    </row>
    <row r="350" spans="1:7">
      <c r="A350" s="496">
        <f t="shared" si="17"/>
        <v>349</v>
      </c>
      <c r="B350" s="496" t="s">
        <v>436</v>
      </c>
      <c r="C350" s="495" t="s">
        <v>85</v>
      </c>
      <c r="D350" s="497" t="s">
        <v>86</v>
      </c>
      <c r="E350" s="496" t="str">
        <f t="shared" si="15"/>
        <v>09</v>
      </c>
      <c r="F350" s="496">
        <v>25719</v>
      </c>
      <c r="G350" s="496" t="str">
        <f t="shared" si="16"/>
        <v>20101268943</v>
      </c>
    </row>
    <row r="351" spans="1:7">
      <c r="A351" s="496">
        <f t="shared" si="17"/>
        <v>350</v>
      </c>
      <c r="B351" s="496" t="s">
        <v>437</v>
      </c>
      <c r="C351" s="495" t="s">
        <v>88</v>
      </c>
      <c r="D351" s="497" t="s">
        <v>89</v>
      </c>
      <c r="E351" s="496" t="str">
        <f t="shared" si="15"/>
        <v>11</v>
      </c>
      <c r="F351" s="496">
        <v>25720</v>
      </c>
      <c r="G351" s="496" t="str">
        <f t="shared" si="16"/>
        <v>20101269834</v>
      </c>
    </row>
    <row r="352" spans="1:7">
      <c r="A352" s="496">
        <f t="shared" si="17"/>
        <v>351</v>
      </c>
      <c r="B352" s="496" t="s">
        <v>438</v>
      </c>
      <c r="C352" s="495" t="s">
        <v>91</v>
      </c>
      <c r="D352" s="497" t="s">
        <v>92</v>
      </c>
      <c r="E352" s="496" t="str">
        <f t="shared" si="15"/>
        <v>12</v>
      </c>
      <c r="F352" s="496">
        <v>25724</v>
      </c>
      <c r="G352" s="496" t="str">
        <f t="shared" si="16"/>
        <v>20101275133</v>
      </c>
    </row>
    <row r="353" spans="1:7">
      <c r="A353" s="496">
        <f t="shared" si="17"/>
        <v>352</v>
      </c>
      <c r="B353" s="496" t="s">
        <v>439</v>
      </c>
      <c r="C353" s="495" t="s">
        <v>77</v>
      </c>
      <c r="D353" s="497" t="s">
        <v>78</v>
      </c>
      <c r="E353" s="496" t="str">
        <f t="shared" si="15"/>
        <v>07</v>
      </c>
      <c r="F353" s="496">
        <v>25717</v>
      </c>
      <c r="G353" s="496" t="str">
        <f t="shared" si="16"/>
        <v>20101281371</v>
      </c>
    </row>
    <row r="354" spans="1:7">
      <c r="A354" s="496">
        <f t="shared" si="17"/>
        <v>353</v>
      </c>
      <c r="B354" s="496" t="s">
        <v>440</v>
      </c>
      <c r="C354" s="495" t="s">
        <v>82</v>
      </c>
      <c r="D354" s="497" t="s">
        <v>83</v>
      </c>
      <c r="E354" s="496" t="str">
        <f t="shared" si="15"/>
        <v>08</v>
      </c>
      <c r="F354" s="496">
        <v>25718</v>
      </c>
      <c r="G354" s="496" t="str">
        <f t="shared" si="16"/>
        <v>20101281451</v>
      </c>
    </row>
    <row r="355" spans="1:7">
      <c r="A355" s="496">
        <f t="shared" si="17"/>
        <v>354</v>
      </c>
      <c r="B355" s="496" t="s">
        <v>441</v>
      </c>
      <c r="C355" s="495" t="s">
        <v>85</v>
      </c>
      <c r="D355" s="497" t="s">
        <v>86</v>
      </c>
      <c r="E355" s="496" t="str">
        <f t="shared" si="15"/>
        <v>09</v>
      </c>
      <c r="F355" s="496">
        <v>25719</v>
      </c>
      <c r="G355" s="496" t="str">
        <f t="shared" si="16"/>
        <v>20101283403</v>
      </c>
    </row>
    <row r="356" spans="1:7">
      <c r="A356" s="496">
        <f t="shared" si="17"/>
        <v>355</v>
      </c>
      <c r="B356" s="496" t="s">
        <v>442</v>
      </c>
      <c r="C356" s="495" t="s">
        <v>88</v>
      </c>
      <c r="D356" s="497" t="s">
        <v>89</v>
      </c>
      <c r="E356" s="496" t="str">
        <f t="shared" si="15"/>
        <v>11</v>
      </c>
      <c r="F356" s="496">
        <v>25720</v>
      </c>
      <c r="G356" s="496" t="str">
        <f t="shared" si="16"/>
        <v>20101284981</v>
      </c>
    </row>
    <row r="357" spans="1:7">
      <c r="A357" s="496">
        <f t="shared" si="17"/>
        <v>356</v>
      </c>
      <c r="B357" s="496" t="s">
        <v>443</v>
      </c>
      <c r="C357" s="495" t="s">
        <v>91</v>
      </c>
      <c r="D357" s="497" t="s">
        <v>92</v>
      </c>
      <c r="E357" s="496" t="str">
        <f t="shared" si="15"/>
        <v>12</v>
      </c>
      <c r="F357" s="496">
        <v>25724</v>
      </c>
      <c r="G357" s="496" t="str">
        <f t="shared" si="16"/>
        <v>20101293115</v>
      </c>
    </row>
    <row r="358" spans="1:7">
      <c r="A358" s="496">
        <f t="shared" si="17"/>
        <v>357</v>
      </c>
      <c r="B358" s="496" t="s">
        <v>444</v>
      </c>
      <c r="C358" s="495" t="s">
        <v>82</v>
      </c>
      <c r="D358" s="497" t="s">
        <v>83</v>
      </c>
      <c r="E358" s="496" t="str">
        <f t="shared" si="15"/>
        <v>08</v>
      </c>
      <c r="F358" s="496">
        <v>25718</v>
      </c>
      <c r="G358" s="496" t="str">
        <f t="shared" si="16"/>
        <v>20101294359</v>
      </c>
    </row>
    <row r="359" spans="1:7">
      <c r="A359" s="496">
        <f t="shared" si="17"/>
        <v>358</v>
      </c>
      <c r="B359" s="496" t="s">
        <v>445</v>
      </c>
      <c r="C359" s="495" t="s">
        <v>77</v>
      </c>
      <c r="D359" s="497" t="s">
        <v>78</v>
      </c>
      <c r="E359" s="496" t="str">
        <f t="shared" si="15"/>
        <v>07</v>
      </c>
      <c r="F359" s="496">
        <v>25717</v>
      </c>
      <c r="G359" s="496" t="str">
        <f t="shared" si="16"/>
        <v>20101308678</v>
      </c>
    </row>
    <row r="360" spans="1:7">
      <c r="A360" s="496">
        <f t="shared" si="17"/>
        <v>359</v>
      </c>
      <c r="B360" s="496" t="s">
        <v>446</v>
      </c>
      <c r="C360" s="495" t="s">
        <v>82</v>
      </c>
      <c r="D360" s="497" t="s">
        <v>83</v>
      </c>
      <c r="E360" s="496" t="str">
        <f t="shared" si="15"/>
        <v>08</v>
      </c>
      <c r="F360" s="496">
        <v>25718</v>
      </c>
      <c r="G360" s="496" t="str">
        <f t="shared" si="16"/>
        <v>20101320023</v>
      </c>
    </row>
    <row r="361" spans="1:7">
      <c r="A361" s="496">
        <f t="shared" si="17"/>
        <v>360</v>
      </c>
      <c r="B361" s="496" t="s">
        <v>447</v>
      </c>
      <c r="C361" s="495" t="s">
        <v>85</v>
      </c>
      <c r="D361" s="497" t="s">
        <v>86</v>
      </c>
      <c r="E361" s="496" t="str">
        <f t="shared" si="15"/>
        <v>09</v>
      </c>
      <c r="F361" s="496">
        <v>25719</v>
      </c>
      <c r="G361" s="496" t="str">
        <f t="shared" si="16"/>
        <v>20101323634</v>
      </c>
    </row>
    <row r="362" spans="1:7">
      <c r="A362" s="496">
        <f t="shared" si="17"/>
        <v>361</v>
      </c>
      <c r="B362" s="496" t="s">
        <v>448</v>
      </c>
      <c r="C362" s="495" t="s">
        <v>88</v>
      </c>
      <c r="D362" s="497" t="s">
        <v>89</v>
      </c>
      <c r="E362" s="496" t="str">
        <f t="shared" si="15"/>
        <v>11</v>
      </c>
      <c r="F362" s="496">
        <v>25720</v>
      </c>
      <c r="G362" s="496" t="str">
        <f t="shared" si="16"/>
        <v>20101327036</v>
      </c>
    </row>
    <row r="363" spans="1:7">
      <c r="A363" s="496">
        <f t="shared" si="17"/>
        <v>362</v>
      </c>
      <c r="B363" s="496" t="s">
        <v>449</v>
      </c>
      <c r="C363" s="495" t="s">
        <v>91</v>
      </c>
      <c r="D363" s="497" t="s">
        <v>92</v>
      </c>
      <c r="E363" s="496" t="str">
        <f t="shared" si="15"/>
        <v>12</v>
      </c>
      <c r="F363" s="496">
        <v>25724</v>
      </c>
      <c r="G363" s="496" t="str">
        <f t="shared" si="16"/>
        <v>20101330410</v>
      </c>
    </row>
    <row r="364" spans="1:7">
      <c r="A364" s="496">
        <f t="shared" si="17"/>
        <v>363</v>
      </c>
      <c r="B364" s="496" t="s">
        <v>450</v>
      </c>
      <c r="C364" s="495" t="s">
        <v>77</v>
      </c>
      <c r="D364" s="497" t="s">
        <v>78</v>
      </c>
      <c r="E364" s="496" t="str">
        <f t="shared" si="15"/>
        <v>07</v>
      </c>
      <c r="F364" s="496">
        <v>25717</v>
      </c>
      <c r="G364" s="496" t="str">
        <f t="shared" si="16"/>
        <v>20101331653</v>
      </c>
    </row>
    <row r="365" spans="1:7">
      <c r="A365" s="496">
        <f t="shared" si="17"/>
        <v>364</v>
      </c>
      <c r="B365" s="496" t="s">
        <v>451</v>
      </c>
      <c r="C365" s="495" t="s">
        <v>82</v>
      </c>
      <c r="D365" s="497" t="s">
        <v>83</v>
      </c>
      <c r="E365" s="496" t="str">
        <f t="shared" si="15"/>
        <v>08</v>
      </c>
      <c r="F365" s="496">
        <v>25718</v>
      </c>
      <c r="G365" s="496" t="str">
        <f t="shared" si="16"/>
        <v>20101341535</v>
      </c>
    </row>
    <row r="366" spans="1:7">
      <c r="A366" s="496">
        <f t="shared" si="17"/>
        <v>365</v>
      </c>
      <c r="B366" s="496" t="s">
        <v>452</v>
      </c>
      <c r="C366" s="495" t="s">
        <v>85</v>
      </c>
      <c r="D366" s="497" t="s">
        <v>86</v>
      </c>
      <c r="E366" s="496" t="str">
        <f t="shared" si="15"/>
        <v>09</v>
      </c>
      <c r="F366" s="496">
        <v>25719</v>
      </c>
      <c r="G366" s="496" t="str">
        <f t="shared" si="16"/>
        <v>20101391397</v>
      </c>
    </row>
    <row r="367" spans="1:7">
      <c r="A367" s="496">
        <f t="shared" si="17"/>
        <v>366</v>
      </c>
      <c r="B367" s="496" t="s">
        <v>453</v>
      </c>
      <c r="C367" s="495" t="s">
        <v>88</v>
      </c>
      <c r="D367" s="497" t="s">
        <v>89</v>
      </c>
      <c r="E367" s="496" t="str">
        <f t="shared" si="15"/>
        <v>11</v>
      </c>
      <c r="F367" s="496">
        <v>25720</v>
      </c>
      <c r="G367" s="496" t="str">
        <f t="shared" si="16"/>
        <v>20101392369</v>
      </c>
    </row>
    <row r="368" spans="1:7">
      <c r="A368" s="496">
        <f t="shared" si="17"/>
        <v>367</v>
      </c>
      <c r="B368" s="496" t="s">
        <v>454</v>
      </c>
      <c r="C368" s="495" t="s">
        <v>91</v>
      </c>
      <c r="D368" s="497" t="s">
        <v>92</v>
      </c>
      <c r="E368" s="496" t="str">
        <f t="shared" si="15"/>
        <v>12</v>
      </c>
      <c r="F368" s="496">
        <v>25724</v>
      </c>
      <c r="G368" s="496" t="str">
        <f t="shared" si="16"/>
        <v>20101414273</v>
      </c>
    </row>
    <row r="369" spans="1:7">
      <c r="A369" s="496">
        <f t="shared" si="17"/>
        <v>368</v>
      </c>
      <c r="B369" s="496" t="s">
        <v>455</v>
      </c>
      <c r="C369" s="495" t="s">
        <v>77</v>
      </c>
      <c r="D369" s="497" t="s">
        <v>78</v>
      </c>
      <c r="E369" s="496" t="str">
        <f t="shared" si="15"/>
        <v>07</v>
      </c>
      <c r="F369" s="496">
        <v>25717</v>
      </c>
      <c r="G369" s="496" t="str">
        <f t="shared" si="16"/>
        <v>20101461786</v>
      </c>
    </row>
    <row r="370" spans="1:7">
      <c r="A370" s="496">
        <f t="shared" si="17"/>
        <v>369</v>
      </c>
      <c r="B370" s="496" t="s">
        <v>456</v>
      </c>
      <c r="C370" s="495" t="s">
        <v>82</v>
      </c>
      <c r="D370" s="497" t="s">
        <v>83</v>
      </c>
      <c r="E370" s="496" t="str">
        <f t="shared" si="15"/>
        <v>08</v>
      </c>
      <c r="F370" s="496">
        <v>25718</v>
      </c>
      <c r="G370" s="496" t="str">
        <f t="shared" si="16"/>
        <v>20101462081</v>
      </c>
    </row>
    <row r="371" spans="1:7">
      <c r="A371" s="496">
        <f t="shared" si="17"/>
        <v>370</v>
      </c>
      <c r="B371" s="496" t="s">
        <v>457</v>
      </c>
      <c r="C371" s="495" t="s">
        <v>85</v>
      </c>
      <c r="D371" s="497" t="s">
        <v>86</v>
      </c>
      <c r="E371" s="496" t="str">
        <f t="shared" si="15"/>
        <v>09</v>
      </c>
      <c r="F371" s="496">
        <v>25719</v>
      </c>
      <c r="G371" s="496" t="str">
        <f t="shared" si="16"/>
        <v>20101469841</v>
      </c>
    </row>
    <row r="372" spans="1:7">
      <c r="A372" s="496">
        <f t="shared" si="17"/>
        <v>371</v>
      </c>
      <c r="B372" s="496" t="s">
        <v>458</v>
      </c>
      <c r="C372" s="495" t="s">
        <v>88</v>
      </c>
      <c r="D372" s="497" t="s">
        <v>89</v>
      </c>
      <c r="E372" s="496" t="str">
        <f t="shared" si="15"/>
        <v>11</v>
      </c>
      <c r="F372" s="496">
        <v>25720</v>
      </c>
      <c r="G372" s="496" t="str">
        <f t="shared" si="16"/>
        <v>20101520898</v>
      </c>
    </row>
    <row r="373" spans="1:7">
      <c r="A373" s="496">
        <f t="shared" si="17"/>
        <v>372</v>
      </c>
      <c r="B373" s="496" t="s">
        <v>459</v>
      </c>
      <c r="C373" s="495" t="s">
        <v>91</v>
      </c>
      <c r="D373" s="497" t="s">
        <v>92</v>
      </c>
      <c r="E373" s="496" t="str">
        <f t="shared" si="15"/>
        <v>12</v>
      </c>
      <c r="F373" s="496">
        <v>25724</v>
      </c>
      <c r="G373" s="496" t="str">
        <f t="shared" si="16"/>
        <v>20101562388</v>
      </c>
    </row>
    <row r="374" spans="1:7">
      <c r="A374" s="496">
        <f t="shared" si="17"/>
        <v>373</v>
      </c>
      <c r="B374" s="496" t="s">
        <v>460</v>
      </c>
      <c r="C374" s="495" t="s">
        <v>77</v>
      </c>
      <c r="D374" s="497" t="s">
        <v>78</v>
      </c>
      <c r="E374" s="496" t="str">
        <f t="shared" si="15"/>
        <v>07</v>
      </c>
      <c r="F374" s="496">
        <v>25717</v>
      </c>
      <c r="G374" s="496" t="str">
        <f t="shared" si="16"/>
        <v>20101600735</v>
      </c>
    </row>
    <row r="375" spans="1:7">
      <c r="A375" s="496">
        <f t="shared" si="17"/>
        <v>374</v>
      </c>
      <c r="B375" s="496" t="s">
        <v>461</v>
      </c>
      <c r="C375" s="495" t="s">
        <v>82</v>
      </c>
      <c r="D375" s="497" t="s">
        <v>83</v>
      </c>
      <c r="E375" s="496" t="str">
        <f t="shared" si="15"/>
        <v>08</v>
      </c>
      <c r="F375" s="496">
        <v>25718</v>
      </c>
      <c r="G375" s="496" t="str">
        <f t="shared" si="16"/>
        <v>20101602860</v>
      </c>
    </row>
    <row r="376" spans="1:7">
      <c r="A376" s="496">
        <f t="shared" si="17"/>
        <v>375</v>
      </c>
      <c r="B376" s="496" t="s">
        <v>462</v>
      </c>
      <c r="C376" s="495" t="s">
        <v>85</v>
      </c>
      <c r="D376" s="497" t="s">
        <v>86</v>
      </c>
      <c r="E376" s="496" t="str">
        <f t="shared" si="15"/>
        <v>09</v>
      </c>
      <c r="F376" s="496">
        <v>25719</v>
      </c>
      <c r="G376" s="496" t="str">
        <f t="shared" si="16"/>
        <v>20101613390</v>
      </c>
    </row>
    <row r="377" spans="1:7">
      <c r="A377" s="496">
        <f t="shared" si="17"/>
        <v>376</v>
      </c>
      <c r="B377" s="496" t="s">
        <v>463</v>
      </c>
      <c r="C377" s="495" t="s">
        <v>88</v>
      </c>
      <c r="D377" s="497" t="s">
        <v>89</v>
      </c>
      <c r="E377" s="496" t="str">
        <f t="shared" si="15"/>
        <v>11</v>
      </c>
      <c r="F377" s="496">
        <v>25720</v>
      </c>
      <c r="G377" s="496" t="str">
        <f t="shared" si="16"/>
        <v>20101635440</v>
      </c>
    </row>
    <row r="378" spans="1:7">
      <c r="A378" s="496">
        <f t="shared" si="17"/>
        <v>377</v>
      </c>
      <c r="B378" s="496" t="s">
        <v>464</v>
      </c>
      <c r="C378" s="495" t="s">
        <v>91</v>
      </c>
      <c r="D378" s="497" t="s">
        <v>92</v>
      </c>
      <c r="E378" s="496" t="str">
        <f t="shared" si="15"/>
        <v>12</v>
      </c>
      <c r="F378" s="496">
        <v>25724</v>
      </c>
      <c r="G378" s="496" t="str">
        <f t="shared" si="16"/>
        <v>20101637221</v>
      </c>
    </row>
    <row r="379" spans="1:7">
      <c r="A379" s="496">
        <f t="shared" si="17"/>
        <v>378</v>
      </c>
      <c r="B379" s="496" t="s">
        <v>465</v>
      </c>
      <c r="C379" s="495" t="s">
        <v>77</v>
      </c>
      <c r="D379" s="497" t="s">
        <v>78</v>
      </c>
      <c r="E379" s="496" t="str">
        <f t="shared" si="15"/>
        <v>07</v>
      </c>
      <c r="F379" s="496">
        <v>25717</v>
      </c>
      <c r="G379" s="496" t="str">
        <f t="shared" si="16"/>
        <v>20101701175</v>
      </c>
    </row>
    <row r="380" spans="1:7">
      <c r="A380" s="496">
        <f t="shared" si="17"/>
        <v>379</v>
      </c>
      <c r="B380" s="496" t="s">
        <v>466</v>
      </c>
      <c r="C380" s="495" t="s">
        <v>82</v>
      </c>
      <c r="D380" s="497" t="s">
        <v>83</v>
      </c>
      <c r="E380" s="496" t="str">
        <f t="shared" si="15"/>
        <v>08</v>
      </c>
      <c r="F380" s="496">
        <v>25718</v>
      </c>
      <c r="G380" s="496" t="str">
        <f t="shared" si="16"/>
        <v>20101705839</v>
      </c>
    </row>
    <row r="381" spans="1:7">
      <c r="A381" s="496">
        <f t="shared" si="17"/>
        <v>380</v>
      </c>
      <c r="B381" s="496" t="s">
        <v>467</v>
      </c>
      <c r="C381" s="495" t="s">
        <v>85</v>
      </c>
      <c r="D381" s="497" t="s">
        <v>86</v>
      </c>
      <c r="E381" s="496" t="str">
        <f t="shared" si="15"/>
        <v>09</v>
      </c>
      <c r="F381" s="496">
        <v>25719</v>
      </c>
      <c r="G381" s="496" t="str">
        <f t="shared" si="16"/>
        <v>20101717098</v>
      </c>
    </row>
    <row r="382" spans="1:7">
      <c r="A382" s="496">
        <f t="shared" si="17"/>
        <v>381</v>
      </c>
      <c r="B382" s="496" t="s">
        <v>468</v>
      </c>
      <c r="C382" s="495" t="s">
        <v>88</v>
      </c>
      <c r="D382" s="497" t="s">
        <v>89</v>
      </c>
      <c r="E382" s="496" t="str">
        <f t="shared" si="15"/>
        <v>11</v>
      </c>
      <c r="F382" s="496">
        <v>25720</v>
      </c>
      <c r="G382" s="496" t="str">
        <f t="shared" si="16"/>
        <v>20101759688</v>
      </c>
    </row>
    <row r="383" spans="1:7">
      <c r="A383" s="496">
        <f t="shared" si="17"/>
        <v>382</v>
      </c>
      <c r="B383" s="496" t="s">
        <v>469</v>
      </c>
      <c r="C383" s="495" t="s">
        <v>91</v>
      </c>
      <c r="D383" s="497" t="s">
        <v>92</v>
      </c>
      <c r="E383" s="496" t="str">
        <f t="shared" si="15"/>
        <v>12</v>
      </c>
      <c r="F383" s="496">
        <v>25724</v>
      </c>
      <c r="G383" s="496" t="str">
        <f t="shared" si="16"/>
        <v>20101796532</v>
      </c>
    </row>
    <row r="384" spans="1:7">
      <c r="A384" s="496">
        <f t="shared" si="17"/>
        <v>383</v>
      </c>
      <c r="B384" s="496" t="s">
        <v>470</v>
      </c>
      <c r="C384" s="495" t="s">
        <v>77</v>
      </c>
      <c r="D384" s="497" t="s">
        <v>78</v>
      </c>
      <c r="E384" s="496" t="str">
        <f t="shared" si="15"/>
        <v>07</v>
      </c>
      <c r="F384" s="496">
        <v>25717</v>
      </c>
      <c r="G384" s="496" t="str">
        <f t="shared" si="16"/>
        <v>20101813305</v>
      </c>
    </row>
    <row r="385" spans="1:7">
      <c r="A385" s="496">
        <f t="shared" si="17"/>
        <v>384</v>
      </c>
      <c r="B385" s="496" t="s">
        <v>471</v>
      </c>
      <c r="C385" s="495" t="s">
        <v>82</v>
      </c>
      <c r="D385" s="497" t="s">
        <v>83</v>
      </c>
      <c r="E385" s="496" t="str">
        <f t="shared" si="15"/>
        <v>08</v>
      </c>
      <c r="F385" s="496">
        <v>25718</v>
      </c>
      <c r="G385" s="496" t="str">
        <f t="shared" si="16"/>
        <v>20101839444</v>
      </c>
    </row>
    <row r="386" spans="1:7">
      <c r="A386" s="496">
        <f t="shared" si="17"/>
        <v>385</v>
      </c>
      <c r="B386" s="496" t="s">
        <v>472</v>
      </c>
      <c r="C386" s="495" t="s">
        <v>85</v>
      </c>
      <c r="D386" s="497" t="s">
        <v>86</v>
      </c>
      <c r="E386" s="496" t="str">
        <f t="shared" si="15"/>
        <v>09</v>
      </c>
      <c r="F386" s="496">
        <v>25719</v>
      </c>
      <c r="G386" s="496" t="str">
        <f t="shared" si="16"/>
        <v>20101842071</v>
      </c>
    </row>
    <row r="387" spans="1:7">
      <c r="A387" s="496">
        <f t="shared" si="17"/>
        <v>386</v>
      </c>
      <c r="B387" s="496" t="s">
        <v>473</v>
      </c>
      <c r="C387" s="495" t="s">
        <v>88</v>
      </c>
      <c r="D387" s="497" t="s">
        <v>89</v>
      </c>
      <c r="E387" s="496" t="str">
        <f t="shared" ref="E387:E450" si="18">IF(MID(D387,14,1)="@",MID(D387,12,2),"0"&amp;MID(D387,12,1))</f>
        <v>11</v>
      </c>
      <c r="F387" s="496">
        <v>25720</v>
      </c>
      <c r="G387" s="496" t="str">
        <f t="shared" ref="G387:G450" si="19">CONCATENATE(B387)</f>
        <v>20101849679</v>
      </c>
    </row>
    <row r="388" spans="1:7">
      <c r="A388" s="496">
        <f t="shared" ref="A388:A451" si="20">+A387+1</f>
        <v>387</v>
      </c>
      <c r="B388" s="496" t="s">
        <v>474</v>
      </c>
      <c r="C388" s="495" t="s">
        <v>91</v>
      </c>
      <c r="D388" s="497" t="s">
        <v>92</v>
      </c>
      <c r="E388" s="496" t="str">
        <f t="shared" si="18"/>
        <v>12</v>
      </c>
      <c r="F388" s="496">
        <v>25724</v>
      </c>
      <c r="G388" s="496" t="str">
        <f t="shared" si="19"/>
        <v>20101859399</v>
      </c>
    </row>
    <row r="389" spans="1:7">
      <c r="A389" s="496">
        <f t="shared" si="20"/>
        <v>388</v>
      </c>
      <c r="B389" s="496" t="s">
        <v>475</v>
      </c>
      <c r="C389" s="495" t="s">
        <v>77</v>
      </c>
      <c r="D389" s="497" t="s">
        <v>78</v>
      </c>
      <c r="E389" s="496" t="str">
        <f t="shared" si="18"/>
        <v>07</v>
      </c>
      <c r="F389" s="496">
        <v>25717</v>
      </c>
      <c r="G389" s="496" t="str">
        <f t="shared" si="19"/>
        <v>20101869947</v>
      </c>
    </row>
    <row r="390" spans="1:7">
      <c r="A390" s="496">
        <f t="shared" si="20"/>
        <v>389</v>
      </c>
      <c r="B390" s="496" t="s">
        <v>476</v>
      </c>
      <c r="C390" s="495" t="s">
        <v>85</v>
      </c>
      <c r="D390" s="497" t="s">
        <v>86</v>
      </c>
      <c r="E390" s="496" t="str">
        <f t="shared" si="18"/>
        <v>09</v>
      </c>
      <c r="F390" s="496">
        <v>25719</v>
      </c>
      <c r="G390" s="496" t="str">
        <f t="shared" si="19"/>
        <v>20101887414</v>
      </c>
    </row>
    <row r="391" spans="1:7">
      <c r="A391" s="496">
        <f t="shared" si="20"/>
        <v>390</v>
      </c>
      <c r="B391" s="496" t="s">
        <v>477</v>
      </c>
      <c r="C391" s="495" t="s">
        <v>82</v>
      </c>
      <c r="D391" s="497" t="s">
        <v>83</v>
      </c>
      <c r="E391" s="496" t="str">
        <f t="shared" si="18"/>
        <v>08</v>
      </c>
      <c r="F391" s="496">
        <v>25718</v>
      </c>
      <c r="G391" s="496" t="str">
        <f t="shared" si="19"/>
        <v>20101914080</v>
      </c>
    </row>
    <row r="392" spans="1:7">
      <c r="A392" s="496">
        <f t="shared" si="20"/>
        <v>391</v>
      </c>
      <c r="B392" s="496" t="s">
        <v>478</v>
      </c>
      <c r="C392" s="495" t="s">
        <v>85</v>
      </c>
      <c r="D392" s="497" t="s">
        <v>86</v>
      </c>
      <c r="E392" s="496" t="str">
        <f t="shared" si="18"/>
        <v>09</v>
      </c>
      <c r="F392" s="496">
        <v>25719</v>
      </c>
      <c r="G392" s="496" t="str">
        <f t="shared" si="19"/>
        <v>20101927904</v>
      </c>
    </row>
    <row r="393" spans="1:7">
      <c r="A393" s="496">
        <f t="shared" si="20"/>
        <v>392</v>
      </c>
      <c r="B393" s="496" t="s">
        <v>479</v>
      </c>
      <c r="C393" s="495" t="s">
        <v>88</v>
      </c>
      <c r="D393" s="497" t="s">
        <v>89</v>
      </c>
      <c r="E393" s="496" t="str">
        <f t="shared" si="18"/>
        <v>11</v>
      </c>
      <c r="F393" s="496">
        <v>25720</v>
      </c>
      <c r="G393" s="496" t="str">
        <f t="shared" si="19"/>
        <v>20101949380</v>
      </c>
    </row>
    <row r="394" spans="1:7">
      <c r="A394" s="496">
        <f t="shared" si="20"/>
        <v>393</v>
      </c>
      <c r="B394" s="496" t="s">
        <v>480</v>
      </c>
      <c r="C394" s="495" t="s">
        <v>91</v>
      </c>
      <c r="D394" s="497" t="s">
        <v>92</v>
      </c>
      <c r="E394" s="496" t="str">
        <f t="shared" si="18"/>
        <v>12</v>
      </c>
      <c r="F394" s="496">
        <v>25724</v>
      </c>
      <c r="G394" s="496" t="str">
        <f t="shared" si="19"/>
        <v>20101965156</v>
      </c>
    </row>
    <row r="395" spans="1:7">
      <c r="A395" s="496">
        <f t="shared" si="20"/>
        <v>394</v>
      </c>
      <c r="B395" s="496" t="s">
        <v>481</v>
      </c>
      <c r="C395" s="495" t="s">
        <v>77</v>
      </c>
      <c r="D395" s="497" t="s">
        <v>78</v>
      </c>
      <c r="E395" s="496" t="str">
        <f t="shared" si="18"/>
        <v>07</v>
      </c>
      <c r="F395" s="496">
        <v>25717</v>
      </c>
      <c r="G395" s="496" t="str">
        <f t="shared" si="19"/>
        <v>20101984291</v>
      </c>
    </row>
    <row r="396" spans="1:7">
      <c r="A396" s="496">
        <f t="shared" si="20"/>
        <v>395</v>
      </c>
      <c r="B396" s="496" t="s">
        <v>482</v>
      </c>
      <c r="C396" s="495" t="s">
        <v>82</v>
      </c>
      <c r="D396" s="497" t="s">
        <v>83</v>
      </c>
      <c r="E396" s="496" t="str">
        <f t="shared" si="18"/>
        <v>08</v>
      </c>
      <c r="F396" s="496">
        <v>25718</v>
      </c>
      <c r="G396" s="496" t="str">
        <f t="shared" si="19"/>
        <v>20102001053</v>
      </c>
    </row>
    <row r="397" spans="1:7">
      <c r="A397" s="496">
        <f t="shared" si="20"/>
        <v>396</v>
      </c>
      <c r="B397" s="496" t="s">
        <v>483</v>
      </c>
      <c r="C397" s="495" t="s">
        <v>85</v>
      </c>
      <c r="D397" s="497" t="s">
        <v>86</v>
      </c>
      <c r="E397" s="496" t="str">
        <f t="shared" si="18"/>
        <v>09</v>
      </c>
      <c r="F397" s="496">
        <v>25719</v>
      </c>
      <c r="G397" s="496" t="str">
        <f t="shared" si="19"/>
        <v>20102021674</v>
      </c>
    </row>
    <row r="398" spans="1:7">
      <c r="A398" s="496">
        <f t="shared" si="20"/>
        <v>397</v>
      </c>
      <c r="B398" s="496" t="s">
        <v>484</v>
      </c>
      <c r="C398" s="495" t="s">
        <v>88</v>
      </c>
      <c r="D398" s="497" t="s">
        <v>89</v>
      </c>
      <c r="E398" s="496" t="str">
        <f t="shared" si="18"/>
        <v>11</v>
      </c>
      <c r="F398" s="496">
        <v>25720</v>
      </c>
      <c r="G398" s="496" t="str">
        <f t="shared" si="19"/>
        <v>20102021836</v>
      </c>
    </row>
    <row r="399" spans="1:7">
      <c r="A399" s="496">
        <f t="shared" si="20"/>
        <v>398</v>
      </c>
      <c r="B399" s="496" t="s">
        <v>485</v>
      </c>
      <c r="C399" s="495" t="s">
        <v>91</v>
      </c>
      <c r="D399" s="497" t="s">
        <v>92</v>
      </c>
      <c r="E399" s="496" t="str">
        <f t="shared" si="18"/>
        <v>12</v>
      </c>
      <c r="F399" s="496">
        <v>25724</v>
      </c>
      <c r="G399" s="496" t="str">
        <f t="shared" si="19"/>
        <v>20102032951</v>
      </c>
    </row>
    <row r="400" spans="1:7">
      <c r="A400" s="496">
        <f t="shared" si="20"/>
        <v>399</v>
      </c>
      <c r="B400" s="496" t="s">
        <v>486</v>
      </c>
      <c r="C400" s="495" t="s">
        <v>77</v>
      </c>
      <c r="D400" s="497" t="s">
        <v>78</v>
      </c>
      <c r="E400" s="496" t="str">
        <f t="shared" si="18"/>
        <v>07</v>
      </c>
      <c r="F400" s="496">
        <v>25717</v>
      </c>
      <c r="G400" s="496" t="str">
        <f t="shared" si="19"/>
        <v>20102048106</v>
      </c>
    </row>
    <row r="401" spans="1:7">
      <c r="A401" s="496">
        <f t="shared" si="20"/>
        <v>400</v>
      </c>
      <c r="B401" s="496" t="s">
        <v>487</v>
      </c>
      <c r="C401" s="495" t="s">
        <v>82</v>
      </c>
      <c r="D401" s="497" t="s">
        <v>83</v>
      </c>
      <c r="E401" s="496" t="str">
        <f t="shared" si="18"/>
        <v>08</v>
      </c>
      <c r="F401" s="496">
        <v>25718</v>
      </c>
      <c r="G401" s="496" t="str">
        <f t="shared" si="19"/>
        <v>20102078781</v>
      </c>
    </row>
    <row r="402" spans="1:7">
      <c r="A402" s="496">
        <f t="shared" si="20"/>
        <v>401</v>
      </c>
      <c r="B402" s="496" t="s">
        <v>488</v>
      </c>
      <c r="C402" s="495" t="s">
        <v>85</v>
      </c>
      <c r="D402" s="497" t="s">
        <v>86</v>
      </c>
      <c r="E402" s="496" t="str">
        <f t="shared" si="18"/>
        <v>09</v>
      </c>
      <c r="F402" s="496">
        <v>25719</v>
      </c>
      <c r="G402" s="496" t="str">
        <f t="shared" si="19"/>
        <v>20102124139</v>
      </c>
    </row>
    <row r="403" spans="1:7">
      <c r="A403" s="496">
        <f t="shared" si="20"/>
        <v>402</v>
      </c>
      <c r="B403" s="496" t="s">
        <v>489</v>
      </c>
      <c r="C403" s="495" t="s">
        <v>88</v>
      </c>
      <c r="D403" s="497" t="s">
        <v>89</v>
      </c>
      <c r="E403" s="496" t="str">
        <f t="shared" si="18"/>
        <v>11</v>
      </c>
      <c r="F403" s="496">
        <v>25720</v>
      </c>
      <c r="G403" s="496" t="str">
        <f t="shared" si="19"/>
        <v>20102127073</v>
      </c>
    </row>
    <row r="404" spans="1:7">
      <c r="A404" s="496">
        <f t="shared" si="20"/>
        <v>403</v>
      </c>
      <c r="B404" s="496" t="s">
        <v>490</v>
      </c>
      <c r="C404" s="495" t="s">
        <v>91</v>
      </c>
      <c r="D404" s="497" t="s">
        <v>92</v>
      </c>
      <c r="E404" s="496" t="str">
        <f t="shared" si="18"/>
        <v>12</v>
      </c>
      <c r="F404" s="496">
        <v>25724</v>
      </c>
      <c r="G404" s="496" t="str">
        <f t="shared" si="19"/>
        <v>20102179898</v>
      </c>
    </row>
    <row r="405" spans="1:7">
      <c r="A405" s="496">
        <f t="shared" si="20"/>
        <v>404</v>
      </c>
      <c r="B405" s="496" t="s">
        <v>491</v>
      </c>
      <c r="C405" s="495" t="s">
        <v>77</v>
      </c>
      <c r="D405" s="497" t="s">
        <v>78</v>
      </c>
      <c r="E405" s="496" t="str">
        <f t="shared" si="18"/>
        <v>07</v>
      </c>
      <c r="F405" s="496">
        <v>25717</v>
      </c>
      <c r="G405" s="496" t="str">
        <f t="shared" si="19"/>
        <v>20102193025</v>
      </c>
    </row>
    <row r="406" spans="1:7">
      <c r="A406" s="496">
        <f t="shared" si="20"/>
        <v>405</v>
      </c>
      <c r="B406" s="496" t="s">
        <v>492</v>
      </c>
      <c r="C406" s="495" t="s">
        <v>82</v>
      </c>
      <c r="D406" s="497" t="s">
        <v>83</v>
      </c>
      <c r="E406" s="496" t="str">
        <f t="shared" si="18"/>
        <v>08</v>
      </c>
      <c r="F406" s="496">
        <v>25718</v>
      </c>
      <c r="G406" s="496" t="str">
        <f t="shared" si="19"/>
        <v>20102262361</v>
      </c>
    </row>
    <row r="407" spans="1:7">
      <c r="A407" s="496">
        <f t="shared" si="20"/>
        <v>406</v>
      </c>
      <c r="B407" s="496" t="s">
        <v>493</v>
      </c>
      <c r="C407" s="495" t="s">
        <v>85</v>
      </c>
      <c r="D407" s="497" t="s">
        <v>86</v>
      </c>
      <c r="E407" s="496" t="str">
        <f t="shared" si="18"/>
        <v>09</v>
      </c>
      <c r="F407" s="496">
        <v>25719</v>
      </c>
      <c r="G407" s="496" t="str">
        <f t="shared" si="19"/>
        <v>20102269617</v>
      </c>
    </row>
    <row r="408" spans="1:7">
      <c r="A408" s="496">
        <f t="shared" si="20"/>
        <v>407</v>
      </c>
      <c r="B408" s="496" t="s">
        <v>494</v>
      </c>
      <c r="C408" s="495" t="s">
        <v>88</v>
      </c>
      <c r="D408" s="497" t="s">
        <v>89</v>
      </c>
      <c r="E408" s="496" t="str">
        <f t="shared" si="18"/>
        <v>11</v>
      </c>
      <c r="F408" s="496">
        <v>25720</v>
      </c>
      <c r="G408" s="496" t="str">
        <f t="shared" si="19"/>
        <v>20102297581</v>
      </c>
    </row>
    <row r="409" spans="1:7">
      <c r="A409" s="496">
        <f t="shared" si="20"/>
        <v>408</v>
      </c>
      <c r="B409" s="496" t="s">
        <v>495</v>
      </c>
      <c r="C409" s="495" t="s">
        <v>91</v>
      </c>
      <c r="D409" s="497" t="s">
        <v>92</v>
      </c>
      <c r="E409" s="496" t="str">
        <f t="shared" si="18"/>
        <v>12</v>
      </c>
      <c r="F409" s="496">
        <v>25724</v>
      </c>
      <c r="G409" s="496" t="str">
        <f t="shared" si="19"/>
        <v>20102301286</v>
      </c>
    </row>
    <row r="410" spans="1:7">
      <c r="A410" s="496">
        <f t="shared" si="20"/>
        <v>409</v>
      </c>
      <c r="B410" s="496" t="s">
        <v>496</v>
      </c>
      <c r="C410" s="495" t="s">
        <v>77</v>
      </c>
      <c r="D410" s="497" t="s">
        <v>78</v>
      </c>
      <c r="E410" s="496" t="str">
        <f t="shared" si="18"/>
        <v>07</v>
      </c>
      <c r="F410" s="496">
        <v>25717</v>
      </c>
      <c r="G410" s="496" t="str">
        <f t="shared" si="19"/>
        <v>20102305273</v>
      </c>
    </row>
    <row r="411" spans="1:7">
      <c r="A411" s="496">
        <f t="shared" si="20"/>
        <v>410</v>
      </c>
      <c r="B411" s="496" t="s">
        <v>497</v>
      </c>
      <c r="C411" s="495" t="s">
        <v>82</v>
      </c>
      <c r="D411" s="497" t="s">
        <v>83</v>
      </c>
      <c r="E411" s="496" t="str">
        <f t="shared" si="18"/>
        <v>08</v>
      </c>
      <c r="F411" s="496">
        <v>25718</v>
      </c>
      <c r="G411" s="496" t="str">
        <f t="shared" si="19"/>
        <v>20102310781</v>
      </c>
    </row>
    <row r="412" spans="1:7">
      <c r="A412" s="496">
        <f t="shared" si="20"/>
        <v>411</v>
      </c>
      <c r="B412" s="496" t="s">
        <v>498</v>
      </c>
      <c r="C412" s="495" t="s">
        <v>85</v>
      </c>
      <c r="D412" s="497" t="s">
        <v>86</v>
      </c>
      <c r="E412" s="496" t="str">
        <f t="shared" si="18"/>
        <v>09</v>
      </c>
      <c r="F412" s="496">
        <v>25719</v>
      </c>
      <c r="G412" s="496" t="str">
        <f t="shared" si="19"/>
        <v>20102427891</v>
      </c>
    </row>
    <row r="413" spans="1:7">
      <c r="A413" s="496">
        <f t="shared" si="20"/>
        <v>412</v>
      </c>
      <c r="B413" s="496" t="s">
        <v>499</v>
      </c>
      <c r="C413" s="495" t="s">
        <v>88</v>
      </c>
      <c r="D413" s="497" t="s">
        <v>89</v>
      </c>
      <c r="E413" s="496" t="str">
        <f t="shared" si="18"/>
        <v>11</v>
      </c>
      <c r="F413" s="496">
        <v>25720</v>
      </c>
      <c r="G413" s="496" t="str">
        <f t="shared" si="19"/>
        <v>20102502001</v>
      </c>
    </row>
    <row r="414" spans="1:7">
      <c r="A414" s="496">
        <f t="shared" si="20"/>
        <v>413</v>
      </c>
      <c r="B414" s="496" t="s">
        <v>500</v>
      </c>
      <c r="C414" s="495" t="s">
        <v>91</v>
      </c>
      <c r="D414" s="497" t="s">
        <v>92</v>
      </c>
      <c r="E414" s="496" t="str">
        <f t="shared" si="18"/>
        <v>12</v>
      </c>
      <c r="F414" s="496">
        <v>25724</v>
      </c>
      <c r="G414" s="496" t="str">
        <f t="shared" si="19"/>
        <v>20102728743</v>
      </c>
    </row>
    <row r="415" spans="1:7">
      <c r="A415" s="496">
        <f t="shared" si="20"/>
        <v>414</v>
      </c>
      <c r="B415" s="496" t="s">
        <v>501</v>
      </c>
      <c r="C415" s="495" t="s">
        <v>77</v>
      </c>
      <c r="D415" s="497" t="s">
        <v>78</v>
      </c>
      <c r="E415" s="496" t="str">
        <f t="shared" si="18"/>
        <v>07</v>
      </c>
      <c r="F415" s="496">
        <v>25717</v>
      </c>
      <c r="G415" s="496" t="str">
        <f t="shared" si="19"/>
        <v>20103272964</v>
      </c>
    </row>
    <row r="416" spans="1:7">
      <c r="A416" s="496">
        <f t="shared" si="20"/>
        <v>415</v>
      </c>
      <c r="B416" s="496" t="s">
        <v>502</v>
      </c>
      <c r="C416" s="495" t="s">
        <v>88</v>
      </c>
      <c r="D416" s="497" t="s">
        <v>89</v>
      </c>
      <c r="E416" s="496" t="str">
        <f t="shared" si="18"/>
        <v>11</v>
      </c>
      <c r="F416" s="496">
        <v>25720</v>
      </c>
      <c r="G416" s="496" t="str">
        <f t="shared" si="19"/>
        <v>20103744211</v>
      </c>
    </row>
    <row r="417" spans="1:7">
      <c r="A417" s="496">
        <f t="shared" si="20"/>
        <v>416</v>
      </c>
      <c r="B417" s="496" t="s">
        <v>503</v>
      </c>
      <c r="C417" s="495" t="s">
        <v>82</v>
      </c>
      <c r="D417" s="497" t="s">
        <v>83</v>
      </c>
      <c r="E417" s="496" t="str">
        <f t="shared" si="18"/>
        <v>08</v>
      </c>
      <c r="F417" s="496">
        <v>25718</v>
      </c>
      <c r="G417" s="496" t="str">
        <f t="shared" si="19"/>
        <v>20103795631</v>
      </c>
    </row>
    <row r="418" spans="1:7">
      <c r="A418" s="496">
        <f t="shared" si="20"/>
        <v>417</v>
      </c>
      <c r="B418" s="496" t="s">
        <v>504</v>
      </c>
      <c r="C418" s="495" t="s">
        <v>85</v>
      </c>
      <c r="D418" s="497" t="s">
        <v>86</v>
      </c>
      <c r="E418" s="496" t="str">
        <f t="shared" si="18"/>
        <v>09</v>
      </c>
      <c r="F418" s="496">
        <v>25719</v>
      </c>
      <c r="G418" s="496" t="str">
        <f t="shared" si="19"/>
        <v>20103829802</v>
      </c>
    </row>
    <row r="419" spans="1:7">
      <c r="A419" s="496">
        <f t="shared" si="20"/>
        <v>418</v>
      </c>
      <c r="B419" s="496" t="s">
        <v>505</v>
      </c>
      <c r="C419" s="495" t="s">
        <v>88</v>
      </c>
      <c r="D419" s="497" t="s">
        <v>89</v>
      </c>
      <c r="E419" s="496" t="str">
        <f t="shared" si="18"/>
        <v>11</v>
      </c>
      <c r="F419" s="496">
        <v>25720</v>
      </c>
      <c r="G419" s="496" t="str">
        <f t="shared" si="19"/>
        <v>20103913340</v>
      </c>
    </row>
    <row r="420" spans="1:7">
      <c r="A420" s="496">
        <f t="shared" si="20"/>
        <v>419</v>
      </c>
      <c r="B420" s="496" t="s">
        <v>506</v>
      </c>
      <c r="C420" s="495" t="s">
        <v>91</v>
      </c>
      <c r="D420" s="497" t="s">
        <v>92</v>
      </c>
      <c r="E420" s="496" t="str">
        <f t="shared" si="18"/>
        <v>12</v>
      </c>
      <c r="F420" s="496">
        <v>25724</v>
      </c>
      <c r="G420" s="496" t="str">
        <f t="shared" si="19"/>
        <v>20103967199</v>
      </c>
    </row>
    <row r="421" spans="1:7">
      <c r="A421" s="496">
        <f t="shared" si="20"/>
        <v>420</v>
      </c>
      <c r="B421" s="496" t="s">
        <v>507</v>
      </c>
      <c r="C421" s="495" t="s">
        <v>77</v>
      </c>
      <c r="D421" s="497" t="s">
        <v>78</v>
      </c>
      <c r="E421" s="496" t="str">
        <f t="shared" si="18"/>
        <v>07</v>
      </c>
      <c r="F421" s="496">
        <v>25717</v>
      </c>
      <c r="G421" s="496" t="str">
        <f t="shared" si="19"/>
        <v>20103973245</v>
      </c>
    </row>
    <row r="422" spans="1:7">
      <c r="A422" s="496">
        <f t="shared" si="20"/>
        <v>421</v>
      </c>
      <c r="B422" s="496" t="s">
        <v>508</v>
      </c>
      <c r="C422" s="495" t="s">
        <v>82</v>
      </c>
      <c r="D422" s="497" t="s">
        <v>83</v>
      </c>
      <c r="E422" s="496" t="str">
        <f t="shared" si="18"/>
        <v>08</v>
      </c>
      <c r="F422" s="496">
        <v>25718</v>
      </c>
      <c r="G422" s="496" t="str">
        <f t="shared" si="19"/>
        <v>20104121374</v>
      </c>
    </row>
    <row r="423" spans="1:7">
      <c r="A423" s="496">
        <f t="shared" si="20"/>
        <v>422</v>
      </c>
      <c r="B423" s="496" t="s">
        <v>509</v>
      </c>
      <c r="C423" s="495" t="s">
        <v>85</v>
      </c>
      <c r="D423" s="497" t="s">
        <v>86</v>
      </c>
      <c r="E423" s="496" t="str">
        <f t="shared" si="18"/>
        <v>09</v>
      </c>
      <c r="F423" s="496">
        <v>25719</v>
      </c>
      <c r="G423" s="496" t="str">
        <f t="shared" si="19"/>
        <v>20104420282</v>
      </c>
    </row>
    <row r="424" spans="1:7">
      <c r="A424" s="496">
        <f t="shared" si="20"/>
        <v>423</v>
      </c>
      <c r="B424" s="496" t="s">
        <v>510</v>
      </c>
      <c r="C424" s="495" t="s">
        <v>88</v>
      </c>
      <c r="D424" s="497" t="s">
        <v>89</v>
      </c>
      <c r="E424" s="496" t="str">
        <f t="shared" si="18"/>
        <v>11</v>
      </c>
      <c r="F424" s="496">
        <v>25720</v>
      </c>
      <c r="G424" s="496" t="str">
        <f t="shared" si="19"/>
        <v>20104498044</v>
      </c>
    </row>
    <row r="425" spans="1:7">
      <c r="A425" s="496">
        <f t="shared" si="20"/>
        <v>424</v>
      </c>
      <c r="B425" s="496" t="s">
        <v>511</v>
      </c>
      <c r="C425" s="495" t="s">
        <v>91</v>
      </c>
      <c r="D425" s="497" t="s">
        <v>92</v>
      </c>
      <c r="E425" s="496" t="str">
        <f t="shared" si="18"/>
        <v>12</v>
      </c>
      <c r="F425" s="496">
        <v>25724</v>
      </c>
      <c r="G425" s="496" t="str">
        <f t="shared" si="19"/>
        <v>20104582428</v>
      </c>
    </row>
    <row r="426" spans="1:7">
      <c r="A426" s="496">
        <f t="shared" si="20"/>
        <v>425</v>
      </c>
      <c r="B426" s="496" t="s">
        <v>512</v>
      </c>
      <c r="C426" s="495" t="s">
        <v>77</v>
      </c>
      <c r="D426" s="497" t="s">
        <v>78</v>
      </c>
      <c r="E426" s="496" t="str">
        <f t="shared" si="18"/>
        <v>07</v>
      </c>
      <c r="F426" s="496">
        <v>25717</v>
      </c>
      <c r="G426" s="496" t="str">
        <f t="shared" si="19"/>
        <v>20104624104</v>
      </c>
    </row>
    <row r="427" spans="1:7">
      <c r="A427" s="496">
        <f t="shared" si="20"/>
        <v>426</v>
      </c>
      <c r="B427" s="496" t="s">
        <v>513</v>
      </c>
      <c r="C427" s="495" t="s">
        <v>82</v>
      </c>
      <c r="D427" s="497" t="s">
        <v>83</v>
      </c>
      <c r="E427" s="496" t="str">
        <f t="shared" si="18"/>
        <v>08</v>
      </c>
      <c r="F427" s="496">
        <v>25718</v>
      </c>
      <c r="G427" s="496" t="str">
        <f t="shared" si="19"/>
        <v>20106498386</v>
      </c>
    </row>
    <row r="428" spans="1:7">
      <c r="A428" s="496">
        <f t="shared" si="20"/>
        <v>427</v>
      </c>
      <c r="B428" s="496" t="s">
        <v>514</v>
      </c>
      <c r="C428" s="495" t="s">
        <v>85</v>
      </c>
      <c r="D428" s="497" t="s">
        <v>86</v>
      </c>
      <c r="E428" s="496" t="str">
        <f t="shared" si="18"/>
        <v>09</v>
      </c>
      <c r="F428" s="496">
        <v>25719</v>
      </c>
      <c r="G428" s="496" t="str">
        <f t="shared" si="19"/>
        <v>20106566721</v>
      </c>
    </row>
    <row r="429" spans="1:7">
      <c r="A429" s="496">
        <f t="shared" si="20"/>
        <v>428</v>
      </c>
      <c r="B429" s="496" t="s">
        <v>515</v>
      </c>
      <c r="C429" s="495" t="s">
        <v>88</v>
      </c>
      <c r="D429" s="497" t="s">
        <v>89</v>
      </c>
      <c r="E429" s="496" t="str">
        <f t="shared" si="18"/>
        <v>11</v>
      </c>
      <c r="F429" s="496">
        <v>25720</v>
      </c>
      <c r="G429" s="496" t="str">
        <f t="shared" si="19"/>
        <v>20106651087</v>
      </c>
    </row>
    <row r="430" spans="1:7">
      <c r="A430" s="496">
        <f t="shared" si="20"/>
        <v>429</v>
      </c>
      <c r="B430" s="496" t="s">
        <v>516</v>
      </c>
      <c r="C430" s="495" t="s">
        <v>91</v>
      </c>
      <c r="D430" s="497" t="s">
        <v>92</v>
      </c>
      <c r="E430" s="496" t="str">
        <f t="shared" si="18"/>
        <v>12</v>
      </c>
      <c r="F430" s="496">
        <v>25724</v>
      </c>
      <c r="G430" s="496" t="str">
        <f t="shared" si="19"/>
        <v>20106653705</v>
      </c>
    </row>
    <row r="431" spans="1:7">
      <c r="A431" s="496">
        <f t="shared" si="20"/>
        <v>430</v>
      </c>
      <c r="B431" s="496" t="s">
        <v>517</v>
      </c>
      <c r="C431" s="495" t="s">
        <v>77</v>
      </c>
      <c r="D431" s="497" t="s">
        <v>78</v>
      </c>
      <c r="E431" s="496" t="str">
        <f t="shared" si="18"/>
        <v>07</v>
      </c>
      <c r="F431" s="496">
        <v>25717</v>
      </c>
      <c r="G431" s="496" t="str">
        <f t="shared" si="19"/>
        <v>20106725200</v>
      </c>
    </row>
    <row r="432" spans="1:7">
      <c r="A432" s="496">
        <f t="shared" si="20"/>
        <v>431</v>
      </c>
      <c r="B432" s="496" t="s">
        <v>518</v>
      </c>
      <c r="C432" s="495" t="s">
        <v>82</v>
      </c>
      <c r="D432" s="497" t="s">
        <v>83</v>
      </c>
      <c r="E432" s="496" t="str">
        <f t="shared" si="18"/>
        <v>08</v>
      </c>
      <c r="F432" s="496">
        <v>25718</v>
      </c>
      <c r="G432" s="496" t="str">
        <f t="shared" si="19"/>
        <v>20106740004</v>
      </c>
    </row>
    <row r="433" spans="1:7">
      <c r="A433" s="496">
        <f t="shared" si="20"/>
        <v>432</v>
      </c>
      <c r="B433" s="496" t="s">
        <v>519</v>
      </c>
      <c r="C433" s="495" t="s">
        <v>85</v>
      </c>
      <c r="D433" s="497" t="s">
        <v>86</v>
      </c>
      <c r="E433" s="496" t="str">
        <f t="shared" si="18"/>
        <v>09</v>
      </c>
      <c r="F433" s="496">
        <v>25719</v>
      </c>
      <c r="G433" s="496" t="str">
        <f t="shared" si="19"/>
        <v>20106785288</v>
      </c>
    </row>
    <row r="434" spans="1:7">
      <c r="A434" s="496">
        <f t="shared" si="20"/>
        <v>433</v>
      </c>
      <c r="B434" s="496" t="s">
        <v>520</v>
      </c>
      <c r="C434" s="495" t="s">
        <v>88</v>
      </c>
      <c r="D434" s="497" t="s">
        <v>89</v>
      </c>
      <c r="E434" s="496" t="str">
        <f t="shared" si="18"/>
        <v>11</v>
      </c>
      <c r="F434" s="496">
        <v>25720</v>
      </c>
      <c r="G434" s="496" t="str">
        <f t="shared" si="19"/>
        <v>20106831654</v>
      </c>
    </row>
    <row r="435" spans="1:7">
      <c r="A435" s="496">
        <f t="shared" si="20"/>
        <v>434</v>
      </c>
      <c r="B435" s="496" t="s">
        <v>521</v>
      </c>
      <c r="C435" s="495" t="s">
        <v>91</v>
      </c>
      <c r="D435" s="497" t="s">
        <v>92</v>
      </c>
      <c r="E435" s="496" t="str">
        <f t="shared" si="18"/>
        <v>12</v>
      </c>
      <c r="F435" s="496">
        <v>25724</v>
      </c>
      <c r="G435" s="496" t="str">
        <f t="shared" si="19"/>
        <v>20106876321</v>
      </c>
    </row>
    <row r="436" spans="1:7">
      <c r="A436" s="496">
        <f t="shared" si="20"/>
        <v>435</v>
      </c>
      <c r="B436" s="496" t="s">
        <v>522</v>
      </c>
      <c r="C436" s="495" t="s">
        <v>77</v>
      </c>
      <c r="D436" s="497" t="s">
        <v>78</v>
      </c>
      <c r="E436" s="496" t="str">
        <f t="shared" si="18"/>
        <v>07</v>
      </c>
      <c r="F436" s="496">
        <v>25717</v>
      </c>
      <c r="G436" s="496" t="str">
        <f t="shared" si="19"/>
        <v>20106896276</v>
      </c>
    </row>
    <row r="437" spans="1:7">
      <c r="A437" s="496">
        <f t="shared" si="20"/>
        <v>436</v>
      </c>
      <c r="B437" s="496" t="s">
        <v>523</v>
      </c>
      <c r="C437" s="495" t="s">
        <v>82</v>
      </c>
      <c r="D437" s="497" t="s">
        <v>83</v>
      </c>
      <c r="E437" s="496" t="str">
        <f t="shared" si="18"/>
        <v>08</v>
      </c>
      <c r="F437" s="496">
        <v>25718</v>
      </c>
      <c r="G437" s="496" t="str">
        <f t="shared" si="19"/>
        <v>20106975737</v>
      </c>
    </row>
    <row r="438" spans="1:7">
      <c r="A438" s="496">
        <f t="shared" si="20"/>
        <v>437</v>
      </c>
      <c r="B438" s="496" t="s">
        <v>524</v>
      </c>
      <c r="C438" s="495" t="s">
        <v>85</v>
      </c>
      <c r="D438" s="497" t="s">
        <v>86</v>
      </c>
      <c r="E438" s="496" t="str">
        <f t="shared" si="18"/>
        <v>09</v>
      </c>
      <c r="F438" s="496">
        <v>25719</v>
      </c>
      <c r="G438" s="496" t="str">
        <f t="shared" si="19"/>
        <v>20107012011</v>
      </c>
    </row>
    <row r="439" spans="1:7">
      <c r="A439" s="496">
        <f t="shared" si="20"/>
        <v>438</v>
      </c>
      <c r="B439" s="496" t="s">
        <v>525</v>
      </c>
      <c r="C439" s="495" t="s">
        <v>88</v>
      </c>
      <c r="D439" s="497" t="s">
        <v>89</v>
      </c>
      <c r="E439" s="496" t="str">
        <f t="shared" si="18"/>
        <v>11</v>
      </c>
      <c r="F439" s="496">
        <v>25720</v>
      </c>
      <c r="G439" s="496" t="str">
        <f t="shared" si="19"/>
        <v>20107090674</v>
      </c>
    </row>
    <row r="440" spans="1:7">
      <c r="A440" s="496">
        <f t="shared" si="20"/>
        <v>439</v>
      </c>
      <c r="B440" s="496" t="s">
        <v>526</v>
      </c>
      <c r="C440" s="495" t="s">
        <v>91</v>
      </c>
      <c r="D440" s="497" t="s">
        <v>92</v>
      </c>
      <c r="E440" s="496" t="str">
        <f t="shared" si="18"/>
        <v>12</v>
      </c>
      <c r="F440" s="496">
        <v>25724</v>
      </c>
      <c r="G440" s="496" t="str">
        <f t="shared" si="19"/>
        <v>20107099892</v>
      </c>
    </row>
    <row r="441" spans="1:7">
      <c r="A441" s="496">
        <f t="shared" si="20"/>
        <v>440</v>
      </c>
      <c r="B441" s="496" t="s">
        <v>527</v>
      </c>
      <c r="C441" s="495" t="s">
        <v>77</v>
      </c>
      <c r="D441" s="497" t="s">
        <v>78</v>
      </c>
      <c r="E441" s="496" t="str">
        <f t="shared" si="18"/>
        <v>07</v>
      </c>
      <c r="F441" s="496">
        <v>25717</v>
      </c>
      <c r="G441" s="496" t="str">
        <f t="shared" si="19"/>
        <v>20107269054</v>
      </c>
    </row>
    <row r="442" spans="1:7">
      <c r="A442" s="496">
        <f t="shared" si="20"/>
        <v>441</v>
      </c>
      <c r="B442" s="496" t="s">
        <v>528</v>
      </c>
      <c r="C442" s="495" t="s">
        <v>82</v>
      </c>
      <c r="D442" s="497" t="s">
        <v>83</v>
      </c>
      <c r="E442" s="496" t="str">
        <f t="shared" si="18"/>
        <v>08</v>
      </c>
      <c r="F442" s="496">
        <v>25718</v>
      </c>
      <c r="G442" s="496" t="str">
        <f t="shared" si="19"/>
        <v>20107274724</v>
      </c>
    </row>
    <row r="443" spans="1:7">
      <c r="A443" s="496">
        <f t="shared" si="20"/>
        <v>442</v>
      </c>
      <c r="B443" s="496" t="s">
        <v>529</v>
      </c>
      <c r="C443" s="495" t="s">
        <v>85</v>
      </c>
      <c r="D443" s="497" t="s">
        <v>86</v>
      </c>
      <c r="E443" s="496" t="str">
        <f t="shared" si="18"/>
        <v>09</v>
      </c>
      <c r="F443" s="496">
        <v>25719</v>
      </c>
      <c r="G443" s="496" t="str">
        <f t="shared" si="19"/>
        <v>20107290177</v>
      </c>
    </row>
    <row r="444" spans="1:7">
      <c r="A444" s="496">
        <f t="shared" si="20"/>
        <v>443</v>
      </c>
      <c r="B444" s="496" t="s">
        <v>530</v>
      </c>
      <c r="C444" s="495" t="s">
        <v>88</v>
      </c>
      <c r="D444" s="497" t="s">
        <v>89</v>
      </c>
      <c r="E444" s="496" t="str">
        <f t="shared" si="18"/>
        <v>11</v>
      </c>
      <c r="F444" s="496">
        <v>25720</v>
      </c>
      <c r="G444" s="496" t="str">
        <f t="shared" si="19"/>
        <v>20107301128</v>
      </c>
    </row>
    <row r="445" spans="1:7">
      <c r="A445" s="496">
        <f t="shared" si="20"/>
        <v>444</v>
      </c>
      <c r="B445" s="496" t="s">
        <v>531</v>
      </c>
      <c r="C445" s="495" t="s">
        <v>91</v>
      </c>
      <c r="D445" s="497" t="s">
        <v>92</v>
      </c>
      <c r="E445" s="496" t="str">
        <f t="shared" si="18"/>
        <v>12</v>
      </c>
      <c r="F445" s="496">
        <v>25724</v>
      </c>
      <c r="G445" s="496" t="str">
        <f t="shared" si="19"/>
        <v>20107463705</v>
      </c>
    </row>
    <row r="446" spans="1:7">
      <c r="A446" s="496">
        <f t="shared" si="20"/>
        <v>445</v>
      </c>
      <c r="B446" s="496" t="s">
        <v>532</v>
      </c>
      <c r="C446" s="495" t="s">
        <v>77</v>
      </c>
      <c r="D446" s="497" t="s">
        <v>78</v>
      </c>
      <c r="E446" s="496" t="str">
        <f t="shared" si="18"/>
        <v>07</v>
      </c>
      <c r="F446" s="496">
        <v>25717</v>
      </c>
      <c r="G446" s="496" t="str">
        <f t="shared" si="19"/>
        <v>20107498088</v>
      </c>
    </row>
    <row r="447" spans="1:7">
      <c r="A447" s="496">
        <f t="shared" si="20"/>
        <v>446</v>
      </c>
      <c r="B447" s="496" t="s">
        <v>533</v>
      </c>
      <c r="C447" s="495" t="s">
        <v>82</v>
      </c>
      <c r="D447" s="497" t="s">
        <v>83</v>
      </c>
      <c r="E447" s="496" t="str">
        <f t="shared" si="18"/>
        <v>08</v>
      </c>
      <c r="F447" s="496">
        <v>25718</v>
      </c>
      <c r="G447" s="496" t="str">
        <f t="shared" si="19"/>
        <v>20107745948</v>
      </c>
    </row>
    <row r="448" spans="1:7">
      <c r="A448" s="496">
        <f t="shared" si="20"/>
        <v>447</v>
      </c>
      <c r="B448" s="496" t="s">
        <v>534</v>
      </c>
      <c r="C448" s="495" t="s">
        <v>85</v>
      </c>
      <c r="D448" s="497" t="s">
        <v>86</v>
      </c>
      <c r="E448" s="496" t="str">
        <f t="shared" si="18"/>
        <v>09</v>
      </c>
      <c r="F448" s="496">
        <v>25719</v>
      </c>
      <c r="G448" s="496" t="str">
        <f t="shared" si="19"/>
        <v>20107751913</v>
      </c>
    </row>
    <row r="449" spans="1:7">
      <c r="A449" s="496">
        <f t="shared" si="20"/>
        <v>448</v>
      </c>
      <c r="B449" s="496" t="s">
        <v>535</v>
      </c>
      <c r="C449" s="495" t="s">
        <v>88</v>
      </c>
      <c r="D449" s="497" t="s">
        <v>89</v>
      </c>
      <c r="E449" s="496" t="str">
        <f t="shared" si="18"/>
        <v>11</v>
      </c>
      <c r="F449" s="496">
        <v>25720</v>
      </c>
      <c r="G449" s="496" t="str">
        <f t="shared" si="19"/>
        <v>20107760581</v>
      </c>
    </row>
    <row r="450" spans="1:7">
      <c r="A450" s="496">
        <f t="shared" si="20"/>
        <v>449</v>
      </c>
      <c r="B450" s="496" t="s">
        <v>536</v>
      </c>
      <c r="C450" s="495" t="s">
        <v>91</v>
      </c>
      <c r="D450" s="497" t="s">
        <v>92</v>
      </c>
      <c r="E450" s="496" t="str">
        <f t="shared" si="18"/>
        <v>12</v>
      </c>
      <c r="F450" s="496">
        <v>25724</v>
      </c>
      <c r="G450" s="496" t="str">
        <f t="shared" si="19"/>
        <v>20107798049</v>
      </c>
    </row>
    <row r="451" spans="1:7">
      <c r="A451" s="496">
        <f t="shared" si="20"/>
        <v>450</v>
      </c>
      <c r="B451" s="496" t="s">
        <v>537</v>
      </c>
      <c r="C451" s="495" t="s">
        <v>77</v>
      </c>
      <c r="D451" s="497" t="s">
        <v>78</v>
      </c>
      <c r="E451" s="496" t="str">
        <f t="shared" ref="E451:E514" si="21">IF(MID(D451,14,1)="@",MID(D451,12,2),"0"&amp;MID(D451,12,1))</f>
        <v>07</v>
      </c>
      <c r="F451" s="496">
        <v>25717</v>
      </c>
      <c r="G451" s="496" t="str">
        <f t="shared" ref="G451:G514" si="22">CONCATENATE(B451)</f>
        <v>20107894609</v>
      </c>
    </row>
    <row r="452" spans="1:7">
      <c r="A452" s="496">
        <f t="shared" ref="A452:A515" si="23">+A451+1</f>
        <v>451</v>
      </c>
      <c r="B452" s="496" t="s">
        <v>538</v>
      </c>
      <c r="C452" s="495" t="s">
        <v>82</v>
      </c>
      <c r="D452" s="497" t="s">
        <v>83</v>
      </c>
      <c r="E452" s="496" t="str">
        <f t="shared" si="21"/>
        <v>08</v>
      </c>
      <c r="F452" s="496">
        <v>25718</v>
      </c>
      <c r="G452" s="496" t="str">
        <f t="shared" si="22"/>
        <v>20107895168</v>
      </c>
    </row>
    <row r="453" spans="1:7">
      <c r="A453" s="496">
        <f t="shared" si="23"/>
        <v>452</v>
      </c>
      <c r="B453" s="496" t="s">
        <v>539</v>
      </c>
      <c r="C453" s="495" t="s">
        <v>85</v>
      </c>
      <c r="D453" s="497" t="s">
        <v>86</v>
      </c>
      <c r="E453" s="496" t="str">
        <f t="shared" si="21"/>
        <v>09</v>
      </c>
      <c r="F453" s="496">
        <v>25719</v>
      </c>
      <c r="G453" s="496" t="str">
        <f t="shared" si="22"/>
        <v>20107945793</v>
      </c>
    </row>
    <row r="454" spans="1:7">
      <c r="A454" s="496">
        <f t="shared" si="23"/>
        <v>453</v>
      </c>
      <c r="B454" s="496" t="s">
        <v>540</v>
      </c>
      <c r="C454" s="495" t="s">
        <v>88</v>
      </c>
      <c r="D454" s="497" t="s">
        <v>89</v>
      </c>
      <c r="E454" s="496" t="str">
        <f t="shared" si="21"/>
        <v>11</v>
      </c>
      <c r="F454" s="496">
        <v>25720</v>
      </c>
      <c r="G454" s="496" t="str">
        <f t="shared" si="22"/>
        <v>20107974467</v>
      </c>
    </row>
    <row r="455" spans="1:7">
      <c r="A455" s="496">
        <f t="shared" si="23"/>
        <v>454</v>
      </c>
      <c r="B455" s="496" t="s">
        <v>541</v>
      </c>
      <c r="C455" s="495" t="s">
        <v>91</v>
      </c>
      <c r="D455" s="497" t="s">
        <v>92</v>
      </c>
      <c r="E455" s="496" t="str">
        <f t="shared" si="21"/>
        <v>12</v>
      </c>
      <c r="F455" s="496">
        <v>25724</v>
      </c>
      <c r="G455" s="496" t="str">
        <f t="shared" si="22"/>
        <v>20107977130</v>
      </c>
    </row>
    <row r="456" spans="1:7">
      <c r="A456" s="496">
        <f t="shared" si="23"/>
        <v>455</v>
      </c>
      <c r="B456" s="496" t="s">
        <v>542</v>
      </c>
      <c r="C456" s="495" t="s">
        <v>77</v>
      </c>
      <c r="D456" s="497" t="s">
        <v>78</v>
      </c>
      <c r="E456" s="496" t="str">
        <f t="shared" si="21"/>
        <v>07</v>
      </c>
      <c r="F456" s="496">
        <v>25717</v>
      </c>
      <c r="G456" s="496" t="str">
        <f t="shared" si="22"/>
        <v>20108001535</v>
      </c>
    </row>
    <row r="457" spans="1:7">
      <c r="A457" s="496">
        <f t="shared" si="23"/>
        <v>456</v>
      </c>
      <c r="B457" s="496" t="s">
        <v>543</v>
      </c>
      <c r="C457" s="495" t="s">
        <v>82</v>
      </c>
      <c r="D457" s="497" t="s">
        <v>83</v>
      </c>
      <c r="E457" s="496" t="str">
        <f t="shared" si="21"/>
        <v>08</v>
      </c>
      <c r="F457" s="496">
        <v>25718</v>
      </c>
      <c r="G457" s="496" t="str">
        <f t="shared" si="22"/>
        <v>20108022702</v>
      </c>
    </row>
    <row r="458" spans="1:7">
      <c r="A458" s="496">
        <f t="shared" si="23"/>
        <v>457</v>
      </c>
      <c r="B458" s="496" t="s">
        <v>544</v>
      </c>
      <c r="C458" s="495" t="s">
        <v>85</v>
      </c>
      <c r="D458" s="497" t="s">
        <v>86</v>
      </c>
      <c r="E458" s="496" t="str">
        <f t="shared" si="21"/>
        <v>09</v>
      </c>
      <c r="F458" s="496">
        <v>25719</v>
      </c>
      <c r="G458" s="496" t="str">
        <f t="shared" si="22"/>
        <v>20108236842</v>
      </c>
    </row>
    <row r="459" spans="1:7">
      <c r="A459" s="496">
        <f t="shared" si="23"/>
        <v>458</v>
      </c>
      <c r="B459" s="496" t="s">
        <v>545</v>
      </c>
      <c r="C459" s="495" t="s">
        <v>88</v>
      </c>
      <c r="D459" s="497" t="s">
        <v>89</v>
      </c>
      <c r="E459" s="496" t="str">
        <f t="shared" si="21"/>
        <v>11</v>
      </c>
      <c r="F459" s="496">
        <v>25720</v>
      </c>
      <c r="G459" s="496" t="str">
        <f t="shared" si="22"/>
        <v>20108237148</v>
      </c>
    </row>
    <row r="460" spans="1:7">
      <c r="A460" s="496">
        <f t="shared" si="23"/>
        <v>459</v>
      </c>
      <c r="B460" s="496" t="s">
        <v>546</v>
      </c>
      <c r="C460" s="495" t="s">
        <v>91</v>
      </c>
      <c r="D460" s="497" t="s">
        <v>92</v>
      </c>
      <c r="E460" s="496" t="str">
        <f t="shared" si="21"/>
        <v>12</v>
      </c>
      <c r="F460" s="496">
        <v>25724</v>
      </c>
      <c r="G460" s="496" t="str">
        <f t="shared" si="22"/>
        <v>20108552841</v>
      </c>
    </row>
    <row r="461" spans="1:7">
      <c r="A461" s="496">
        <f t="shared" si="23"/>
        <v>460</v>
      </c>
      <c r="B461" s="496" t="s">
        <v>547</v>
      </c>
      <c r="C461" s="495" t="s">
        <v>77</v>
      </c>
      <c r="D461" s="497" t="s">
        <v>78</v>
      </c>
      <c r="E461" s="496" t="str">
        <f t="shared" si="21"/>
        <v>07</v>
      </c>
      <c r="F461" s="496">
        <v>25717</v>
      </c>
      <c r="G461" s="496" t="str">
        <f t="shared" si="22"/>
        <v>20108572958</v>
      </c>
    </row>
    <row r="462" spans="1:7">
      <c r="A462" s="496">
        <f t="shared" si="23"/>
        <v>461</v>
      </c>
      <c r="B462" s="496" t="s">
        <v>548</v>
      </c>
      <c r="C462" s="495" t="s">
        <v>82</v>
      </c>
      <c r="D462" s="497" t="s">
        <v>83</v>
      </c>
      <c r="E462" s="496" t="str">
        <f t="shared" si="21"/>
        <v>08</v>
      </c>
      <c r="F462" s="496">
        <v>25718</v>
      </c>
      <c r="G462" s="496" t="str">
        <f t="shared" si="22"/>
        <v>20108629909</v>
      </c>
    </row>
    <row r="463" spans="1:7">
      <c r="A463" s="496">
        <f t="shared" si="23"/>
        <v>462</v>
      </c>
      <c r="B463" s="496" t="s">
        <v>549</v>
      </c>
      <c r="C463" s="495" t="s">
        <v>85</v>
      </c>
      <c r="D463" s="497" t="s">
        <v>86</v>
      </c>
      <c r="E463" s="496" t="str">
        <f t="shared" si="21"/>
        <v>09</v>
      </c>
      <c r="F463" s="496">
        <v>25719</v>
      </c>
      <c r="G463" s="496" t="str">
        <f t="shared" si="22"/>
        <v>20108736659</v>
      </c>
    </row>
    <row r="464" spans="1:7">
      <c r="A464" s="496">
        <f t="shared" si="23"/>
        <v>463</v>
      </c>
      <c r="B464" s="496" t="s">
        <v>550</v>
      </c>
      <c r="C464" s="495" t="s">
        <v>88</v>
      </c>
      <c r="D464" s="497" t="s">
        <v>89</v>
      </c>
      <c r="E464" s="496" t="str">
        <f t="shared" si="21"/>
        <v>11</v>
      </c>
      <c r="F464" s="496">
        <v>25720</v>
      </c>
      <c r="G464" s="496" t="str">
        <f t="shared" si="22"/>
        <v>20108759519</v>
      </c>
    </row>
    <row r="465" spans="1:7">
      <c r="A465" s="496">
        <f t="shared" si="23"/>
        <v>464</v>
      </c>
      <c r="B465" s="496" t="s">
        <v>551</v>
      </c>
      <c r="C465" s="495" t="s">
        <v>91</v>
      </c>
      <c r="D465" s="497" t="s">
        <v>92</v>
      </c>
      <c r="E465" s="496" t="str">
        <f t="shared" si="21"/>
        <v>12</v>
      </c>
      <c r="F465" s="496">
        <v>25724</v>
      </c>
      <c r="G465" s="496" t="str">
        <f t="shared" si="22"/>
        <v>20109068498</v>
      </c>
    </row>
    <row r="466" spans="1:7">
      <c r="A466" s="496">
        <f t="shared" si="23"/>
        <v>465</v>
      </c>
      <c r="B466" s="496" t="s">
        <v>552</v>
      </c>
      <c r="C466" s="495" t="s">
        <v>77</v>
      </c>
      <c r="D466" s="497" t="s">
        <v>78</v>
      </c>
      <c r="E466" s="496" t="str">
        <f t="shared" si="21"/>
        <v>07</v>
      </c>
      <c r="F466" s="496">
        <v>25717</v>
      </c>
      <c r="G466" s="496" t="str">
        <f t="shared" si="22"/>
        <v>20109099377</v>
      </c>
    </row>
    <row r="467" spans="1:7">
      <c r="A467" s="496">
        <f t="shared" si="23"/>
        <v>466</v>
      </c>
      <c r="B467" s="496" t="s">
        <v>553</v>
      </c>
      <c r="C467" s="495" t="s">
        <v>82</v>
      </c>
      <c r="D467" s="497" t="s">
        <v>83</v>
      </c>
      <c r="E467" s="496" t="str">
        <f t="shared" si="21"/>
        <v>08</v>
      </c>
      <c r="F467" s="496">
        <v>25718</v>
      </c>
      <c r="G467" s="496" t="str">
        <f t="shared" si="22"/>
        <v>20109221601</v>
      </c>
    </row>
    <row r="468" spans="1:7">
      <c r="A468" s="496">
        <f t="shared" si="23"/>
        <v>467</v>
      </c>
      <c r="B468" s="496" t="s">
        <v>554</v>
      </c>
      <c r="C468" s="495" t="s">
        <v>85</v>
      </c>
      <c r="D468" s="497" t="s">
        <v>86</v>
      </c>
      <c r="E468" s="496" t="str">
        <f t="shared" si="21"/>
        <v>09</v>
      </c>
      <c r="F468" s="496">
        <v>25719</v>
      </c>
      <c r="G468" s="496" t="str">
        <f t="shared" si="22"/>
        <v>20109225003</v>
      </c>
    </row>
    <row r="469" spans="1:7">
      <c r="A469" s="496">
        <f t="shared" si="23"/>
        <v>468</v>
      </c>
      <c r="B469" s="496" t="s">
        <v>555</v>
      </c>
      <c r="C469" s="495" t="s">
        <v>88</v>
      </c>
      <c r="D469" s="497" t="s">
        <v>89</v>
      </c>
      <c r="E469" s="496" t="str">
        <f t="shared" si="21"/>
        <v>11</v>
      </c>
      <c r="F469" s="496">
        <v>25720</v>
      </c>
      <c r="G469" s="496" t="str">
        <f t="shared" si="22"/>
        <v>20109232981</v>
      </c>
    </row>
    <row r="470" spans="1:7">
      <c r="A470" s="496">
        <f t="shared" si="23"/>
        <v>469</v>
      </c>
      <c r="B470" s="496" t="s">
        <v>556</v>
      </c>
      <c r="C470" s="495" t="s">
        <v>91</v>
      </c>
      <c r="D470" s="497" t="s">
        <v>92</v>
      </c>
      <c r="E470" s="496" t="str">
        <f t="shared" si="21"/>
        <v>12</v>
      </c>
      <c r="F470" s="496">
        <v>25724</v>
      </c>
      <c r="G470" s="496" t="str">
        <f t="shared" si="22"/>
        <v>20109346722</v>
      </c>
    </row>
    <row r="471" spans="1:7">
      <c r="A471" s="496">
        <f t="shared" si="23"/>
        <v>470</v>
      </c>
      <c r="B471" s="496" t="s">
        <v>557</v>
      </c>
      <c r="C471" s="495" t="s">
        <v>77</v>
      </c>
      <c r="D471" s="497" t="s">
        <v>78</v>
      </c>
      <c r="E471" s="496" t="str">
        <f t="shared" si="21"/>
        <v>07</v>
      </c>
      <c r="F471" s="496">
        <v>25717</v>
      </c>
      <c r="G471" s="496" t="str">
        <f t="shared" si="22"/>
        <v>20109436713</v>
      </c>
    </row>
    <row r="472" spans="1:7">
      <c r="A472" s="496">
        <f t="shared" si="23"/>
        <v>471</v>
      </c>
      <c r="B472" s="496" t="s">
        <v>558</v>
      </c>
      <c r="C472" s="495" t="s">
        <v>82</v>
      </c>
      <c r="D472" s="497" t="s">
        <v>83</v>
      </c>
      <c r="E472" s="496" t="str">
        <f t="shared" si="21"/>
        <v>08</v>
      </c>
      <c r="F472" s="496">
        <v>25718</v>
      </c>
      <c r="G472" s="496" t="str">
        <f t="shared" si="22"/>
        <v>20109714039</v>
      </c>
    </row>
    <row r="473" spans="1:7">
      <c r="A473" s="496">
        <f t="shared" si="23"/>
        <v>472</v>
      </c>
      <c r="B473" s="496" t="s">
        <v>559</v>
      </c>
      <c r="C473" s="495" t="s">
        <v>85</v>
      </c>
      <c r="D473" s="497" t="s">
        <v>86</v>
      </c>
      <c r="E473" s="496" t="str">
        <f t="shared" si="21"/>
        <v>09</v>
      </c>
      <c r="F473" s="496">
        <v>25719</v>
      </c>
      <c r="G473" s="496" t="str">
        <f t="shared" si="22"/>
        <v>20109730743</v>
      </c>
    </row>
    <row r="474" spans="1:7">
      <c r="A474" s="496">
        <f t="shared" si="23"/>
        <v>473</v>
      </c>
      <c r="B474" s="496" t="s">
        <v>560</v>
      </c>
      <c r="C474" s="495" t="s">
        <v>88</v>
      </c>
      <c r="D474" s="497" t="s">
        <v>89</v>
      </c>
      <c r="E474" s="496" t="str">
        <f t="shared" si="21"/>
        <v>11</v>
      </c>
      <c r="F474" s="496">
        <v>25720</v>
      </c>
      <c r="G474" s="496" t="str">
        <f t="shared" si="22"/>
        <v>20109796841</v>
      </c>
    </row>
    <row r="475" spans="1:7">
      <c r="A475" s="496">
        <f t="shared" si="23"/>
        <v>474</v>
      </c>
      <c r="B475" s="496" t="s">
        <v>561</v>
      </c>
      <c r="C475" s="495" t="s">
        <v>91</v>
      </c>
      <c r="D475" s="497" t="s">
        <v>92</v>
      </c>
      <c r="E475" s="496" t="str">
        <f t="shared" si="21"/>
        <v>12</v>
      </c>
      <c r="F475" s="496">
        <v>25724</v>
      </c>
      <c r="G475" s="496" t="str">
        <f t="shared" si="22"/>
        <v>20109888291</v>
      </c>
    </row>
    <row r="476" spans="1:7">
      <c r="A476" s="496">
        <f t="shared" si="23"/>
        <v>475</v>
      </c>
      <c r="B476" s="496" t="s">
        <v>562</v>
      </c>
      <c r="C476" s="495" t="s">
        <v>77</v>
      </c>
      <c r="D476" s="497" t="s">
        <v>78</v>
      </c>
      <c r="E476" s="496" t="str">
        <f t="shared" si="21"/>
        <v>07</v>
      </c>
      <c r="F476" s="496">
        <v>25717</v>
      </c>
      <c r="G476" s="496" t="str">
        <f t="shared" si="22"/>
        <v>20109922731</v>
      </c>
    </row>
    <row r="477" spans="1:7">
      <c r="A477" s="496">
        <f t="shared" si="23"/>
        <v>476</v>
      </c>
      <c r="B477" s="496" t="s">
        <v>563</v>
      </c>
      <c r="C477" s="495" t="s">
        <v>82</v>
      </c>
      <c r="D477" s="497" t="s">
        <v>83</v>
      </c>
      <c r="E477" s="496" t="str">
        <f t="shared" si="21"/>
        <v>08</v>
      </c>
      <c r="F477" s="496">
        <v>25718</v>
      </c>
      <c r="G477" s="496" t="str">
        <f t="shared" si="22"/>
        <v>20109925757</v>
      </c>
    </row>
    <row r="478" spans="1:7">
      <c r="A478" s="496">
        <f t="shared" si="23"/>
        <v>477</v>
      </c>
      <c r="B478" s="496" t="s">
        <v>564</v>
      </c>
      <c r="C478" s="495" t="s">
        <v>85</v>
      </c>
      <c r="D478" s="497" t="s">
        <v>86</v>
      </c>
      <c r="E478" s="496" t="str">
        <f t="shared" si="21"/>
        <v>09</v>
      </c>
      <c r="F478" s="496">
        <v>25719</v>
      </c>
      <c r="G478" s="496" t="str">
        <f t="shared" si="22"/>
        <v>20109930751</v>
      </c>
    </row>
    <row r="479" spans="1:7">
      <c r="A479" s="496">
        <f t="shared" si="23"/>
        <v>478</v>
      </c>
      <c r="B479" s="496" t="s">
        <v>565</v>
      </c>
      <c r="C479" s="495" t="s">
        <v>91</v>
      </c>
      <c r="D479" s="497" t="s">
        <v>92</v>
      </c>
      <c r="E479" s="496" t="str">
        <f t="shared" si="21"/>
        <v>12</v>
      </c>
      <c r="F479" s="496">
        <v>25724</v>
      </c>
      <c r="G479" s="496" t="str">
        <f t="shared" si="22"/>
        <v>20109969452</v>
      </c>
    </row>
    <row r="480" spans="1:7">
      <c r="A480" s="496">
        <f t="shared" si="23"/>
        <v>479</v>
      </c>
      <c r="B480" s="496" t="s">
        <v>566</v>
      </c>
      <c r="C480" s="495" t="s">
        <v>88</v>
      </c>
      <c r="D480" s="497" t="s">
        <v>89</v>
      </c>
      <c r="E480" s="496" t="str">
        <f t="shared" si="21"/>
        <v>11</v>
      </c>
      <c r="F480" s="496">
        <v>25720</v>
      </c>
      <c r="G480" s="496" t="str">
        <f t="shared" si="22"/>
        <v>20109986462</v>
      </c>
    </row>
    <row r="481" spans="1:7">
      <c r="A481" s="496">
        <f t="shared" si="23"/>
        <v>480</v>
      </c>
      <c r="B481" s="496" t="s">
        <v>567</v>
      </c>
      <c r="C481" s="495" t="s">
        <v>91</v>
      </c>
      <c r="D481" s="497" t="s">
        <v>92</v>
      </c>
      <c r="E481" s="496" t="str">
        <f t="shared" si="21"/>
        <v>12</v>
      </c>
      <c r="F481" s="496">
        <v>25724</v>
      </c>
      <c r="G481" s="496" t="str">
        <f t="shared" si="22"/>
        <v>20109989992</v>
      </c>
    </row>
    <row r="482" spans="1:7">
      <c r="A482" s="496">
        <f t="shared" si="23"/>
        <v>481</v>
      </c>
      <c r="B482" s="496" t="s">
        <v>568</v>
      </c>
      <c r="C482" s="495" t="s">
        <v>77</v>
      </c>
      <c r="D482" s="497" t="s">
        <v>78</v>
      </c>
      <c r="E482" s="496" t="str">
        <f t="shared" si="21"/>
        <v>07</v>
      </c>
      <c r="F482" s="496">
        <v>25717</v>
      </c>
      <c r="G482" s="496" t="str">
        <f t="shared" si="22"/>
        <v>20110133091</v>
      </c>
    </row>
    <row r="483" spans="1:7">
      <c r="A483" s="496">
        <f t="shared" si="23"/>
        <v>482</v>
      </c>
      <c r="B483" s="496" t="s">
        <v>569</v>
      </c>
      <c r="C483" s="495" t="s">
        <v>82</v>
      </c>
      <c r="D483" s="497" t="s">
        <v>83</v>
      </c>
      <c r="E483" s="496" t="str">
        <f t="shared" si="21"/>
        <v>08</v>
      </c>
      <c r="F483" s="496">
        <v>25718</v>
      </c>
      <c r="G483" s="496" t="str">
        <f t="shared" si="22"/>
        <v>20110200201</v>
      </c>
    </row>
    <row r="484" spans="1:7">
      <c r="A484" s="496">
        <f t="shared" si="23"/>
        <v>483</v>
      </c>
      <c r="B484" s="496" t="s">
        <v>570</v>
      </c>
      <c r="C484" s="495" t="s">
        <v>85</v>
      </c>
      <c r="D484" s="497" t="s">
        <v>86</v>
      </c>
      <c r="E484" s="496" t="str">
        <f t="shared" si="21"/>
        <v>09</v>
      </c>
      <c r="F484" s="496">
        <v>25719</v>
      </c>
      <c r="G484" s="496" t="str">
        <f t="shared" si="22"/>
        <v>20110343907</v>
      </c>
    </row>
    <row r="485" spans="1:7">
      <c r="A485" s="496">
        <f t="shared" si="23"/>
        <v>484</v>
      </c>
      <c r="B485" s="496" t="s">
        <v>571</v>
      </c>
      <c r="C485" s="495" t="s">
        <v>88</v>
      </c>
      <c r="D485" s="497" t="s">
        <v>89</v>
      </c>
      <c r="E485" s="496" t="str">
        <f t="shared" si="21"/>
        <v>11</v>
      </c>
      <c r="F485" s="496">
        <v>25720</v>
      </c>
      <c r="G485" s="496" t="str">
        <f t="shared" si="22"/>
        <v>20110366516</v>
      </c>
    </row>
    <row r="486" spans="1:7">
      <c r="A486" s="496">
        <f t="shared" si="23"/>
        <v>485</v>
      </c>
      <c r="B486" s="496" t="s">
        <v>572</v>
      </c>
      <c r="C486" s="495" t="s">
        <v>91</v>
      </c>
      <c r="D486" s="497" t="s">
        <v>92</v>
      </c>
      <c r="E486" s="496" t="str">
        <f t="shared" si="21"/>
        <v>12</v>
      </c>
      <c r="F486" s="496">
        <v>25724</v>
      </c>
      <c r="G486" s="496" t="str">
        <f t="shared" si="22"/>
        <v>20110366605</v>
      </c>
    </row>
    <row r="487" spans="1:7">
      <c r="A487" s="496">
        <f t="shared" si="23"/>
        <v>486</v>
      </c>
      <c r="B487" s="496" t="s">
        <v>573</v>
      </c>
      <c r="C487" s="495" t="s">
        <v>77</v>
      </c>
      <c r="D487" s="497" t="s">
        <v>78</v>
      </c>
      <c r="E487" s="496" t="str">
        <f t="shared" si="21"/>
        <v>07</v>
      </c>
      <c r="F487" s="496">
        <v>25717</v>
      </c>
      <c r="G487" s="496" t="str">
        <f t="shared" si="22"/>
        <v>20110378956</v>
      </c>
    </row>
    <row r="488" spans="1:7">
      <c r="A488" s="496">
        <f t="shared" si="23"/>
        <v>487</v>
      </c>
      <c r="B488" s="496" t="s">
        <v>574</v>
      </c>
      <c r="C488" s="495" t="s">
        <v>82</v>
      </c>
      <c r="D488" s="497" t="s">
        <v>83</v>
      </c>
      <c r="E488" s="496" t="str">
        <f t="shared" si="21"/>
        <v>08</v>
      </c>
      <c r="F488" s="496">
        <v>25718</v>
      </c>
      <c r="G488" s="496" t="str">
        <f t="shared" si="22"/>
        <v>20110386894</v>
      </c>
    </row>
    <row r="489" spans="1:7">
      <c r="A489" s="496">
        <f t="shared" si="23"/>
        <v>488</v>
      </c>
      <c r="B489" s="496" t="s">
        <v>575</v>
      </c>
      <c r="C489" s="495" t="s">
        <v>85</v>
      </c>
      <c r="D489" s="497" t="s">
        <v>86</v>
      </c>
      <c r="E489" s="496" t="str">
        <f t="shared" si="21"/>
        <v>09</v>
      </c>
      <c r="F489" s="496">
        <v>25719</v>
      </c>
      <c r="G489" s="496" t="str">
        <f t="shared" si="22"/>
        <v>20110598646</v>
      </c>
    </row>
    <row r="490" spans="1:7">
      <c r="A490" s="496">
        <f t="shared" si="23"/>
        <v>489</v>
      </c>
      <c r="B490" s="496" t="s">
        <v>576</v>
      </c>
      <c r="C490" s="495" t="s">
        <v>88</v>
      </c>
      <c r="D490" s="497" t="s">
        <v>89</v>
      </c>
      <c r="E490" s="496" t="str">
        <f t="shared" si="21"/>
        <v>11</v>
      </c>
      <c r="F490" s="496">
        <v>25720</v>
      </c>
      <c r="G490" s="496" t="str">
        <f t="shared" si="22"/>
        <v>20110694955</v>
      </c>
    </row>
    <row r="491" spans="1:7" s="498" customFormat="1">
      <c r="A491" s="496">
        <f t="shared" si="23"/>
        <v>490</v>
      </c>
      <c r="B491" s="496" t="s">
        <v>577</v>
      </c>
      <c r="C491" s="495" t="s">
        <v>91</v>
      </c>
      <c r="D491" s="497" t="s">
        <v>92</v>
      </c>
      <c r="E491" s="496" t="str">
        <f t="shared" si="21"/>
        <v>12</v>
      </c>
      <c r="F491" s="496">
        <v>25724</v>
      </c>
      <c r="G491" s="496" t="str">
        <f t="shared" si="22"/>
        <v>20110731826</v>
      </c>
    </row>
    <row r="492" spans="1:7">
      <c r="A492" s="496">
        <f t="shared" si="23"/>
        <v>491</v>
      </c>
      <c r="B492" s="496" t="s">
        <v>578</v>
      </c>
      <c r="C492" s="495" t="s">
        <v>77</v>
      </c>
      <c r="D492" s="497" t="s">
        <v>78</v>
      </c>
      <c r="E492" s="496" t="str">
        <f t="shared" si="21"/>
        <v>07</v>
      </c>
      <c r="F492" s="496">
        <v>25717</v>
      </c>
      <c r="G492" s="496" t="str">
        <f t="shared" si="22"/>
        <v>20110837144</v>
      </c>
    </row>
    <row r="493" spans="1:7">
      <c r="A493" s="496">
        <f t="shared" si="23"/>
        <v>492</v>
      </c>
      <c r="B493" s="496" t="s">
        <v>579</v>
      </c>
      <c r="C493" s="495" t="s">
        <v>82</v>
      </c>
      <c r="D493" s="497" t="s">
        <v>83</v>
      </c>
      <c r="E493" s="496" t="str">
        <f t="shared" si="21"/>
        <v>08</v>
      </c>
      <c r="F493" s="496">
        <v>25718</v>
      </c>
      <c r="G493" s="496" t="str">
        <f t="shared" si="22"/>
        <v>20111035378</v>
      </c>
    </row>
    <row r="494" spans="1:7">
      <c r="A494" s="496">
        <f t="shared" si="23"/>
        <v>493</v>
      </c>
      <c r="B494" s="496" t="s">
        <v>580</v>
      </c>
      <c r="C494" s="495" t="s">
        <v>85</v>
      </c>
      <c r="D494" s="497" t="s">
        <v>86</v>
      </c>
      <c r="E494" s="496" t="str">
        <f t="shared" si="21"/>
        <v>09</v>
      </c>
      <c r="F494" s="496">
        <v>25719</v>
      </c>
      <c r="G494" s="496" t="str">
        <f t="shared" si="22"/>
        <v>20111451592</v>
      </c>
    </row>
    <row r="495" spans="1:7">
      <c r="A495" s="496">
        <f t="shared" si="23"/>
        <v>494</v>
      </c>
      <c r="B495" s="496" t="s">
        <v>581</v>
      </c>
      <c r="C495" s="495" t="s">
        <v>88</v>
      </c>
      <c r="D495" s="497" t="s">
        <v>89</v>
      </c>
      <c r="E495" s="496" t="str">
        <f t="shared" si="21"/>
        <v>11</v>
      </c>
      <c r="F495" s="496">
        <v>25720</v>
      </c>
      <c r="G495" s="496" t="str">
        <f t="shared" si="22"/>
        <v>20111807958</v>
      </c>
    </row>
    <row r="496" spans="1:7">
      <c r="A496" s="496">
        <f t="shared" si="23"/>
        <v>495</v>
      </c>
      <c r="B496" s="496" t="s">
        <v>582</v>
      </c>
      <c r="C496" s="495" t="s">
        <v>91</v>
      </c>
      <c r="D496" s="497" t="s">
        <v>92</v>
      </c>
      <c r="E496" s="496" t="str">
        <f t="shared" si="21"/>
        <v>12</v>
      </c>
      <c r="F496" s="496">
        <v>25724</v>
      </c>
      <c r="G496" s="496" t="str">
        <f t="shared" si="22"/>
        <v>20111876097</v>
      </c>
    </row>
    <row r="497" spans="1:7">
      <c r="A497" s="496">
        <f t="shared" si="23"/>
        <v>496</v>
      </c>
      <c r="B497" s="496" t="s">
        <v>583</v>
      </c>
      <c r="C497" s="495" t="s">
        <v>77</v>
      </c>
      <c r="D497" s="497" t="s">
        <v>78</v>
      </c>
      <c r="E497" s="496" t="str">
        <f t="shared" si="21"/>
        <v>07</v>
      </c>
      <c r="F497" s="496">
        <v>25717</v>
      </c>
      <c r="G497" s="496" t="str">
        <f t="shared" si="22"/>
        <v>20112291238</v>
      </c>
    </row>
    <row r="498" spans="1:7">
      <c r="A498" s="496">
        <f t="shared" si="23"/>
        <v>497</v>
      </c>
      <c r="B498" s="496" t="s">
        <v>584</v>
      </c>
      <c r="C498" s="495" t="s">
        <v>82</v>
      </c>
      <c r="D498" s="497" t="s">
        <v>83</v>
      </c>
      <c r="E498" s="496" t="str">
        <f t="shared" si="21"/>
        <v>08</v>
      </c>
      <c r="F498" s="496">
        <v>25718</v>
      </c>
      <c r="G498" s="496" t="str">
        <f t="shared" si="22"/>
        <v>20112316249</v>
      </c>
    </row>
    <row r="499" spans="1:7">
      <c r="A499" s="496">
        <f t="shared" si="23"/>
        <v>498</v>
      </c>
      <c r="B499" s="496" t="s">
        <v>585</v>
      </c>
      <c r="C499" s="495" t="s">
        <v>85</v>
      </c>
      <c r="D499" s="497" t="s">
        <v>86</v>
      </c>
      <c r="E499" s="496" t="str">
        <f t="shared" si="21"/>
        <v>09</v>
      </c>
      <c r="F499" s="496">
        <v>25719</v>
      </c>
      <c r="G499" s="496" t="str">
        <f t="shared" si="22"/>
        <v>20112328174</v>
      </c>
    </row>
    <row r="500" spans="1:7">
      <c r="A500" s="496">
        <f t="shared" si="23"/>
        <v>499</v>
      </c>
      <c r="B500" s="496" t="s">
        <v>586</v>
      </c>
      <c r="C500" s="495" t="s">
        <v>88</v>
      </c>
      <c r="D500" s="497" t="s">
        <v>89</v>
      </c>
      <c r="E500" s="496" t="str">
        <f t="shared" si="21"/>
        <v>11</v>
      </c>
      <c r="F500" s="496">
        <v>25720</v>
      </c>
      <c r="G500" s="496" t="str">
        <f t="shared" si="22"/>
        <v>20112841912</v>
      </c>
    </row>
    <row r="501" spans="1:7">
      <c r="A501" s="496">
        <f t="shared" si="23"/>
        <v>500</v>
      </c>
      <c r="B501" s="496" t="s">
        <v>587</v>
      </c>
      <c r="C501" s="495" t="s">
        <v>91</v>
      </c>
      <c r="D501" s="497" t="s">
        <v>92</v>
      </c>
      <c r="E501" s="496" t="str">
        <f t="shared" si="21"/>
        <v>12</v>
      </c>
      <c r="F501" s="496">
        <v>25724</v>
      </c>
      <c r="G501" s="496" t="str">
        <f t="shared" si="22"/>
        <v>20112844423</v>
      </c>
    </row>
    <row r="502" spans="1:7">
      <c r="A502" s="496">
        <f t="shared" si="23"/>
        <v>501</v>
      </c>
      <c r="B502" s="496" t="s">
        <v>588</v>
      </c>
      <c r="C502" s="495" t="s">
        <v>77</v>
      </c>
      <c r="D502" s="497" t="s">
        <v>78</v>
      </c>
      <c r="E502" s="496" t="str">
        <f t="shared" si="21"/>
        <v>07</v>
      </c>
      <c r="F502" s="496">
        <v>25717</v>
      </c>
      <c r="G502" s="496" t="str">
        <f t="shared" si="22"/>
        <v>20112949101</v>
      </c>
    </row>
    <row r="503" spans="1:7">
      <c r="A503" s="496">
        <f t="shared" si="23"/>
        <v>502</v>
      </c>
      <c r="B503" s="496" t="s">
        <v>589</v>
      </c>
      <c r="C503" s="495" t="s">
        <v>82</v>
      </c>
      <c r="D503" s="497" t="s">
        <v>83</v>
      </c>
      <c r="E503" s="496" t="str">
        <f t="shared" si="21"/>
        <v>08</v>
      </c>
      <c r="F503" s="496">
        <v>25718</v>
      </c>
      <c r="G503" s="496" t="str">
        <f t="shared" si="22"/>
        <v>20113642093</v>
      </c>
    </row>
    <row r="504" spans="1:7">
      <c r="A504" s="496">
        <f t="shared" si="23"/>
        <v>503</v>
      </c>
      <c r="B504" s="496" t="s">
        <v>590</v>
      </c>
      <c r="C504" s="495" t="s">
        <v>85</v>
      </c>
      <c r="D504" s="497" t="s">
        <v>86</v>
      </c>
      <c r="E504" s="496" t="str">
        <f t="shared" si="21"/>
        <v>09</v>
      </c>
      <c r="F504" s="496">
        <v>25719</v>
      </c>
      <c r="G504" s="496" t="str">
        <f t="shared" si="22"/>
        <v>20115039262</v>
      </c>
    </row>
    <row r="505" spans="1:7">
      <c r="A505" s="496">
        <f t="shared" si="23"/>
        <v>504</v>
      </c>
      <c r="B505" s="496" t="s">
        <v>591</v>
      </c>
      <c r="C505" s="495" t="s">
        <v>88</v>
      </c>
      <c r="D505" s="497" t="s">
        <v>89</v>
      </c>
      <c r="E505" s="496" t="str">
        <f t="shared" si="21"/>
        <v>11</v>
      </c>
      <c r="F505" s="496">
        <v>25720</v>
      </c>
      <c r="G505" s="496" t="str">
        <f t="shared" si="22"/>
        <v>20115683196</v>
      </c>
    </row>
    <row r="506" spans="1:7">
      <c r="A506" s="496">
        <f t="shared" si="23"/>
        <v>505</v>
      </c>
      <c r="B506" s="496" t="s">
        <v>592</v>
      </c>
      <c r="C506" s="495" t="s">
        <v>91</v>
      </c>
      <c r="D506" s="497" t="s">
        <v>92</v>
      </c>
      <c r="E506" s="496" t="str">
        <f t="shared" si="21"/>
        <v>12</v>
      </c>
      <c r="F506" s="496">
        <v>25724</v>
      </c>
      <c r="G506" s="496" t="str">
        <f t="shared" si="22"/>
        <v>20116225779</v>
      </c>
    </row>
    <row r="507" spans="1:7">
      <c r="A507" s="496">
        <f t="shared" si="23"/>
        <v>506</v>
      </c>
      <c r="B507" s="496" t="s">
        <v>593</v>
      </c>
      <c r="C507" s="495" t="s">
        <v>77</v>
      </c>
      <c r="D507" s="497" t="s">
        <v>78</v>
      </c>
      <c r="E507" s="496" t="str">
        <f t="shared" si="21"/>
        <v>07</v>
      </c>
      <c r="F507" s="496">
        <v>25717</v>
      </c>
      <c r="G507" s="496" t="str">
        <f t="shared" si="22"/>
        <v>20116544289</v>
      </c>
    </row>
    <row r="508" spans="1:7">
      <c r="A508" s="496">
        <f t="shared" si="23"/>
        <v>507</v>
      </c>
      <c r="B508" s="496" t="s">
        <v>594</v>
      </c>
      <c r="C508" s="495" t="s">
        <v>82</v>
      </c>
      <c r="D508" s="497" t="s">
        <v>83</v>
      </c>
      <c r="E508" s="496" t="str">
        <f t="shared" si="21"/>
        <v>08</v>
      </c>
      <c r="F508" s="496">
        <v>25718</v>
      </c>
      <c r="G508" s="496" t="str">
        <f t="shared" si="22"/>
        <v>20117248179</v>
      </c>
    </row>
    <row r="509" spans="1:7">
      <c r="A509" s="496">
        <f t="shared" si="23"/>
        <v>508</v>
      </c>
      <c r="B509" s="496" t="s">
        <v>595</v>
      </c>
      <c r="C509" s="495" t="s">
        <v>85</v>
      </c>
      <c r="D509" s="497" t="s">
        <v>86</v>
      </c>
      <c r="E509" s="496" t="str">
        <f t="shared" si="21"/>
        <v>09</v>
      </c>
      <c r="F509" s="496">
        <v>25719</v>
      </c>
      <c r="G509" s="496" t="str">
        <f t="shared" si="22"/>
        <v>20117331823</v>
      </c>
    </row>
    <row r="510" spans="1:7">
      <c r="A510" s="496">
        <f t="shared" si="23"/>
        <v>509</v>
      </c>
      <c r="B510" s="496" t="s">
        <v>596</v>
      </c>
      <c r="C510" s="495" t="s">
        <v>88</v>
      </c>
      <c r="D510" s="497" t="s">
        <v>89</v>
      </c>
      <c r="E510" s="496" t="str">
        <f t="shared" si="21"/>
        <v>11</v>
      </c>
      <c r="F510" s="496">
        <v>25720</v>
      </c>
      <c r="G510" s="496" t="str">
        <f t="shared" si="22"/>
        <v>20117332714</v>
      </c>
    </row>
    <row r="511" spans="1:7">
      <c r="A511" s="496">
        <f t="shared" si="23"/>
        <v>510</v>
      </c>
      <c r="B511" s="496" t="s">
        <v>597</v>
      </c>
      <c r="C511" s="495" t="s">
        <v>91</v>
      </c>
      <c r="D511" s="497" t="s">
        <v>92</v>
      </c>
      <c r="E511" s="496" t="str">
        <f t="shared" si="21"/>
        <v>12</v>
      </c>
      <c r="F511" s="496">
        <v>25724</v>
      </c>
      <c r="G511" s="496" t="str">
        <f t="shared" si="22"/>
        <v>20117336205</v>
      </c>
    </row>
    <row r="512" spans="1:7">
      <c r="A512" s="496">
        <f t="shared" si="23"/>
        <v>511</v>
      </c>
      <c r="B512" s="496" t="s">
        <v>598</v>
      </c>
      <c r="C512" s="495" t="s">
        <v>77</v>
      </c>
      <c r="D512" s="497" t="s">
        <v>78</v>
      </c>
      <c r="E512" s="496" t="str">
        <f t="shared" si="21"/>
        <v>07</v>
      </c>
      <c r="F512" s="496">
        <v>25717</v>
      </c>
      <c r="G512" s="496" t="str">
        <f t="shared" si="22"/>
        <v>20117452531</v>
      </c>
    </row>
    <row r="513" spans="1:7">
      <c r="A513" s="496">
        <f t="shared" si="23"/>
        <v>512</v>
      </c>
      <c r="B513" s="496" t="s">
        <v>599</v>
      </c>
      <c r="C513" s="495" t="s">
        <v>82</v>
      </c>
      <c r="D513" s="497" t="s">
        <v>83</v>
      </c>
      <c r="E513" s="496" t="str">
        <f t="shared" si="21"/>
        <v>08</v>
      </c>
      <c r="F513" s="496">
        <v>25718</v>
      </c>
      <c r="G513" s="496" t="str">
        <f t="shared" si="22"/>
        <v>20117920144</v>
      </c>
    </row>
    <row r="514" spans="1:7">
      <c r="A514" s="496">
        <f t="shared" si="23"/>
        <v>513</v>
      </c>
      <c r="B514" s="496" t="s">
        <v>600</v>
      </c>
      <c r="C514" s="495" t="s">
        <v>85</v>
      </c>
      <c r="D514" s="497" t="s">
        <v>86</v>
      </c>
      <c r="E514" s="496" t="str">
        <f t="shared" si="21"/>
        <v>09</v>
      </c>
      <c r="F514" s="496">
        <v>25719</v>
      </c>
      <c r="G514" s="496" t="str">
        <f t="shared" si="22"/>
        <v>20118504055</v>
      </c>
    </row>
    <row r="515" spans="1:7">
      <c r="A515" s="496">
        <f t="shared" si="23"/>
        <v>514</v>
      </c>
      <c r="B515" s="496" t="s">
        <v>601</v>
      </c>
      <c r="C515" s="495" t="s">
        <v>88</v>
      </c>
      <c r="D515" s="497" t="s">
        <v>89</v>
      </c>
      <c r="E515" s="496" t="str">
        <f t="shared" ref="E515:E578" si="24">IF(MID(D515,14,1)="@",MID(D515,12,2),"0"&amp;MID(D515,12,1))</f>
        <v>11</v>
      </c>
      <c r="F515" s="496">
        <v>25720</v>
      </c>
      <c r="G515" s="496" t="str">
        <f t="shared" ref="G515:G578" si="25">CONCATENATE(B515)</f>
        <v>20118792174</v>
      </c>
    </row>
    <row r="516" spans="1:7">
      <c r="A516" s="496">
        <f t="shared" ref="A516:A579" si="26">+A515+1</f>
        <v>515</v>
      </c>
      <c r="B516" s="496" t="s">
        <v>602</v>
      </c>
      <c r="C516" s="495" t="s">
        <v>91</v>
      </c>
      <c r="D516" s="497" t="s">
        <v>92</v>
      </c>
      <c r="E516" s="496" t="str">
        <f t="shared" si="24"/>
        <v>12</v>
      </c>
      <c r="F516" s="496">
        <v>25724</v>
      </c>
      <c r="G516" s="496" t="str">
        <f t="shared" si="25"/>
        <v>20119194998</v>
      </c>
    </row>
    <row r="517" spans="1:7">
      <c r="A517" s="496">
        <f t="shared" si="26"/>
        <v>516</v>
      </c>
      <c r="B517" s="496" t="s">
        <v>603</v>
      </c>
      <c r="C517" s="495" t="s">
        <v>77</v>
      </c>
      <c r="D517" s="497" t="s">
        <v>78</v>
      </c>
      <c r="E517" s="496" t="str">
        <f t="shared" si="24"/>
        <v>07</v>
      </c>
      <c r="F517" s="496">
        <v>25717</v>
      </c>
      <c r="G517" s="496" t="str">
        <f t="shared" si="25"/>
        <v>20119546851</v>
      </c>
    </row>
    <row r="518" spans="1:7">
      <c r="A518" s="496">
        <f t="shared" si="26"/>
        <v>517</v>
      </c>
      <c r="B518" s="496" t="s">
        <v>604</v>
      </c>
      <c r="C518" s="495" t="s">
        <v>82</v>
      </c>
      <c r="D518" s="497" t="s">
        <v>83</v>
      </c>
      <c r="E518" s="496" t="str">
        <f t="shared" si="24"/>
        <v>08</v>
      </c>
      <c r="F518" s="496">
        <v>25718</v>
      </c>
      <c r="G518" s="496" t="str">
        <f t="shared" si="25"/>
        <v>20121685435</v>
      </c>
    </row>
    <row r="519" spans="1:7">
      <c r="A519" s="496">
        <f t="shared" si="26"/>
        <v>518</v>
      </c>
      <c r="B519" s="496" t="s">
        <v>605</v>
      </c>
      <c r="C519" s="495" t="s">
        <v>85</v>
      </c>
      <c r="D519" s="497" t="s">
        <v>86</v>
      </c>
      <c r="E519" s="496" t="str">
        <f t="shared" si="24"/>
        <v>09</v>
      </c>
      <c r="F519" s="496">
        <v>25719</v>
      </c>
      <c r="G519" s="496" t="str">
        <f t="shared" si="25"/>
        <v>20122667741</v>
      </c>
    </row>
    <row r="520" spans="1:7">
      <c r="A520" s="496">
        <f t="shared" si="26"/>
        <v>519</v>
      </c>
      <c r="B520" s="496" t="s">
        <v>606</v>
      </c>
      <c r="C520" s="495" t="s">
        <v>88</v>
      </c>
      <c r="D520" s="497" t="s">
        <v>89</v>
      </c>
      <c r="E520" s="496" t="str">
        <f t="shared" si="24"/>
        <v>11</v>
      </c>
      <c r="F520" s="496">
        <v>25720</v>
      </c>
      <c r="G520" s="496" t="str">
        <f t="shared" si="25"/>
        <v>20122742114</v>
      </c>
    </row>
    <row r="521" spans="1:7">
      <c r="A521" s="496">
        <f t="shared" si="26"/>
        <v>520</v>
      </c>
      <c r="B521" s="496" t="s">
        <v>607</v>
      </c>
      <c r="C521" s="495" t="s">
        <v>91</v>
      </c>
      <c r="D521" s="497" t="s">
        <v>92</v>
      </c>
      <c r="E521" s="496" t="str">
        <f t="shared" si="24"/>
        <v>12</v>
      </c>
      <c r="F521" s="496">
        <v>25724</v>
      </c>
      <c r="G521" s="496" t="str">
        <f t="shared" si="25"/>
        <v>20122882048</v>
      </c>
    </row>
    <row r="522" spans="1:7">
      <c r="A522" s="496">
        <f t="shared" si="26"/>
        <v>521</v>
      </c>
      <c r="B522" s="496" t="s">
        <v>608</v>
      </c>
      <c r="C522" s="495" t="s">
        <v>77</v>
      </c>
      <c r="D522" s="497" t="s">
        <v>78</v>
      </c>
      <c r="E522" s="496" t="str">
        <f t="shared" si="24"/>
        <v>07</v>
      </c>
      <c r="F522" s="496">
        <v>25717</v>
      </c>
      <c r="G522" s="496" t="str">
        <f t="shared" si="25"/>
        <v>20122895883</v>
      </c>
    </row>
    <row r="523" spans="1:7">
      <c r="A523" s="496">
        <f t="shared" si="26"/>
        <v>522</v>
      </c>
      <c r="B523" s="496" t="s">
        <v>609</v>
      </c>
      <c r="C523" s="495" t="s">
        <v>82</v>
      </c>
      <c r="D523" s="497" t="s">
        <v>83</v>
      </c>
      <c r="E523" s="496" t="str">
        <f t="shared" si="24"/>
        <v>08</v>
      </c>
      <c r="F523" s="496">
        <v>25718</v>
      </c>
      <c r="G523" s="496" t="str">
        <f t="shared" si="25"/>
        <v>20123053037</v>
      </c>
    </row>
    <row r="524" spans="1:7">
      <c r="A524" s="496">
        <f t="shared" si="26"/>
        <v>523</v>
      </c>
      <c r="B524" s="496" t="s">
        <v>610</v>
      </c>
      <c r="C524" s="495" t="s">
        <v>85</v>
      </c>
      <c r="D524" s="497" t="s">
        <v>86</v>
      </c>
      <c r="E524" s="496" t="str">
        <f t="shared" si="24"/>
        <v>09</v>
      </c>
      <c r="F524" s="496">
        <v>25719</v>
      </c>
      <c r="G524" s="496" t="str">
        <f t="shared" si="25"/>
        <v>20123316658</v>
      </c>
    </row>
    <row r="525" spans="1:7">
      <c r="A525" s="496">
        <f t="shared" si="26"/>
        <v>524</v>
      </c>
      <c r="B525" s="496" t="s">
        <v>611</v>
      </c>
      <c r="C525" s="495" t="s">
        <v>88</v>
      </c>
      <c r="D525" s="497" t="s">
        <v>89</v>
      </c>
      <c r="E525" s="496" t="str">
        <f t="shared" si="24"/>
        <v>11</v>
      </c>
      <c r="F525" s="496">
        <v>25720</v>
      </c>
      <c r="G525" s="496" t="str">
        <f t="shared" si="25"/>
        <v>20123444656</v>
      </c>
    </row>
    <row r="526" spans="1:7">
      <c r="A526" s="496">
        <f t="shared" si="26"/>
        <v>525</v>
      </c>
      <c r="B526" s="496" t="s">
        <v>612</v>
      </c>
      <c r="C526" s="495" t="s">
        <v>91</v>
      </c>
      <c r="D526" s="497" t="s">
        <v>92</v>
      </c>
      <c r="E526" s="496" t="str">
        <f t="shared" si="24"/>
        <v>12</v>
      </c>
      <c r="F526" s="496">
        <v>25724</v>
      </c>
      <c r="G526" s="496" t="str">
        <f t="shared" si="25"/>
        <v>20123531389</v>
      </c>
    </row>
    <row r="527" spans="1:7">
      <c r="A527" s="496">
        <f t="shared" si="26"/>
        <v>526</v>
      </c>
      <c r="B527" s="496" t="s">
        <v>613</v>
      </c>
      <c r="C527" s="495" t="s">
        <v>77</v>
      </c>
      <c r="D527" s="497" t="s">
        <v>78</v>
      </c>
      <c r="E527" s="496" t="str">
        <f t="shared" si="24"/>
        <v>07</v>
      </c>
      <c r="F527" s="496">
        <v>25717</v>
      </c>
      <c r="G527" s="496" t="str">
        <f t="shared" si="25"/>
        <v>20123760141</v>
      </c>
    </row>
    <row r="528" spans="1:7">
      <c r="A528" s="496">
        <f t="shared" si="26"/>
        <v>527</v>
      </c>
      <c r="B528" s="496" t="s">
        <v>614</v>
      </c>
      <c r="C528" s="495" t="s">
        <v>77</v>
      </c>
      <c r="D528" s="497" t="s">
        <v>78</v>
      </c>
      <c r="E528" s="496" t="str">
        <f t="shared" si="24"/>
        <v>07</v>
      </c>
      <c r="F528" s="496">
        <v>25717</v>
      </c>
      <c r="G528" s="496" t="str">
        <f t="shared" si="25"/>
        <v>20123812477</v>
      </c>
    </row>
    <row r="529" spans="1:7">
      <c r="A529" s="496">
        <f t="shared" si="26"/>
        <v>528</v>
      </c>
      <c r="B529" s="496" t="s">
        <v>615</v>
      </c>
      <c r="C529" s="495" t="s">
        <v>82</v>
      </c>
      <c r="D529" s="497" t="s">
        <v>83</v>
      </c>
      <c r="E529" s="496" t="str">
        <f t="shared" si="24"/>
        <v>08</v>
      </c>
      <c r="F529" s="496">
        <v>25718</v>
      </c>
      <c r="G529" s="496" t="str">
        <f t="shared" si="25"/>
        <v>20124193339</v>
      </c>
    </row>
    <row r="530" spans="1:7">
      <c r="A530" s="496">
        <f t="shared" si="26"/>
        <v>529</v>
      </c>
      <c r="B530" s="496" t="s">
        <v>616</v>
      </c>
      <c r="C530" s="495" t="s">
        <v>85</v>
      </c>
      <c r="D530" s="497" t="s">
        <v>86</v>
      </c>
      <c r="E530" s="496" t="str">
        <f t="shared" si="24"/>
        <v>09</v>
      </c>
      <c r="F530" s="496">
        <v>25719</v>
      </c>
      <c r="G530" s="496" t="str">
        <f t="shared" si="25"/>
        <v>20125327509</v>
      </c>
    </row>
    <row r="531" spans="1:7">
      <c r="A531" s="496">
        <f t="shared" si="26"/>
        <v>530</v>
      </c>
      <c r="B531" s="496" t="s">
        <v>617</v>
      </c>
      <c r="C531" s="495" t="s">
        <v>88</v>
      </c>
      <c r="D531" s="497" t="s">
        <v>89</v>
      </c>
      <c r="E531" s="496" t="str">
        <f t="shared" si="24"/>
        <v>11</v>
      </c>
      <c r="F531" s="496">
        <v>25720</v>
      </c>
      <c r="G531" s="496" t="str">
        <f t="shared" si="25"/>
        <v>20125396811</v>
      </c>
    </row>
    <row r="532" spans="1:7">
      <c r="A532" s="496">
        <f t="shared" si="26"/>
        <v>531</v>
      </c>
      <c r="B532" s="496" t="s">
        <v>618</v>
      </c>
      <c r="C532" s="495" t="s">
        <v>91</v>
      </c>
      <c r="D532" s="497" t="s">
        <v>92</v>
      </c>
      <c r="E532" s="496" t="str">
        <f t="shared" si="24"/>
        <v>12</v>
      </c>
      <c r="F532" s="496">
        <v>25724</v>
      </c>
      <c r="G532" s="496" t="str">
        <f t="shared" si="25"/>
        <v>20125508716</v>
      </c>
    </row>
    <row r="533" spans="1:7">
      <c r="A533" s="496">
        <f t="shared" si="26"/>
        <v>532</v>
      </c>
      <c r="B533" s="496" t="s">
        <v>619</v>
      </c>
      <c r="C533" s="495" t="s">
        <v>77</v>
      </c>
      <c r="D533" s="497" t="s">
        <v>78</v>
      </c>
      <c r="E533" s="496" t="str">
        <f t="shared" si="24"/>
        <v>07</v>
      </c>
      <c r="F533" s="496">
        <v>25717</v>
      </c>
      <c r="G533" s="496" t="str">
        <f t="shared" si="25"/>
        <v>20125625780</v>
      </c>
    </row>
    <row r="534" spans="1:7">
      <c r="A534" s="496">
        <f t="shared" si="26"/>
        <v>533</v>
      </c>
      <c r="B534" s="496" t="s">
        <v>620</v>
      </c>
      <c r="C534" s="495" t="s">
        <v>82</v>
      </c>
      <c r="D534" s="497" t="s">
        <v>83</v>
      </c>
      <c r="E534" s="496" t="str">
        <f t="shared" si="24"/>
        <v>08</v>
      </c>
      <c r="F534" s="496">
        <v>25718</v>
      </c>
      <c r="G534" s="496" t="str">
        <f t="shared" si="25"/>
        <v>20125860193</v>
      </c>
    </row>
    <row r="535" spans="1:7">
      <c r="A535" s="496">
        <f t="shared" si="26"/>
        <v>534</v>
      </c>
      <c r="B535" s="496" t="s">
        <v>621</v>
      </c>
      <c r="C535" s="495" t="s">
        <v>85</v>
      </c>
      <c r="D535" s="497" t="s">
        <v>86</v>
      </c>
      <c r="E535" s="496" t="str">
        <f t="shared" si="24"/>
        <v>09</v>
      </c>
      <c r="F535" s="496">
        <v>25719</v>
      </c>
      <c r="G535" s="496" t="str">
        <f t="shared" si="25"/>
        <v>20125959483</v>
      </c>
    </row>
    <row r="536" spans="1:7">
      <c r="A536" s="496">
        <f t="shared" si="26"/>
        <v>535</v>
      </c>
      <c r="B536" s="496" t="s">
        <v>622</v>
      </c>
      <c r="C536" s="495" t="s">
        <v>88</v>
      </c>
      <c r="D536" s="497" t="s">
        <v>89</v>
      </c>
      <c r="E536" s="496" t="str">
        <f t="shared" si="24"/>
        <v>11</v>
      </c>
      <c r="F536" s="496">
        <v>25720</v>
      </c>
      <c r="G536" s="496" t="str">
        <f t="shared" si="25"/>
        <v>20126702737</v>
      </c>
    </row>
    <row r="537" spans="1:7">
      <c r="A537" s="496">
        <f t="shared" si="26"/>
        <v>536</v>
      </c>
      <c r="B537" s="496" t="s">
        <v>623</v>
      </c>
      <c r="C537" s="495" t="s">
        <v>91</v>
      </c>
      <c r="D537" s="497" t="s">
        <v>92</v>
      </c>
      <c r="E537" s="496" t="str">
        <f t="shared" si="24"/>
        <v>12</v>
      </c>
      <c r="F537" s="496">
        <v>25724</v>
      </c>
      <c r="G537" s="496" t="str">
        <f t="shared" si="25"/>
        <v>20127745910</v>
      </c>
    </row>
    <row r="538" spans="1:7">
      <c r="A538" s="496">
        <f t="shared" si="26"/>
        <v>537</v>
      </c>
      <c r="B538" s="496" t="s">
        <v>624</v>
      </c>
      <c r="C538" s="495" t="s">
        <v>77</v>
      </c>
      <c r="D538" s="497" t="s">
        <v>78</v>
      </c>
      <c r="E538" s="496" t="str">
        <f t="shared" si="24"/>
        <v>07</v>
      </c>
      <c r="F538" s="496">
        <v>25717</v>
      </c>
      <c r="G538" s="496" t="str">
        <f t="shared" si="25"/>
        <v>20128808711</v>
      </c>
    </row>
    <row r="539" spans="1:7">
      <c r="A539" s="496">
        <f t="shared" si="26"/>
        <v>538</v>
      </c>
      <c r="B539" s="496" t="s">
        <v>625</v>
      </c>
      <c r="C539" s="495" t="s">
        <v>82</v>
      </c>
      <c r="D539" s="497" t="s">
        <v>83</v>
      </c>
      <c r="E539" s="496" t="str">
        <f t="shared" si="24"/>
        <v>08</v>
      </c>
      <c r="F539" s="496">
        <v>25718</v>
      </c>
      <c r="G539" s="496" t="str">
        <f t="shared" si="25"/>
        <v>20128894889</v>
      </c>
    </row>
    <row r="540" spans="1:7">
      <c r="A540" s="496">
        <f t="shared" si="26"/>
        <v>539</v>
      </c>
      <c r="B540" s="496" t="s">
        <v>626</v>
      </c>
      <c r="C540" s="495" t="s">
        <v>85</v>
      </c>
      <c r="D540" s="497" t="s">
        <v>86</v>
      </c>
      <c r="E540" s="496" t="str">
        <f t="shared" si="24"/>
        <v>09</v>
      </c>
      <c r="F540" s="496">
        <v>25719</v>
      </c>
      <c r="G540" s="496" t="str">
        <f t="shared" si="25"/>
        <v>20128915711</v>
      </c>
    </row>
    <row r="541" spans="1:7">
      <c r="A541" s="496">
        <f t="shared" si="26"/>
        <v>540</v>
      </c>
      <c r="B541" s="496" t="s">
        <v>627</v>
      </c>
      <c r="C541" s="495" t="s">
        <v>88</v>
      </c>
      <c r="D541" s="497" t="s">
        <v>89</v>
      </c>
      <c r="E541" s="496" t="str">
        <f t="shared" si="24"/>
        <v>11</v>
      </c>
      <c r="F541" s="496">
        <v>25720</v>
      </c>
      <c r="G541" s="496" t="str">
        <f t="shared" si="25"/>
        <v>20128967606</v>
      </c>
    </row>
    <row r="542" spans="1:7">
      <c r="A542" s="496">
        <f t="shared" si="26"/>
        <v>541</v>
      </c>
      <c r="B542" s="496" t="s">
        <v>628</v>
      </c>
      <c r="C542" s="495" t="s">
        <v>91</v>
      </c>
      <c r="D542" s="497" t="s">
        <v>92</v>
      </c>
      <c r="E542" s="496" t="str">
        <f t="shared" si="24"/>
        <v>12</v>
      </c>
      <c r="F542" s="496">
        <v>25724</v>
      </c>
      <c r="G542" s="496" t="str">
        <f t="shared" si="25"/>
        <v>20129646099</v>
      </c>
    </row>
    <row r="543" spans="1:7">
      <c r="A543" s="496">
        <f t="shared" si="26"/>
        <v>542</v>
      </c>
      <c r="B543" s="496" t="s">
        <v>629</v>
      </c>
      <c r="C543" s="495" t="s">
        <v>77</v>
      </c>
      <c r="D543" s="497" t="s">
        <v>78</v>
      </c>
      <c r="E543" s="496" t="str">
        <f t="shared" si="24"/>
        <v>07</v>
      </c>
      <c r="F543" s="496">
        <v>25717</v>
      </c>
      <c r="G543" s="496" t="str">
        <f t="shared" si="25"/>
        <v>20129854953</v>
      </c>
    </row>
    <row r="544" spans="1:7">
      <c r="A544" s="496">
        <f t="shared" si="26"/>
        <v>543</v>
      </c>
      <c r="B544" s="496" t="s">
        <v>630</v>
      </c>
      <c r="C544" s="495" t="s">
        <v>82</v>
      </c>
      <c r="D544" s="497" t="s">
        <v>83</v>
      </c>
      <c r="E544" s="496" t="str">
        <f t="shared" si="24"/>
        <v>08</v>
      </c>
      <c r="F544" s="496">
        <v>25718</v>
      </c>
      <c r="G544" s="496" t="str">
        <f t="shared" si="25"/>
        <v>20131300353</v>
      </c>
    </row>
    <row r="545" spans="1:7">
      <c r="A545" s="496">
        <f t="shared" si="26"/>
        <v>544</v>
      </c>
      <c r="B545" s="496" t="s">
        <v>631</v>
      </c>
      <c r="C545" s="495" t="s">
        <v>85</v>
      </c>
      <c r="D545" s="497" t="s">
        <v>86</v>
      </c>
      <c r="E545" s="496" t="str">
        <f t="shared" si="24"/>
        <v>09</v>
      </c>
      <c r="F545" s="496">
        <v>25719</v>
      </c>
      <c r="G545" s="496" t="str">
        <f t="shared" si="25"/>
        <v>20131308095</v>
      </c>
    </row>
    <row r="546" spans="1:7">
      <c r="A546" s="496">
        <f t="shared" si="26"/>
        <v>545</v>
      </c>
      <c r="B546" s="496" t="s">
        <v>632</v>
      </c>
      <c r="C546" s="495" t="s">
        <v>88</v>
      </c>
      <c r="D546" s="497" t="s">
        <v>89</v>
      </c>
      <c r="E546" s="496" t="str">
        <f t="shared" si="24"/>
        <v>11</v>
      </c>
      <c r="F546" s="496">
        <v>25720</v>
      </c>
      <c r="G546" s="496" t="str">
        <f t="shared" si="25"/>
        <v>20131495006</v>
      </c>
    </row>
    <row r="547" spans="1:7">
      <c r="A547" s="496">
        <f t="shared" si="26"/>
        <v>546</v>
      </c>
      <c r="B547" s="496" t="s">
        <v>633</v>
      </c>
      <c r="C547" s="495" t="s">
        <v>91</v>
      </c>
      <c r="D547" s="497" t="s">
        <v>92</v>
      </c>
      <c r="E547" s="496" t="str">
        <f t="shared" si="24"/>
        <v>12</v>
      </c>
      <c r="F547" s="496">
        <v>25724</v>
      </c>
      <c r="G547" s="496" t="str">
        <f t="shared" si="25"/>
        <v>20131529008</v>
      </c>
    </row>
    <row r="548" spans="1:7">
      <c r="A548" s="496">
        <f t="shared" si="26"/>
        <v>547</v>
      </c>
      <c r="B548" s="496" t="s">
        <v>634</v>
      </c>
      <c r="C548" s="495" t="s">
        <v>77</v>
      </c>
      <c r="D548" s="497" t="s">
        <v>78</v>
      </c>
      <c r="E548" s="496" t="str">
        <f t="shared" si="24"/>
        <v>07</v>
      </c>
      <c r="F548" s="496">
        <v>25717</v>
      </c>
      <c r="G548" s="496" t="str">
        <f t="shared" si="25"/>
        <v>20131529181</v>
      </c>
    </row>
    <row r="549" spans="1:7">
      <c r="A549" s="496">
        <f t="shared" si="26"/>
        <v>548</v>
      </c>
      <c r="B549" s="496" t="s">
        <v>635</v>
      </c>
      <c r="C549" s="495" t="s">
        <v>82</v>
      </c>
      <c r="D549" s="497" t="s">
        <v>83</v>
      </c>
      <c r="E549" s="496" t="str">
        <f t="shared" si="24"/>
        <v>08</v>
      </c>
      <c r="F549" s="496">
        <v>25718</v>
      </c>
      <c r="G549" s="496" t="str">
        <f t="shared" si="25"/>
        <v>20131551437</v>
      </c>
    </row>
    <row r="550" spans="1:7">
      <c r="A550" s="496">
        <f t="shared" si="26"/>
        <v>549</v>
      </c>
      <c r="B550" s="496" t="s">
        <v>636</v>
      </c>
      <c r="C550" s="495" t="s">
        <v>85</v>
      </c>
      <c r="D550" s="497" t="s">
        <v>86</v>
      </c>
      <c r="E550" s="496" t="str">
        <f t="shared" si="24"/>
        <v>09</v>
      </c>
      <c r="F550" s="496">
        <v>25719</v>
      </c>
      <c r="G550" s="496" t="str">
        <f t="shared" si="25"/>
        <v>20131609290</v>
      </c>
    </row>
    <row r="551" spans="1:7">
      <c r="A551" s="496">
        <f t="shared" si="26"/>
        <v>550</v>
      </c>
      <c r="B551" s="496" t="s">
        <v>637</v>
      </c>
      <c r="C551" s="495" t="s">
        <v>88</v>
      </c>
      <c r="D551" s="497" t="s">
        <v>89</v>
      </c>
      <c r="E551" s="496" t="str">
        <f t="shared" si="24"/>
        <v>11</v>
      </c>
      <c r="F551" s="496">
        <v>25720</v>
      </c>
      <c r="G551" s="496" t="str">
        <f t="shared" si="25"/>
        <v>20131823020</v>
      </c>
    </row>
    <row r="552" spans="1:7">
      <c r="A552" s="496">
        <f t="shared" si="26"/>
        <v>551</v>
      </c>
      <c r="B552" s="496" t="s">
        <v>638</v>
      </c>
      <c r="C552" s="495" t="s">
        <v>91</v>
      </c>
      <c r="D552" s="497" t="s">
        <v>92</v>
      </c>
      <c r="E552" s="496" t="str">
        <f t="shared" si="24"/>
        <v>12</v>
      </c>
      <c r="F552" s="496">
        <v>25724</v>
      </c>
      <c r="G552" s="496" t="str">
        <f t="shared" si="25"/>
        <v>20131867744</v>
      </c>
    </row>
    <row r="553" spans="1:7">
      <c r="A553" s="496">
        <f t="shared" si="26"/>
        <v>552</v>
      </c>
      <c r="B553" s="496" t="s">
        <v>639</v>
      </c>
      <c r="C553" s="495" t="s">
        <v>77</v>
      </c>
      <c r="D553" s="497" t="s">
        <v>78</v>
      </c>
      <c r="E553" s="496" t="str">
        <f t="shared" si="24"/>
        <v>07</v>
      </c>
      <c r="F553" s="496">
        <v>25717</v>
      </c>
      <c r="G553" s="496" t="str">
        <f t="shared" si="25"/>
        <v>20131895365</v>
      </c>
    </row>
    <row r="554" spans="1:7">
      <c r="A554" s="496">
        <f t="shared" si="26"/>
        <v>553</v>
      </c>
      <c r="B554" s="496" t="s">
        <v>640</v>
      </c>
      <c r="C554" s="495" t="s">
        <v>82</v>
      </c>
      <c r="D554" s="497" t="s">
        <v>83</v>
      </c>
      <c r="E554" s="496" t="str">
        <f t="shared" si="24"/>
        <v>08</v>
      </c>
      <c r="F554" s="496">
        <v>25718</v>
      </c>
      <c r="G554" s="496" t="str">
        <f t="shared" si="25"/>
        <v>20132023540</v>
      </c>
    </row>
    <row r="555" spans="1:7">
      <c r="A555" s="496">
        <f t="shared" si="26"/>
        <v>554</v>
      </c>
      <c r="B555" s="496" t="s">
        <v>641</v>
      </c>
      <c r="C555" s="495" t="s">
        <v>85</v>
      </c>
      <c r="D555" s="497" t="s">
        <v>86</v>
      </c>
      <c r="E555" s="496" t="str">
        <f t="shared" si="24"/>
        <v>09</v>
      </c>
      <c r="F555" s="496">
        <v>25719</v>
      </c>
      <c r="G555" s="496" t="str">
        <f t="shared" si="25"/>
        <v>20132162230</v>
      </c>
    </row>
    <row r="556" spans="1:7">
      <c r="A556" s="496">
        <f t="shared" si="26"/>
        <v>555</v>
      </c>
      <c r="B556" s="496" t="s">
        <v>642</v>
      </c>
      <c r="C556" s="495" t="s">
        <v>88</v>
      </c>
      <c r="D556" s="497" t="s">
        <v>89</v>
      </c>
      <c r="E556" s="496" t="str">
        <f t="shared" si="24"/>
        <v>11</v>
      </c>
      <c r="F556" s="496">
        <v>25720</v>
      </c>
      <c r="G556" s="496" t="str">
        <f t="shared" si="25"/>
        <v>20132367800</v>
      </c>
    </row>
    <row r="557" spans="1:7">
      <c r="A557" s="496">
        <f t="shared" si="26"/>
        <v>556</v>
      </c>
      <c r="B557" s="496" t="s">
        <v>643</v>
      </c>
      <c r="C557" s="495" t="s">
        <v>91</v>
      </c>
      <c r="D557" s="497" t="s">
        <v>92</v>
      </c>
      <c r="E557" s="496" t="str">
        <f t="shared" si="24"/>
        <v>12</v>
      </c>
      <c r="F557" s="496">
        <v>25724</v>
      </c>
      <c r="G557" s="496" t="str">
        <f t="shared" si="25"/>
        <v>20132373958</v>
      </c>
    </row>
    <row r="558" spans="1:7">
      <c r="A558" s="496">
        <f t="shared" si="26"/>
        <v>557</v>
      </c>
      <c r="B558" s="496" t="s">
        <v>644</v>
      </c>
      <c r="C558" s="495" t="s">
        <v>77</v>
      </c>
      <c r="D558" s="497" t="s">
        <v>78</v>
      </c>
      <c r="E558" s="496" t="str">
        <f t="shared" si="24"/>
        <v>07</v>
      </c>
      <c r="F558" s="496">
        <v>25717</v>
      </c>
      <c r="G558" s="496" t="str">
        <f t="shared" si="25"/>
        <v>20132521655</v>
      </c>
    </row>
    <row r="559" spans="1:7">
      <c r="A559" s="496">
        <f t="shared" si="26"/>
        <v>558</v>
      </c>
      <c r="B559" s="496" t="s">
        <v>645</v>
      </c>
      <c r="C559" s="495" t="s">
        <v>82</v>
      </c>
      <c r="D559" s="497" t="s">
        <v>83</v>
      </c>
      <c r="E559" s="496" t="str">
        <f t="shared" si="24"/>
        <v>08</v>
      </c>
      <c r="F559" s="496">
        <v>25718</v>
      </c>
      <c r="G559" s="496" t="str">
        <f t="shared" si="25"/>
        <v>20132712086</v>
      </c>
    </row>
    <row r="560" spans="1:7">
      <c r="A560" s="496">
        <f t="shared" si="26"/>
        <v>559</v>
      </c>
      <c r="B560" s="496" t="s">
        <v>646</v>
      </c>
      <c r="C560" s="495" t="s">
        <v>85</v>
      </c>
      <c r="D560" s="497" t="s">
        <v>86</v>
      </c>
      <c r="E560" s="496" t="str">
        <f t="shared" si="24"/>
        <v>09</v>
      </c>
      <c r="F560" s="496">
        <v>25719</v>
      </c>
      <c r="G560" s="496" t="str">
        <f t="shared" si="25"/>
        <v>20133530003</v>
      </c>
    </row>
    <row r="561" spans="1:7">
      <c r="A561" s="496">
        <f t="shared" si="26"/>
        <v>560</v>
      </c>
      <c r="B561" s="496" t="s">
        <v>647</v>
      </c>
      <c r="C561" s="495" t="s">
        <v>88</v>
      </c>
      <c r="D561" s="497" t="s">
        <v>89</v>
      </c>
      <c r="E561" s="496" t="str">
        <f t="shared" si="24"/>
        <v>11</v>
      </c>
      <c r="F561" s="496">
        <v>25720</v>
      </c>
      <c r="G561" s="496" t="str">
        <f t="shared" si="25"/>
        <v>20133860992</v>
      </c>
    </row>
    <row r="562" spans="1:7">
      <c r="A562" s="496">
        <f t="shared" si="26"/>
        <v>561</v>
      </c>
      <c r="B562" s="496" t="s">
        <v>648</v>
      </c>
      <c r="C562" s="495" t="s">
        <v>91</v>
      </c>
      <c r="D562" s="497" t="s">
        <v>92</v>
      </c>
      <c r="E562" s="496" t="str">
        <f t="shared" si="24"/>
        <v>12</v>
      </c>
      <c r="F562" s="496">
        <v>25724</v>
      </c>
      <c r="G562" s="496" t="str">
        <f t="shared" si="25"/>
        <v>20135414931</v>
      </c>
    </row>
    <row r="563" spans="1:7">
      <c r="A563" s="496">
        <f t="shared" si="26"/>
        <v>562</v>
      </c>
      <c r="B563" s="496" t="s">
        <v>649</v>
      </c>
      <c r="C563" s="495" t="s">
        <v>77</v>
      </c>
      <c r="D563" s="497" t="s">
        <v>78</v>
      </c>
      <c r="E563" s="496" t="str">
        <f t="shared" si="24"/>
        <v>07</v>
      </c>
      <c r="F563" s="496">
        <v>25717</v>
      </c>
      <c r="G563" s="496" t="str">
        <f t="shared" si="25"/>
        <v>20135674410</v>
      </c>
    </row>
    <row r="564" spans="1:7">
      <c r="A564" s="496">
        <f t="shared" si="26"/>
        <v>563</v>
      </c>
      <c r="B564" s="496" t="s">
        <v>650</v>
      </c>
      <c r="C564" s="495" t="s">
        <v>82</v>
      </c>
      <c r="D564" s="497" t="s">
        <v>83</v>
      </c>
      <c r="E564" s="496" t="str">
        <f t="shared" si="24"/>
        <v>08</v>
      </c>
      <c r="F564" s="496">
        <v>25718</v>
      </c>
      <c r="G564" s="496" t="str">
        <f t="shared" si="25"/>
        <v>20135948641</v>
      </c>
    </row>
    <row r="565" spans="1:7">
      <c r="A565" s="496">
        <f t="shared" si="26"/>
        <v>564</v>
      </c>
      <c r="B565" s="496" t="s">
        <v>651</v>
      </c>
      <c r="C565" s="495" t="s">
        <v>82</v>
      </c>
      <c r="D565" s="497" t="s">
        <v>83</v>
      </c>
      <c r="E565" s="496" t="str">
        <f t="shared" si="24"/>
        <v>08</v>
      </c>
      <c r="F565" s="496">
        <v>25718</v>
      </c>
      <c r="G565" s="496" t="str">
        <f t="shared" si="25"/>
        <v>20136036778</v>
      </c>
    </row>
    <row r="566" spans="1:7">
      <c r="A566" s="496">
        <f t="shared" si="26"/>
        <v>565</v>
      </c>
      <c r="B566" s="496" t="s">
        <v>652</v>
      </c>
      <c r="C566" s="495" t="s">
        <v>85</v>
      </c>
      <c r="D566" s="497" t="s">
        <v>86</v>
      </c>
      <c r="E566" s="496" t="str">
        <f t="shared" si="24"/>
        <v>09</v>
      </c>
      <c r="F566" s="496">
        <v>25719</v>
      </c>
      <c r="G566" s="496" t="str">
        <f t="shared" si="25"/>
        <v>20136150473</v>
      </c>
    </row>
    <row r="567" spans="1:7">
      <c r="A567" s="496">
        <f t="shared" si="26"/>
        <v>566</v>
      </c>
      <c r="B567" s="496" t="s">
        <v>653</v>
      </c>
      <c r="C567" s="495" t="s">
        <v>88</v>
      </c>
      <c r="D567" s="497" t="s">
        <v>89</v>
      </c>
      <c r="E567" s="496" t="str">
        <f t="shared" si="24"/>
        <v>11</v>
      </c>
      <c r="F567" s="496">
        <v>25720</v>
      </c>
      <c r="G567" s="496" t="str">
        <f t="shared" si="25"/>
        <v>20136435397</v>
      </c>
    </row>
    <row r="568" spans="1:7">
      <c r="A568" s="496">
        <f t="shared" si="26"/>
        <v>567</v>
      </c>
      <c r="B568" s="496" t="s">
        <v>654</v>
      </c>
      <c r="C568" s="495" t="s">
        <v>85</v>
      </c>
      <c r="D568" s="497" t="s">
        <v>86</v>
      </c>
      <c r="E568" s="496" t="str">
        <f t="shared" si="24"/>
        <v>09</v>
      </c>
      <c r="F568" s="496">
        <v>25719</v>
      </c>
      <c r="G568" s="496" t="str">
        <f t="shared" si="25"/>
        <v>20136472675</v>
      </c>
    </row>
    <row r="569" spans="1:7">
      <c r="A569" s="496">
        <f t="shared" si="26"/>
        <v>568</v>
      </c>
      <c r="B569" s="496" t="s">
        <v>655</v>
      </c>
      <c r="C569" s="495" t="s">
        <v>91</v>
      </c>
      <c r="D569" s="497" t="s">
        <v>92</v>
      </c>
      <c r="E569" s="496" t="str">
        <f t="shared" si="24"/>
        <v>12</v>
      </c>
      <c r="F569" s="496">
        <v>25724</v>
      </c>
      <c r="G569" s="496" t="str">
        <f t="shared" si="25"/>
        <v>20136492277</v>
      </c>
    </row>
    <row r="570" spans="1:7">
      <c r="A570" s="496">
        <f t="shared" si="26"/>
        <v>569</v>
      </c>
      <c r="B570" s="496" t="s">
        <v>656</v>
      </c>
      <c r="C570" s="495" t="s">
        <v>77</v>
      </c>
      <c r="D570" s="497" t="s">
        <v>78</v>
      </c>
      <c r="E570" s="496" t="str">
        <f t="shared" si="24"/>
        <v>07</v>
      </c>
      <c r="F570" s="496">
        <v>25717</v>
      </c>
      <c r="G570" s="496" t="str">
        <f t="shared" si="25"/>
        <v>20136507720</v>
      </c>
    </row>
    <row r="571" spans="1:7">
      <c r="A571" s="496">
        <f t="shared" si="26"/>
        <v>570</v>
      </c>
      <c r="B571" s="496" t="s">
        <v>657</v>
      </c>
      <c r="C571" s="495" t="s">
        <v>82</v>
      </c>
      <c r="D571" s="497" t="s">
        <v>83</v>
      </c>
      <c r="E571" s="496" t="str">
        <f t="shared" si="24"/>
        <v>08</v>
      </c>
      <c r="F571" s="496">
        <v>25718</v>
      </c>
      <c r="G571" s="496" t="str">
        <f t="shared" si="25"/>
        <v>20136740351</v>
      </c>
    </row>
    <row r="572" spans="1:7">
      <c r="A572" s="496">
        <f t="shared" si="26"/>
        <v>571</v>
      </c>
      <c r="B572" s="496" t="s">
        <v>658</v>
      </c>
      <c r="C572" s="495" t="s">
        <v>85</v>
      </c>
      <c r="D572" s="497" t="s">
        <v>86</v>
      </c>
      <c r="E572" s="496" t="str">
        <f t="shared" si="24"/>
        <v>09</v>
      </c>
      <c r="F572" s="496">
        <v>25719</v>
      </c>
      <c r="G572" s="496" t="str">
        <f t="shared" si="25"/>
        <v>20136836545</v>
      </c>
    </row>
    <row r="573" spans="1:7">
      <c r="A573" s="496">
        <f t="shared" si="26"/>
        <v>572</v>
      </c>
      <c r="B573" s="496" t="s">
        <v>659</v>
      </c>
      <c r="C573" s="495" t="s">
        <v>88</v>
      </c>
      <c r="D573" s="497" t="s">
        <v>89</v>
      </c>
      <c r="E573" s="496" t="str">
        <f t="shared" si="24"/>
        <v>11</v>
      </c>
      <c r="F573" s="496">
        <v>25720</v>
      </c>
      <c r="G573" s="496" t="str">
        <f t="shared" si="25"/>
        <v>20136847237</v>
      </c>
    </row>
    <row r="574" spans="1:7">
      <c r="A574" s="496">
        <f t="shared" si="26"/>
        <v>573</v>
      </c>
      <c r="B574" s="496" t="s">
        <v>660</v>
      </c>
      <c r="C574" s="495" t="s">
        <v>91</v>
      </c>
      <c r="D574" s="497" t="s">
        <v>92</v>
      </c>
      <c r="E574" s="496" t="str">
        <f t="shared" si="24"/>
        <v>12</v>
      </c>
      <c r="F574" s="496">
        <v>25724</v>
      </c>
      <c r="G574" s="496" t="str">
        <f t="shared" si="25"/>
        <v>20136890329</v>
      </c>
    </row>
    <row r="575" spans="1:7">
      <c r="A575" s="496">
        <f t="shared" si="26"/>
        <v>574</v>
      </c>
      <c r="B575" s="496" t="s">
        <v>661</v>
      </c>
      <c r="C575" s="495" t="s">
        <v>77</v>
      </c>
      <c r="D575" s="497" t="s">
        <v>78</v>
      </c>
      <c r="E575" s="496" t="str">
        <f t="shared" si="24"/>
        <v>07</v>
      </c>
      <c r="F575" s="496">
        <v>25717</v>
      </c>
      <c r="G575" s="496" t="str">
        <f t="shared" si="25"/>
        <v>20136974697</v>
      </c>
    </row>
    <row r="576" spans="1:7">
      <c r="A576" s="496">
        <f t="shared" si="26"/>
        <v>575</v>
      </c>
      <c r="B576" s="496" t="s">
        <v>662</v>
      </c>
      <c r="C576" s="495" t="s">
        <v>82</v>
      </c>
      <c r="D576" s="497" t="s">
        <v>83</v>
      </c>
      <c r="E576" s="496" t="str">
        <f t="shared" si="24"/>
        <v>08</v>
      </c>
      <c r="F576" s="496">
        <v>25718</v>
      </c>
      <c r="G576" s="496" t="str">
        <f t="shared" si="25"/>
        <v>20137021014</v>
      </c>
    </row>
    <row r="577" spans="1:7">
      <c r="A577" s="496">
        <f t="shared" si="26"/>
        <v>576</v>
      </c>
      <c r="B577" s="496" t="s">
        <v>663</v>
      </c>
      <c r="C577" s="495" t="s">
        <v>85</v>
      </c>
      <c r="D577" s="497" t="s">
        <v>86</v>
      </c>
      <c r="E577" s="496" t="str">
        <f t="shared" si="24"/>
        <v>09</v>
      </c>
      <c r="F577" s="496">
        <v>25719</v>
      </c>
      <c r="G577" s="496" t="str">
        <f t="shared" si="25"/>
        <v>20137076935</v>
      </c>
    </row>
    <row r="578" spans="1:7">
      <c r="A578" s="496">
        <f t="shared" si="26"/>
        <v>577</v>
      </c>
      <c r="B578" s="496" t="s">
        <v>664</v>
      </c>
      <c r="C578" s="495" t="s">
        <v>88</v>
      </c>
      <c r="D578" s="497" t="s">
        <v>89</v>
      </c>
      <c r="E578" s="496" t="str">
        <f t="shared" si="24"/>
        <v>11</v>
      </c>
      <c r="F578" s="496">
        <v>25720</v>
      </c>
      <c r="G578" s="496" t="str">
        <f t="shared" si="25"/>
        <v>20137114705</v>
      </c>
    </row>
    <row r="579" spans="1:7">
      <c r="A579" s="496">
        <f t="shared" si="26"/>
        <v>578</v>
      </c>
      <c r="B579" s="496" t="s">
        <v>665</v>
      </c>
      <c r="C579" s="495" t="s">
        <v>91</v>
      </c>
      <c r="D579" s="497" t="s">
        <v>92</v>
      </c>
      <c r="E579" s="496" t="str">
        <f t="shared" ref="E579:E642" si="27">IF(MID(D579,14,1)="@",MID(D579,12,2),"0"&amp;MID(D579,12,1))</f>
        <v>12</v>
      </c>
      <c r="F579" s="496">
        <v>25724</v>
      </c>
      <c r="G579" s="496" t="str">
        <f t="shared" ref="G579:G642" si="28">CONCATENATE(B579)</f>
        <v>20137117712</v>
      </c>
    </row>
    <row r="580" spans="1:7">
      <c r="A580" s="496">
        <f t="shared" ref="A580:A643" si="29">+A579+1</f>
        <v>579</v>
      </c>
      <c r="B580" s="496" t="s">
        <v>666</v>
      </c>
      <c r="C580" s="495" t="s">
        <v>77</v>
      </c>
      <c r="D580" s="497" t="s">
        <v>78</v>
      </c>
      <c r="E580" s="496" t="str">
        <f t="shared" si="27"/>
        <v>07</v>
      </c>
      <c r="F580" s="496">
        <v>25717</v>
      </c>
      <c r="G580" s="496" t="str">
        <f t="shared" si="28"/>
        <v>20137422604</v>
      </c>
    </row>
    <row r="581" spans="1:7">
      <c r="A581" s="496">
        <f t="shared" si="29"/>
        <v>580</v>
      </c>
      <c r="B581" s="496" t="s">
        <v>667</v>
      </c>
      <c r="C581" s="495" t="s">
        <v>82</v>
      </c>
      <c r="D581" s="497" t="s">
        <v>83</v>
      </c>
      <c r="E581" s="496" t="str">
        <f t="shared" si="27"/>
        <v>08</v>
      </c>
      <c r="F581" s="496">
        <v>25718</v>
      </c>
      <c r="G581" s="496" t="str">
        <f t="shared" si="28"/>
        <v>20137976171</v>
      </c>
    </row>
    <row r="582" spans="1:7">
      <c r="A582" s="496">
        <f t="shared" si="29"/>
        <v>581</v>
      </c>
      <c r="B582" s="496" t="s">
        <v>668</v>
      </c>
      <c r="C582" s="495" t="s">
        <v>85</v>
      </c>
      <c r="D582" s="497" t="s">
        <v>86</v>
      </c>
      <c r="E582" s="496" t="str">
        <f t="shared" si="27"/>
        <v>09</v>
      </c>
      <c r="F582" s="496">
        <v>25719</v>
      </c>
      <c r="G582" s="496" t="str">
        <f t="shared" si="28"/>
        <v>20138069347</v>
      </c>
    </row>
    <row r="583" spans="1:7">
      <c r="A583" s="496">
        <f t="shared" si="29"/>
        <v>582</v>
      </c>
      <c r="B583" s="496" t="s">
        <v>669</v>
      </c>
      <c r="C583" s="495" t="s">
        <v>88</v>
      </c>
      <c r="D583" s="497" t="s">
        <v>89</v>
      </c>
      <c r="E583" s="496" t="str">
        <f t="shared" si="27"/>
        <v>11</v>
      </c>
      <c r="F583" s="496">
        <v>25720</v>
      </c>
      <c r="G583" s="496" t="str">
        <f t="shared" si="28"/>
        <v>20138122256</v>
      </c>
    </row>
    <row r="584" spans="1:7">
      <c r="A584" s="496">
        <f t="shared" si="29"/>
        <v>583</v>
      </c>
      <c r="B584" s="496" t="s">
        <v>670</v>
      </c>
      <c r="C584" s="495" t="s">
        <v>91</v>
      </c>
      <c r="D584" s="497" t="s">
        <v>92</v>
      </c>
      <c r="E584" s="496" t="str">
        <f t="shared" si="27"/>
        <v>12</v>
      </c>
      <c r="F584" s="496">
        <v>25724</v>
      </c>
      <c r="G584" s="496" t="str">
        <f t="shared" si="28"/>
        <v>20138861300</v>
      </c>
    </row>
    <row r="585" spans="1:7">
      <c r="A585" s="496">
        <f t="shared" si="29"/>
        <v>584</v>
      </c>
      <c r="B585" s="496" t="s">
        <v>671</v>
      </c>
      <c r="C585" s="495" t="s">
        <v>77</v>
      </c>
      <c r="D585" s="497" t="s">
        <v>78</v>
      </c>
      <c r="E585" s="496" t="str">
        <f t="shared" si="27"/>
        <v>07</v>
      </c>
      <c r="F585" s="496">
        <v>25717</v>
      </c>
      <c r="G585" s="496" t="str">
        <f t="shared" si="28"/>
        <v>20140181405</v>
      </c>
    </row>
    <row r="586" spans="1:7">
      <c r="A586" s="496">
        <f t="shared" si="29"/>
        <v>585</v>
      </c>
      <c r="B586" s="496" t="s">
        <v>672</v>
      </c>
      <c r="C586" s="495" t="s">
        <v>82</v>
      </c>
      <c r="D586" s="497" t="s">
        <v>83</v>
      </c>
      <c r="E586" s="496" t="str">
        <f t="shared" si="27"/>
        <v>08</v>
      </c>
      <c r="F586" s="496">
        <v>25718</v>
      </c>
      <c r="G586" s="496" t="str">
        <f t="shared" si="28"/>
        <v>20140441083</v>
      </c>
    </row>
    <row r="587" spans="1:7">
      <c r="A587" s="496">
        <f t="shared" si="29"/>
        <v>586</v>
      </c>
      <c r="B587" s="496" t="s">
        <v>673</v>
      </c>
      <c r="C587" s="495" t="s">
        <v>85</v>
      </c>
      <c r="D587" s="497" t="s">
        <v>86</v>
      </c>
      <c r="E587" s="496" t="str">
        <f t="shared" si="27"/>
        <v>09</v>
      </c>
      <c r="F587" s="496">
        <v>25719</v>
      </c>
      <c r="G587" s="496" t="str">
        <f t="shared" si="28"/>
        <v>20140476545</v>
      </c>
    </row>
    <row r="588" spans="1:7">
      <c r="A588" s="496">
        <f t="shared" si="29"/>
        <v>587</v>
      </c>
      <c r="B588" s="496" t="s">
        <v>674</v>
      </c>
      <c r="C588" s="495" t="s">
        <v>88</v>
      </c>
      <c r="D588" s="497" t="s">
        <v>89</v>
      </c>
      <c r="E588" s="496" t="str">
        <f t="shared" si="27"/>
        <v>11</v>
      </c>
      <c r="F588" s="496">
        <v>25720</v>
      </c>
      <c r="G588" s="496" t="str">
        <f t="shared" si="28"/>
        <v>20140688640</v>
      </c>
    </row>
    <row r="589" spans="1:7">
      <c r="A589" s="496">
        <f t="shared" si="29"/>
        <v>588</v>
      </c>
      <c r="B589" s="496" t="s">
        <v>675</v>
      </c>
      <c r="C589" s="495" t="s">
        <v>91</v>
      </c>
      <c r="D589" s="497" t="s">
        <v>92</v>
      </c>
      <c r="E589" s="496" t="str">
        <f t="shared" si="27"/>
        <v>12</v>
      </c>
      <c r="F589" s="496">
        <v>25724</v>
      </c>
      <c r="G589" s="496" t="str">
        <f t="shared" si="28"/>
        <v>20141189850</v>
      </c>
    </row>
    <row r="590" spans="1:7">
      <c r="A590" s="496">
        <f t="shared" si="29"/>
        <v>589</v>
      </c>
      <c r="B590" s="496" t="s">
        <v>676</v>
      </c>
      <c r="C590" s="495" t="s">
        <v>77</v>
      </c>
      <c r="D590" s="497" t="s">
        <v>78</v>
      </c>
      <c r="E590" s="496" t="str">
        <f t="shared" si="27"/>
        <v>07</v>
      </c>
      <c r="F590" s="496">
        <v>25717</v>
      </c>
      <c r="G590" s="496" t="str">
        <f t="shared" si="28"/>
        <v>20141723601</v>
      </c>
    </row>
    <row r="591" spans="1:7">
      <c r="A591" s="496">
        <f t="shared" si="29"/>
        <v>590</v>
      </c>
      <c r="B591" s="496" t="s">
        <v>677</v>
      </c>
      <c r="C591" s="495" t="s">
        <v>82</v>
      </c>
      <c r="D591" s="497" t="s">
        <v>83</v>
      </c>
      <c r="E591" s="496" t="str">
        <f t="shared" si="27"/>
        <v>08</v>
      </c>
      <c r="F591" s="496">
        <v>25718</v>
      </c>
      <c r="G591" s="496" t="str">
        <f t="shared" si="28"/>
        <v>20142586712</v>
      </c>
    </row>
    <row r="592" spans="1:7">
      <c r="A592" s="496">
        <f t="shared" si="29"/>
        <v>591</v>
      </c>
      <c r="B592" s="496" t="s">
        <v>678</v>
      </c>
      <c r="C592" s="495" t="s">
        <v>85</v>
      </c>
      <c r="D592" s="497" t="s">
        <v>86</v>
      </c>
      <c r="E592" s="496" t="str">
        <f t="shared" si="27"/>
        <v>09</v>
      </c>
      <c r="F592" s="496">
        <v>25719</v>
      </c>
      <c r="G592" s="496" t="str">
        <f t="shared" si="28"/>
        <v>20143229816</v>
      </c>
    </row>
    <row r="593" spans="1:7">
      <c r="A593" s="496">
        <f t="shared" si="29"/>
        <v>592</v>
      </c>
      <c r="B593" s="496" t="s">
        <v>679</v>
      </c>
      <c r="C593" s="495" t="s">
        <v>88</v>
      </c>
      <c r="D593" s="497" t="s">
        <v>89</v>
      </c>
      <c r="E593" s="496" t="str">
        <f t="shared" si="27"/>
        <v>11</v>
      </c>
      <c r="F593" s="496">
        <v>25720</v>
      </c>
      <c r="G593" s="496" t="str">
        <f t="shared" si="28"/>
        <v>20143305857</v>
      </c>
    </row>
    <row r="594" spans="1:7">
      <c r="A594" s="496">
        <f t="shared" si="29"/>
        <v>593</v>
      </c>
      <c r="B594" s="496" t="s">
        <v>680</v>
      </c>
      <c r="C594" s="495" t="s">
        <v>91</v>
      </c>
      <c r="D594" s="497" t="s">
        <v>92</v>
      </c>
      <c r="E594" s="496" t="str">
        <f t="shared" si="27"/>
        <v>12</v>
      </c>
      <c r="F594" s="496">
        <v>25724</v>
      </c>
      <c r="G594" s="496" t="str">
        <f t="shared" si="28"/>
        <v>20143843328</v>
      </c>
    </row>
    <row r="595" spans="1:7">
      <c r="A595" s="496">
        <f t="shared" si="29"/>
        <v>594</v>
      </c>
      <c r="B595" s="496" t="s">
        <v>681</v>
      </c>
      <c r="C595" s="495" t="s">
        <v>77</v>
      </c>
      <c r="D595" s="497" t="s">
        <v>78</v>
      </c>
      <c r="E595" s="496" t="str">
        <f t="shared" si="27"/>
        <v>07</v>
      </c>
      <c r="F595" s="496">
        <v>25717</v>
      </c>
      <c r="G595" s="496" t="str">
        <f t="shared" si="28"/>
        <v>20143844723</v>
      </c>
    </row>
    <row r="596" spans="1:7">
      <c r="A596" s="496">
        <f t="shared" si="29"/>
        <v>595</v>
      </c>
      <c r="B596" s="496" t="s">
        <v>682</v>
      </c>
      <c r="C596" s="495" t="s">
        <v>82</v>
      </c>
      <c r="D596" s="497" t="s">
        <v>83</v>
      </c>
      <c r="E596" s="496" t="str">
        <f t="shared" si="27"/>
        <v>08</v>
      </c>
      <c r="F596" s="496">
        <v>25718</v>
      </c>
      <c r="G596" s="496" t="str">
        <f t="shared" si="28"/>
        <v>20144118872</v>
      </c>
    </row>
    <row r="597" spans="1:7">
      <c r="A597" s="496">
        <f t="shared" si="29"/>
        <v>596</v>
      </c>
      <c r="B597" s="496" t="s">
        <v>683</v>
      </c>
      <c r="C597" s="495" t="s">
        <v>85</v>
      </c>
      <c r="D597" s="497" t="s">
        <v>86</v>
      </c>
      <c r="E597" s="496" t="str">
        <f t="shared" si="27"/>
        <v>09</v>
      </c>
      <c r="F597" s="496">
        <v>25719</v>
      </c>
      <c r="G597" s="496" t="str">
        <f t="shared" si="28"/>
        <v>20144215649</v>
      </c>
    </row>
    <row r="598" spans="1:7">
      <c r="A598" s="496">
        <f t="shared" si="29"/>
        <v>597</v>
      </c>
      <c r="B598" s="496" t="s">
        <v>684</v>
      </c>
      <c r="C598" s="495" t="s">
        <v>88</v>
      </c>
      <c r="D598" s="497" t="s">
        <v>89</v>
      </c>
      <c r="E598" s="496" t="str">
        <f t="shared" si="27"/>
        <v>11</v>
      </c>
      <c r="F598" s="496">
        <v>25720</v>
      </c>
      <c r="G598" s="496" t="str">
        <f t="shared" si="28"/>
        <v>20144976411</v>
      </c>
    </row>
    <row r="599" spans="1:7">
      <c r="A599" s="496">
        <f t="shared" si="29"/>
        <v>598</v>
      </c>
      <c r="B599" s="496" t="s">
        <v>685</v>
      </c>
      <c r="C599" s="495" t="s">
        <v>91</v>
      </c>
      <c r="D599" s="497" t="s">
        <v>92</v>
      </c>
      <c r="E599" s="496" t="str">
        <f t="shared" si="27"/>
        <v>12</v>
      </c>
      <c r="F599" s="496">
        <v>25724</v>
      </c>
      <c r="G599" s="496" t="str">
        <f t="shared" si="28"/>
        <v>20145259551</v>
      </c>
    </row>
    <row r="600" spans="1:7">
      <c r="A600" s="496">
        <f t="shared" si="29"/>
        <v>599</v>
      </c>
      <c r="B600" s="496" t="s">
        <v>686</v>
      </c>
      <c r="C600" s="495" t="s">
        <v>77</v>
      </c>
      <c r="D600" s="497" t="s">
        <v>78</v>
      </c>
      <c r="E600" s="496" t="str">
        <f t="shared" si="27"/>
        <v>07</v>
      </c>
      <c r="F600" s="496">
        <v>25717</v>
      </c>
      <c r="G600" s="496" t="str">
        <f t="shared" si="28"/>
        <v>20147883952</v>
      </c>
    </row>
    <row r="601" spans="1:7">
      <c r="A601" s="496">
        <f t="shared" si="29"/>
        <v>600</v>
      </c>
      <c r="B601" s="496" t="s">
        <v>687</v>
      </c>
      <c r="C601" s="495" t="s">
        <v>82</v>
      </c>
      <c r="D601" s="497" t="s">
        <v>83</v>
      </c>
      <c r="E601" s="496" t="str">
        <f t="shared" si="27"/>
        <v>08</v>
      </c>
      <c r="F601" s="496">
        <v>25718</v>
      </c>
      <c r="G601" s="496" t="str">
        <f t="shared" si="28"/>
        <v>20152960621</v>
      </c>
    </row>
    <row r="602" spans="1:7">
      <c r="A602" s="496">
        <f t="shared" si="29"/>
        <v>601</v>
      </c>
      <c r="B602" s="496" t="s">
        <v>688</v>
      </c>
      <c r="C602" s="495" t="s">
        <v>85</v>
      </c>
      <c r="D602" s="497" t="s">
        <v>86</v>
      </c>
      <c r="E602" s="496" t="str">
        <f t="shared" si="27"/>
        <v>09</v>
      </c>
      <c r="F602" s="496">
        <v>25719</v>
      </c>
      <c r="G602" s="496" t="str">
        <f t="shared" si="28"/>
        <v>20153089401</v>
      </c>
    </row>
    <row r="603" spans="1:7">
      <c r="A603" s="496">
        <f t="shared" si="29"/>
        <v>602</v>
      </c>
      <c r="B603" s="496" t="s">
        <v>689</v>
      </c>
      <c r="C603" s="495" t="s">
        <v>88</v>
      </c>
      <c r="D603" s="497" t="s">
        <v>89</v>
      </c>
      <c r="E603" s="496" t="str">
        <f t="shared" si="27"/>
        <v>11</v>
      </c>
      <c r="F603" s="496">
        <v>25720</v>
      </c>
      <c r="G603" s="496" t="str">
        <f t="shared" si="28"/>
        <v>20153154237</v>
      </c>
    </row>
    <row r="604" spans="1:7">
      <c r="A604" s="496">
        <f t="shared" si="29"/>
        <v>603</v>
      </c>
      <c r="B604" s="496" t="s">
        <v>690</v>
      </c>
      <c r="C604" s="495" t="s">
        <v>91</v>
      </c>
      <c r="D604" s="497" t="s">
        <v>92</v>
      </c>
      <c r="E604" s="496" t="str">
        <f t="shared" si="27"/>
        <v>12</v>
      </c>
      <c r="F604" s="496">
        <v>25724</v>
      </c>
      <c r="G604" s="496" t="str">
        <f t="shared" si="28"/>
        <v>20153187755</v>
      </c>
    </row>
    <row r="605" spans="1:7">
      <c r="A605" s="496">
        <f t="shared" si="29"/>
        <v>604</v>
      </c>
      <c r="B605" s="496" t="s">
        <v>691</v>
      </c>
      <c r="C605" s="495" t="s">
        <v>77</v>
      </c>
      <c r="D605" s="497" t="s">
        <v>78</v>
      </c>
      <c r="E605" s="496" t="str">
        <f t="shared" si="27"/>
        <v>07</v>
      </c>
      <c r="F605" s="496">
        <v>25717</v>
      </c>
      <c r="G605" s="496" t="str">
        <f t="shared" si="28"/>
        <v>20154913611</v>
      </c>
    </row>
    <row r="606" spans="1:7">
      <c r="A606" s="496">
        <f t="shared" si="29"/>
        <v>605</v>
      </c>
      <c r="B606" s="496" t="s">
        <v>692</v>
      </c>
      <c r="C606" s="495" t="s">
        <v>82</v>
      </c>
      <c r="D606" s="497" t="s">
        <v>83</v>
      </c>
      <c r="E606" s="496" t="str">
        <f t="shared" si="27"/>
        <v>08</v>
      </c>
      <c r="F606" s="496">
        <v>25718</v>
      </c>
      <c r="G606" s="496" t="str">
        <f t="shared" si="28"/>
        <v>20154981021</v>
      </c>
    </row>
    <row r="607" spans="1:7">
      <c r="A607" s="496">
        <f t="shared" si="29"/>
        <v>606</v>
      </c>
      <c r="B607" s="496" t="s">
        <v>693</v>
      </c>
      <c r="C607" s="495" t="s">
        <v>85</v>
      </c>
      <c r="D607" s="497" t="s">
        <v>86</v>
      </c>
      <c r="E607" s="496" t="str">
        <f t="shared" si="27"/>
        <v>09</v>
      </c>
      <c r="F607" s="496">
        <v>25719</v>
      </c>
      <c r="G607" s="496" t="str">
        <f t="shared" si="28"/>
        <v>20156178889</v>
      </c>
    </row>
    <row r="608" spans="1:7">
      <c r="A608" s="496">
        <f t="shared" si="29"/>
        <v>607</v>
      </c>
      <c r="B608" s="496" t="s">
        <v>694</v>
      </c>
      <c r="C608" s="495" t="s">
        <v>88</v>
      </c>
      <c r="D608" s="497" t="s">
        <v>89</v>
      </c>
      <c r="E608" s="496" t="str">
        <f t="shared" si="27"/>
        <v>11</v>
      </c>
      <c r="F608" s="496">
        <v>25720</v>
      </c>
      <c r="G608" s="496" t="str">
        <f t="shared" si="28"/>
        <v>20160272784</v>
      </c>
    </row>
    <row r="609" spans="1:7">
      <c r="A609" s="496">
        <f t="shared" si="29"/>
        <v>608</v>
      </c>
      <c r="B609" s="496" t="s">
        <v>695</v>
      </c>
      <c r="C609" s="495" t="s">
        <v>91</v>
      </c>
      <c r="D609" s="497" t="s">
        <v>92</v>
      </c>
      <c r="E609" s="496" t="str">
        <f t="shared" si="27"/>
        <v>12</v>
      </c>
      <c r="F609" s="496">
        <v>25724</v>
      </c>
      <c r="G609" s="496" t="str">
        <f t="shared" si="28"/>
        <v>20160286068</v>
      </c>
    </row>
    <row r="610" spans="1:7">
      <c r="A610" s="496">
        <f t="shared" si="29"/>
        <v>609</v>
      </c>
      <c r="B610" s="496" t="s">
        <v>696</v>
      </c>
      <c r="C610" s="495" t="s">
        <v>77</v>
      </c>
      <c r="D610" s="497" t="s">
        <v>78</v>
      </c>
      <c r="E610" s="496" t="str">
        <f t="shared" si="27"/>
        <v>07</v>
      </c>
      <c r="F610" s="496">
        <v>25717</v>
      </c>
      <c r="G610" s="496" t="str">
        <f t="shared" si="28"/>
        <v>20160479290</v>
      </c>
    </row>
    <row r="611" spans="1:7">
      <c r="A611" s="496">
        <f t="shared" si="29"/>
        <v>610</v>
      </c>
      <c r="B611" s="496" t="s">
        <v>697</v>
      </c>
      <c r="C611" s="495" t="s">
        <v>82</v>
      </c>
      <c r="D611" s="497" t="s">
        <v>83</v>
      </c>
      <c r="E611" s="496" t="str">
        <f t="shared" si="27"/>
        <v>08</v>
      </c>
      <c r="F611" s="496">
        <v>25718</v>
      </c>
      <c r="G611" s="496" t="str">
        <f t="shared" si="28"/>
        <v>20160641810</v>
      </c>
    </row>
    <row r="612" spans="1:7">
      <c r="A612" s="496">
        <f t="shared" si="29"/>
        <v>611</v>
      </c>
      <c r="B612" s="496" t="s">
        <v>698</v>
      </c>
      <c r="C612" s="495" t="s">
        <v>85</v>
      </c>
      <c r="D612" s="497" t="s">
        <v>86</v>
      </c>
      <c r="E612" s="496" t="str">
        <f t="shared" si="27"/>
        <v>09</v>
      </c>
      <c r="F612" s="496">
        <v>25719</v>
      </c>
      <c r="G612" s="496" t="str">
        <f t="shared" si="28"/>
        <v>20161636780</v>
      </c>
    </row>
    <row r="613" spans="1:7">
      <c r="A613" s="496">
        <f t="shared" si="29"/>
        <v>612</v>
      </c>
      <c r="B613" s="496" t="s">
        <v>699</v>
      </c>
      <c r="C613" s="495" t="s">
        <v>88</v>
      </c>
      <c r="D613" s="497" t="s">
        <v>89</v>
      </c>
      <c r="E613" s="496" t="str">
        <f t="shared" si="27"/>
        <v>11</v>
      </c>
      <c r="F613" s="496">
        <v>25720</v>
      </c>
      <c r="G613" s="496" t="str">
        <f t="shared" si="28"/>
        <v>20161946037</v>
      </c>
    </row>
    <row r="614" spans="1:7">
      <c r="A614" s="496">
        <f t="shared" si="29"/>
        <v>613</v>
      </c>
      <c r="B614" s="496" t="s">
        <v>700</v>
      </c>
      <c r="C614" s="495" t="s">
        <v>91</v>
      </c>
      <c r="D614" s="497" t="s">
        <v>92</v>
      </c>
      <c r="E614" s="496" t="str">
        <f t="shared" si="27"/>
        <v>12</v>
      </c>
      <c r="F614" s="496">
        <v>25724</v>
      </c>
      <c r="G614" s="496" t="str">
        <f t="shared" si="28"/>
        <v>20162348931</v>
      </c>
    </row>
    <row r="615" spans="1:7">
      <c r="A615" s="496">
        <f t="shared" si="29"/>
        <v>614</v>
      </c>
      <c r="B615" s="496" t="s">
        <v>701</v>
      </c>
      <c r="C615" s="495" t="s">
        <v>77</v>
      </c>
      <c r="D615" s="497" t="s">
        <v>78</v>
      </c>
      <c r="E615" s="496" t="str">
        <f t="shared" si="27"/>
        <v>07</v>
      </c>
      <c r="F615" s="496">
        <v>25717</v>
      </c>
      <c r="G615" s="496" t="str">
        <f t="shared" si="28"/>
        <v>20163901197</v>
      </c>
    </row>
    <row r="616" spans="1:7">
      <c r="A616" s="496">
        <f t="shared" si="29"/>
        <v>615</v>
      </c>
      <c r="B616" s="496" t="s">
        <v>702</v>
      </c>
      <c r="C616" s="495" t="s">
        <v>82</v>
      </c>
      <c r="D616" s="497" t="s">
        <v>83</v>
      </c>
      <c r="E616" s="496" t="str">
        <f t="shared" si="27"/>
        <v>08</v>
      </c>
      <c r="F616" s="496">
        <v>25718</v>
      </c>
      <c r="G616" s="496" t="str">
        <f t="shared" si="28"/>
        <v>20164113532</v>
      </c>
    </row>
    <row r="617" spans="1:7">
      <c r="A617" s="496">
        <f t="shared" si="29"/>
        <v>616</v>
      </c>
      <c r="B617" s="496" t="s">
        <v>703</v>
      </c>
      <c r="C617" s="495" t="s">
        <v>85</v>
      </c>
      <c r="D617" s="497" t="s">
        <v>86</v>
      </c>
      <c r="E617" s="496" t="str">
        <f t="shared" si="27"/>
        <v>09</v>
      </c>
      <c r="F617" s="496">
        <v>25719</v>
      </c>
      <c r="G617" s="496" t="str">
        <f t="shared" si="28"/>
        <v>20164766251</v>
      </c>
    </row>
    <row r="618" spans="1:7">
      <c r="A618" s="496">
        <f t="shared" si="29"/>
        <v>617</v>
      </c>
      <c r="B618" s="496" t="s">
        <v>704</v>
      </c>
      <c r="C618" s="495" t="s">
        <v>88</v>
      </c>
      <c r="D618" s="497" t="s">
        <v>89</v>
      </c>
      <c r="E618" s="496" t="str">
        <f t="shared" si="27"/>
        <v>11</v>
      </c>
      <c r="F618" s="496">
        <v>25720</v>
      </c>
      <c r="G618" s="496" t="str">
        <f t="shared" si="28"/>
        <v>20165317581</v>
      </c>
    </row>
    <row r="619" spans="1:7">
      <c r="A619" s="496">
        <f t="shared" si="29"/>
        <v>618</v>
      </c>
      <c r="B619" s="496" t="s">
        <v>705</v>
      </c>
      <c r="C619" s="495" t="s">
        <v>91</v>
      </c>
      <c r="D619" s="497" t="s">
        <v>92</v>
      </c>
      <c r="E619" s="496" t="str">
        <f t="shared" si="27"/>
        <v>12</v>
      </c>
      <c r="F619" s="496">
        <v>25724</v>
      </c>
      <c r="G619" s="496" t="str">
        <f t="shared" si="28"/>
        <v>20165555253</v>
      </c>
    </row>
    <row r="620" spans="1:7">
      <c r="A620" s="496">
        <f t="shared" si="29"/>
        <v>619</v>
      </c>
      <c r="B620" s="496" t="s">
        <v>706</v>
      </c>
      <c r="C620" s="495" t="s">
        <v>77</v>
      </c>
      <c r="D620" s="497" t="s">
        <v>78</v>
      </c>
      <c r="E620" s="496" t="str">
        <f t="shared" si="27"/>
        <v>07</v>
      </c>
      <c r="F620" s="496">
        <v>25717</v>
      </c>
      <c r="G620" s="496" t="str">
        <f t="shared" si="28"/>
        <v>20166125961</v>
      </c>
    </row>
    <row r="621" spans="1:7">
      <c r="A621" s="496">
        <f t="shared" si="29"/>
        <v>620</v>
      </c>
      <c r="B621" s="496" t="s">
        <v>707</v>
      </c>
      <c r="C621" s="495" t="s">
        <v>82</v>
      </c>
      <c r="D621" s="497" t="s">
        <v>83</v>
      </c>
      <c r="E621" s="496" t="str">
        <f t="shared" si="27"/>
        <v>08</v>
      </c>
      <c r="F621" s="496">
        <v>25718</v>
      </c>
      <c r="G621" s="496" t="str">
        <f t="shared" si="28"/>
        <v>20167921109</v>
      </c>
    </row>
    <row r="622" spans="1:7">
      <c r="A622" s="496">
        <f t="shared" si="29"/>
        <v>621</v>
      </c>
      <c r="B622" s="496" t="s">
        <v>708</v>
      </c>
      <c r="C622" s="495" t="s">
        <v>85</v>
      </c>
      <c r="D622" s="497" t="s">
        <v>86</v>
      </c>
      <c r="E622" s="496" t="str">
        <f t="shared" si="27"/>
        <v>09</v>
      </c>
      <c r="F622" s="496">
        <v>25719</v>
      </c>
      <c r="G622" s="496" t="str">
        <f t="shared" si="28"/>
        <v>20167930868</v>
      </c>
    </row>
    <row r="623" spans="1:7">
      <c r="A623" s="496">
        <f t="shared" si="29"/>
        <v>622</v>
      </c>
      <c r="B623" s="496" t="s">
        <v>709</v>
      </c>
      <c r="C623" s="495" t="s">
        <v>88</v>
      </c>
      <c r="D623" s="497" t="s">
        <v>89</v>
      </c>
      <c r="E623" s="496" t="str">
        <f t="shared" si="27"/>
        <v>11</v>
      </c>
      <c r="F623" s="496">
        <v>25720</v>
      </c>
      <c r="G623" s="496" t="str">
        <f t="shared" si="28"/>
        <v>20168707224</v>
      </c>
    </row>
    <row r="624" spans="1:7">
      <c r="A624" s="496">
        <f t="shared" si="29"/>
        <v>623</v>
      </c>
      <c r="B624" s="496" t="s">
        <v>710</v>
      </c>
      <c r="C624" s="495" t="s">
        <v>91</v>
      </c>
      <c r="D624" s="497" t="s">
        <v>92</v>
      </c>
      <c r="E624" s="496" t="str">
        <f t="shared" si="27"/>
        <v>12</v>
      </c>
      <c r="F624" s="496">
        <v>25724</v>
      </c>
      <c r="G624" s="496" t="str">
        <f t="shared" si="28"/>
        <v>20170276621</v>
      </c>
    </row>
    <row r="625" spans="1:7">
      <c r="A625" s="496">
        <f t="shared" si="29"/>
        <v>624</v>
      </c>
      <c r="B625" s="496" t="s">
        <v>711</v>
      </c>
      <c r="C625" s="495" t="s">
        <v>77</v>
      </c>
      <c r="D625" s="497" t="s">
        <v>78</v>
      </c>
      <c r="E625" s="496" t="str">
        <f t="shared" si="27"/>
        <v>07</v>
      </c>
      <c r="F625" s="496">
        <v>25717</v>
      </c>
      <c r="G625" s="496" t="str">
        <f t="shared" si="28"/>
        <v>20170291345</v>
      </c>
    </row>
    <row r="626" spans="1:7">
      <c r="A626" s="496">
        <f t="shared" si="29"/>
        <v>625</v>
      </c>
      <c r="B626" s="496" t="s">
        <v>712</v>
      </c>
      <c r="C626" s="495" t="s">
        <v>82</v>
      </c>
      <c r="D626" s="497" t="s">
        <v>83</v>
      </c>
      <c r="E626" s="496" t="str">
        <f t="shared" si="27"/>
        <v>08</v>
      </c>
      <c r="F626" s="496">
        <v>25718</v>
      </c>
      <c r="G626" s="496" t="str">
        <f t="shared" si="28"/>
        <v>20171036284</v>
      </c>
    </row>
    <row r="627" spans="1:7">
      <c r="A627" s="496">
        <f t="shared" si="29"/>
        <v>626</v>
      </c>
      <c r="B627" s="496" t="s">
        <v>713</v>
      </c>
      <c r="C627" s="495" t="s">
        <v>85</v>
      </c>
      <c r="D627" s="497" t="s">
        <v>86</v>
      </c>
      <c r="E627" s="496" t="str">
        <f t="shared" si="27"/>
        <v>09</v>
      </c>
      <c r="F627" s="496">
        <v>25719</v>
      </c>
      <c r="G627" s="496" t="str">
        <f t="shared" si="28"/>
        <v>20171586608</v>
      </c>
    </row>
    <row r="628" spans="1:7">
      <c r="A628" s="496">
        <f t="shared" si="29"/>
        <v>627</v>
      </c>
      <c r="B628" s="496" t="s">
        <v>714</v>
      </c>
      <c r="C628" s="495" t="s">
        <v>88</v>
      </c>
      <c r="D628" s="497" t="s">
        <v>89</v>
      </c>
      <c r="E628" s="496" t="str">
        <f t="shared" si="27"/>
        <v>11</v>
      </c>
      <c r="F628" s="496">
        <v>25720</v>
      </c>
      <c r="G628" s="496" t="str">
        <f t="shared" si="28"/>
        <v>20171707596</v>
      </c>
    </row>
    <row r="629" spans="1:7">
      <c r="A629" s="496">
        <f t="shared" si="29"/>
        <v>628</v>
      </c>
      <c r="B629" s="496" t="s">
        <v>715</v>
      </c>
      <c r="C629" s="495" t="s">
        <v>91</v>
      </c>
      <c r="D629" s="497" t="s">
        <v>92</v>
      </c>
      <c r="E629" s="496" t="str">
        <f t="shared" si="27"/>
        <v>12</v>
      </c>
      <c r="F629" s="496">
        <v>25724</v>
      </c>
      <c r="G629" s="496" t="str">
        <f t="shared" si="28"/>
        <v>20174513245</v>
      </c>
    </row>
    <row r="630" spans="1:7">
      <c r="A630" s="496">
        <f t="shared" si="29"/>
        <v>629</v>
      </c>
      <c r="B630" s="496" t="s">
        <v>716</v>
      </c>
      <c r="C630" s="495" t="s">
        <v>77</v>
      </c>
      <c r="D630" s="497" t="s">
        <v>78</v>
      </c>
      <c r="E630" s="496" t="str">
        <f t="shared" si="27"/>
        <v>07</v>
      </c>
      <c r="F630" s="496">
        <v>25717</v>
      </c>
      <c r="G630" s="496" t="str">
        <f t="shared" si="28"/>
        <v>20175140591</v>
      </c>
    </row>
    <row r="631" spans="1:7">
      <c r="A631" s="496">
        <f t="shared" si="29"/>
        <v>630</v>
      </c>
      <c r="B631" s="496" t="s">
        <v>717</v>
      </c>
      <c r="C631" s="495" t="s">
        <v>82</v>
      </c>
      <c r="D631" s="497" t="s">
        <v>83</v>
      </c>
      <c r="E631" s="496" t="str">
        <f t="shared" si="27"/>
        <v>08</v>
      </c>
      <c r="F631" s="496">
        <v>25718</v>
      </c>
      <c r="G631" s="496" t="str">
        <f t="shared" si="28"/>
        <v>20175346962</v>
      </c>
    </row>
    <row r="632" spans="1:7">
      <c r="A632" s="496">
        <f t="shared" si="29"/>
        <v>631</v>
      </c>
      <c r="B632" s="496" t="s">
        <v>718</v>
      </c>
      <c r="C632" s="495" t="s">
        <v>85</v>
      </c>
      <c r="D632" s="497" t="s">
        <v>86</v>
      </c>
      <c r="E632" s="496" t="str">
        <f t="shared" si="27"/>
        <v>09</v>
      </c>
      <c r="F632" s="496">
        <v>25719</v>
      </c>
      <c r="G632" s="496" t="str">
        <f t="shared" si="28"/>
        <v>20176539977</v>
      </c>
    </row>
    <row r="633" spans="1:7">
      <c r="A633" s="496">
        <f t="shared" si="29"/>
        <v>632</v>
      </c>
      <c r="B633" s="496" t="s">
        <v>719</v>
      </c>
      <c r="C633" s="495" t="s">
        <v>88</v>
      </c>
      <c r="D633" s="497" t="s">
        <v>89</v>
      </c>
      <c r="E633" s="496" t="str">
        <f t="shared" si="27"/>
        <v>11</v>
      </c>
      <c r="F633" s="496">
        <v>25720</v>
      </c>
      <c r="G633" s="496" t="str">
        <f t="shared" si="28"/>
        <v>20179664306</v>
      </c>
    </row>
    <row r="634" spans="1:7">
      <c r="A634" s="496">
        <f t="shared" si="29"/>
        <v>633</v>
      </c>
      <c r="B634" s="496" t="s">
        <v>720</v>
      </c>
      <c r="C634" s="495" t="s">
        <v>91</v>
      </c>
      <c r="D634" s="497" t="s">
        <v>92</v>
      </c>
      <c r="E634" s="496" t="str">
        <f t="shared" si="27"/>
        <v>12</v>
      </c>
      <c r="F634" s="496">
        <v>25724</v>
      </c>
      <c r="G634" s="496" t="str">
        <f t="shared" si="28"/>
        <v>20180516647</v>
      </c>
    </row>
    <row r="635" spans="1:7">
      <c r="A635" s="496">
        <f t="shared" si="29"/>
        <v>634</v>
      </c>
      <c r="B635" s="496" t="s">
        <v>721</v>
      </c>
      <c r="C635" s="495" t="s">
        <v>77</v>
      </c>
      <c r="D635" s="497" t="s">
        <v>78</v>
      </c>
      <c r="E635" s="496" t="str">
        <f t="shared" si="27"/>
        <v>07</v>
      </c>
      <c r="F635" s="496">
        <v>25717</v>
      </c>
      <c r="G635" s="496" t="str">
        <f t="shared" si="28"/>
        <v>20184569745</v>
      </c>
    </row>
    <row r="636" spans="1:7">
      <c r="A636" s="496">
        <f t="shared" si="29"/>
        <v>635</v>
      </c>
      <c r="B636" s="496" t="s">
        <v>722</v>
      </c>
      <c r="C636" s="495" t="s">
        <v>82</v>
      </c>
      <c r="D636" s="497" t="s">
        <v>83</v>
      </c>
      <c r="E636" s="496" t="str">
        <f t="shared" si="27"/>
        <v>08</v>
      </c>
      <c r="F636" s="496">
        <v>25718</v>
      </c>
      <c r="G636" s="496" t="str">
        <f t="shared" si="28"/>
        <v>20191308868</v>
      </c>
    </row>
    <row r="637" spans="1:7">
      <c r="A637" s="496">
        <f t="shared" si="29"/>
        <v>636</v>
      </c>
      <c r="B637" s="496" t="s">
        <v>723</v>
      </c>
      <c r="C637" s="495" t="s">
        <v>85</v>
      </c>
      <c r="D637" s="497" t="s">
        <v>86</v>
      </c>
      <c r="E637" s="496" t="str">
        <f t="shared" si="27"/>
        <v>09</v>
      </c>
      <c r="F637" s="496">
        <v>25719</v>
      </c>
      <c r="G637" s="496" t="str">
        <f t="shared" si="28"/>
        <v>20193696920</v>
      </c>
    </row>
    <row r="638" spans="1:7">
      <c r="A638" s="496">
        <f t="shared" si="29"/>
        <v>637</v>
      </c>
      <c r="B638" s="496" t="s">
        <v>724</v>
      </c>
      <c r="C638" s="495" t="s">
        <v>88</v>
      </c>
      <c r="D638" s="497" t="s">
        <v>89</v>
      </c>
      <c r="E638" s="496" t="str">
        <f t="shared" si="27"/>
        <v>11</v>
      </c>
      <c r="F638" s="496">
        <v>25720</v>
      </c>
      <c r="G638" s="496" t="str">
        <f t="shared" si="28"/>
        <v>20195011169</v>
      </c>
    </row>
    <row r="639" spans="1:7">
      <c r="A639" s="496">
        <f t="shared" si="29"/>
        <v>638</v>
      </c>
      <c r="B639" s="496" t="s">
        <v>725</v>
      </c>
      <c r="C639" s="495" t="s">
        <v>91</v>
      </c>
      <c r="D639" s="497" t="s">
        <v>92</v>
      </c>
      <c r="E639" s="496" t="str">
        <f t="shared" si="27"/>
        <v>12</v>
      </c>
      <c r="F639" s="496">
        <v>25724</v>
      </c>
      <c r="G639" s="496" t="str">
        <f t="shared" si="28"/>
        <v>20195023418</v>
      </c>
    </row>
    <row r="640" spans="1:7">
      <c r="A640" s="496">
        <f t="shared" si="29"/>
        <v>639</v>
      </c>
      <c r="B640" s="496" t="s">
        <v>726</v>
      </c>
      <c r="C640" s="495" t="s">
        <v>77</v>
      </c>
      <c r="D640" s="497" t="s">
        <v>78</v>
      </c>
      <c r="E640" s="496" t="str">
        <f t="shared" si="27"/>
        <v>07</v>
      </c>
      <c r="F640" s="496">
        <v>25717</v>
      </c>
      <c r="G640" s="496" t="str">
        <f t="shared" si="28"/>
        <v>20196261487</v>
      </c>
    </row>
    <row r="641" spans="1:7">
      <c r="A641" s="496">
        <f t="shared" si="29"/>
        <v>640</v>
      </c>
      <c r="B641" s="496" t="s">
        <v>727</v>
      </c>
      <c r="C641" s="495" t="s">
        <v>82</v>
      </c>
      <c r="D641" s="497" t="s">
        <v>83</v>
      </c>
      <c r="E641" s="496" t="str">
        <f t="shared" si="27"/>
        <v>08</v>
      </c>
      <c r="F641" s="496">
        <v>25718</v>
      </c>
      <c r="G641" s="496" t="str">
        <f t="shared" si="28"/>
        <v>20196629000</v>
      </c>
    </row>
    <row r="642" spans="1:7">
      <c r="A642" s="496">
        <f t="shared" si="29"/>
        <v>641</v>
      </c>
      <c r="B642" s="496" t="s">
        <v>728</v>
      </c>
      <c r="C642" s="495" t="s">
        <v>85</v>
      </c>
      <c r="D642" s="497" t="s">
        <v>86</v>
      </c>
      <c r="E642" s="496" t="str">
        <f t="shared" si="27"/>
        <v>09</v>
      </c>
      <c r="F642" s="496">
        <v>25719</v>
      </c>
      <c r="G642" s="496" t="str">
        <f t="shared" si="28"/>
        <v>20196725149</v>
      </c>
    </row>
    <row r="643" spans="1:7">
      <c r="A643" s="496">
        <f t="shared" si="29"/>
        <v>642</v>
      </c>
      <c r="B643" s="496" t="s">
        <v>729</v>
      </c>
      <c r="C643" s="495" t="s">
        <v>88</v>
      </c>
      <c r="D643" s="497" t="s">
        <v>89</v>
      </c>
      <c r="E643" s="496" t="str">
        <f t="shared" ref="E643:E706" si="30">IF(MID(D643,14,1)="@",MID(D643,12,2),"0"&amp;MID(D643,12,1))</f>
        <v>11</v>
      </c>
      <c r="F643" s="496">
        <v>25720</v>
      </c>
      <c r="G643" s="496" t="str">
        <f t="shared" ref="G643:G706" si="31">CONCATENATE(B643)</f>
        <v>20196785044</v>
      </c>
    </row>
    <row r="644" spans="1:7">
      <c r="A644" s="496">
        <f t="shared" ref="A644:A707" si="32">+A643+1</f>
        <v>643</v>
      </c>
      <c r="B644" s="496" t="s">
        <v>730</v>
      </c>
      <c r="C644" s="495" t="s">
        <v>91</v>
      </c>
      <c r="D644" s="497" t="s">
        <v>92</v>
      </c>
      <c r="E644" s="496" t="str">
        <f t="shared" si="30"/>
        <v>12</v>
      </c>
      <c r="F644" s="496">
        <v>25724</v>
      </c>
      <c r="G644" s="496" t="str">
        <f t="shared" si="31"/>
        <v>20201146497</v>
      </c>
    </row>
    <row r="645" spans="1:7">
      <c r="A645" s="496">
        <f t="shared" si="32"/>
        <v>644</v>
      </c>
      <c r="B645" s="496" t="s">
        <v>731</v>
      </c>
      <c r="C645" s="495" t="s">
        <v>77</v>
      </c>
      <c r="D645" s="497" t="s">
        <v>78</v>
      </c>
      <c r="E645" s="496" t="str">
        <f t="shared" si="30"/>
        <v>07</v>
      </c>
      <c r="F645" s="496">
        <v>25717</v>
      </c>
      <c r="G645" s="496" t="str">
        <f t="shared" si="31"/>
        <v>20202576878</v>
      </c>
    </row>
    <row r="646" spans="1:7">
      <c r="A646" s="496">
        <f t="shared" si="32"/>
        <v>645</v>
      </c>
      <c r="B646" s="496" t="s">
        <v>732</v>
      </c>
      <c r="C646" s="495" t="s">
        <v>82</v>
      </c>
      <c r="D646" s="497" t="s">
        <v>83</v>
      </c>
      <c r="E646" s="496" t="str">
        <f t="shared" si="30"/>
        <v>08</v>
      </c>
      <c r="F646" s="496">
        <v>25718</v>
      </c>
      <c r="G646" s="496" t="str">
        <f t="shared" si="31"/>
        <v>20203082739</v>
      </c>
    </row>
    <row r="647" spans="1:7">
      <c r="A647" s="496">
        <f t="shared" si="32"/>
        <v>646</v>
      </c>
      <c r="B647" s="496" t="s">
        <v>733</v>
      </c>
      <c r="C647" s="495" t="s">
        <v>85</v>
      </c>
      <c r="D647" s="497" t="s">
        <v>86</v>
      </c>
      <c r="E647" s="496" t="str">
        <f t="shared" si="30"/>
        <v>09</v>
      </c>
      <c r="F647" s="496">
        <v>25719</v>
      </c>
      <c r="G647" s="496" t="str">
        <f t="shared" si="31"/>
        <v>20203610263</v>
      </c>
    </row>
    <row r="648" spans="1:7">
      <c r="A648" s="496">
        <f t="shared" si="32"/>
        <v>647</v>
      </c>
      <c r="B648" s="496" t="s">
        <v>734</v>
      </c>
      <c r="C648" s="495" t="s">
        <v>88</v>
      </c>
      <c r="D648" s="497" t="s">
        <v>89</v>
      </c>
      <c r="E648" s="496" t="str">
        <f t="shared" si="30"/>
        <v>11</v>
      </c>
      <c r="F648" s="496">
        <v>25720</v>
      </c>
      <c r="G648" s="496" t="str">
        <f t="shared" si="31"/>
        <v>20203650729</v>
      </c>
    </row>
    <row r="649" spans="1:7">
      <c r="A649" s="496">
        <f t="shared" si="32"/>
        <v>648</v>
      </c>
      <c r="B649" s="496" t="s">
        <v>735</v>
      </c>
      <c r="C649" s="495" t="s">
        <v>91</v>
      </c>
      <c r="D649" s="497" t="s">
        <v>92</v>
      </c>
      <c r="E649" s="496" t="str">
        <f t="shared" si="30"/>
        <v>12</v>
      </c>
      <c r="F649" s="496">
        <v>25724</v>
      </c>
      <c r="G649" s="496" t="str">
        <f t="shared" si="31"/>
        <v>20204441007</v>
      </c>
    </row>
    <row r="650" spans="1:7">
      <c r="A650" s="496">
        <f t="shared" si="32"/>
        <v>649</v>
      </c>
      <c r="B650" s="496" t="s">
        <v>736</v>
      </c>
      <c r="C650" s="495" t="s">
        <v>77</v>
      </c>
      <c r="D650" s="497" t="s">
        <v>78</v>
      </c>
      <c r="E650" s="496" t="str">
        <f t="shared" si="30"/>
        <v>07</v>
      </c>
      <c r="F650" s="496">
        <v>25717</v>
      </c>
      <c r="G650" s="496" t="str">
        <f t="shared" si="31"/>
        <v>20204844381</v>
      </c>
    </row>
    <row r="651" spans="1:7">
      <c r="A651" s="496">
        <f t="shared" si="32"/>
        <v>650</v>
      </c>
      <c r="B651" s="496" t="s">
        <v>737</v>
      </c>
      <c r="C651" s="495" t="s">
        <v>82</v>
      </c>
      <c r="D651" s="497" t="s">
        <v>83</v>
      </c>
      <c r="E651" s="496" t="str">
        <f t="shared" si="30"/>
        <v>08</v>
      </c>
      <c r="F651" s="496">
        <v>25718</v>
      </c>
      <c r="G651" s="496" t="str">
        <f t="shared" si="31"/>
        <v>20204921807</v>
      </c>
    </row>
    <row r="652" spans="1:7">
      <c r="A652" s="496">
        <f t="shared" si="32"/>
        <v>651</v>
      </c>
      <c r="B652" s="496" t="s">
        <v>738</v>
      </c>
      <c r="C652" s="495" t="s">
        <v>85</v>
      </c>
      <c r="D652" s="497" t="s">
        <v>86</v>
      </c>
      <c r="E652" s="496" t="str">
        <f t="shared" si="30"/>
        <v>09</v>
      </c>
      <c r="F652" s="496">
        <v>25719</v>
      </c>
      <c r="G652" s="496" t="str">
        <f t="shared" si="31"/>
        <v>20205572229</v>
      </c>
    </row>
    <row r="653" spans="1:7">
      <c r="A653" s="496">
        <f t="shared" si="32"/>
        <v>652</v>
      </c>
      <c r="B653" s="496" t="s">
        <v>739</v>
      </c>
      <c r="C653" s="495" t="s">
        <v>88</v>
      </c>
      <c r="D653" s="497" t="s">
        <v>89</v>
      </c>
      <c r="E653" s="496" t="str">
        <f t="shared" si="30"/>
        <v>11</v>
      </c>
      <c r="F653" s="496">
        <v>25720</v>
      </c>
      <c r="G653" s="496" t="str">
        <f t="shared" si="31"/>
        <v>20206018411</v>
      </c>
    </row>
    <row r="654" spans="1:7">
      <c r="A654" s="496">
        <f t="shared" si="32"/>
        <v>653</v>
      </c>
      <c r="B654" s="496" t="s">
        <v>740</v>
      </c>
      <c r="C654" s="495" t="s">
        <v>91</v>
      </c>
      <c r="D654" s="497" t="s">
        <v>92</v>
      </c>
      <c r="E654" s="496" t="str">
        <f t="shared" si="30"/>
        <v>12</v>
      </c>
      <c r="F654" s="496">
        <v>25724</v>
      </c>
      <c r="G654" s="496" t="str">
        <f t="shared" si="31"/>
        <v>20206228815</v>
      </c>
    </row>
    <row r="655" spans="1:7">
      <c r="A655" s="496">
        <f t="shared" si="32"/>
        <v>654</v>
      </c>
      <c r="B655" s="496" t="s">
        <v>741</v>
      </c>
      <c r="C655" s="495" t="s">
        <v>77</v>
      </c>
      <c r="D655" s="497" t="s">
        <v>78</v>
      </c>
      <c r="E655" s="496" t="str">
        <f t="shared" si="30"/>
        <v>07</v>
      </c>
      <c r="F655" s="496">
        <v>25717</v>
      </c>
      <c r="G655" s="496" t="str">
        <f t="shared" si="31"/>
        <v>20206553481</v>
      </c>
    </row>
    <row r="656" spans="1:7">
      <c r="A656" s="496">
        <f t="shared" si="32"/>
        <v>655</v>
      </c>
      <c r="B656" s="496" t="s">
        <v>742</v>
      </c>
      <c r="C656" s="495" t="s">
        <v>82</v>
      </c>
      <c r="D656" s="497" t="s">
        <v>83</v>
      </c>
      <c r="E656" s="496" t="str">
        <f t="shared" si="30"/>
        <v>08</v>
      </c>
      <c r="F656" s="496">
        <v>25718</v>
      </c>
      <c r="G656" s="496" t="str">
        <f t="shared" si="31"/>
        <v>20207080005</v>
      </c>
    </row>
    <row r="657" spans="1:7">
      <c r="A657" s="496">
        <f t="shared" si="32"/>
        <v>656</v>
      </c>
      <c r="B657" s="496" t="s">
        <v>743</v>
      </c>
      <c r="C657" s="495" t="s">
        <v>85</v>
      </c>
      <c r="D657" s="497" t="s">
        <v>86</v>
      </c>
      <c r="E657" s="496" t="str">
        <f t="shared" si="30"/>
        <v>09</v>
      </c>
      <c r="F657" s="496">
        <v>25719</v>
      </c>
      <c r="G657" s="496" t="str">
        <f t="shared" si="31"/>
        <v>20207190285</v>
      </c>
    </row>
    <row r="658" spans="1:7">
      <c r="A658" s="496">
        <f t="shared" si="32"/>
        <v>657</v>
      </c>
      <c r="B658" s="496" t="s">
        <v>744</v>
      </c>
      <c r="C658" s="495" t="s">
        <v>88</v>
      </c>
      <c r="D658" s="497" t="s">
        <v>89</v>
      </c>
      <c r="E658" s="496" t="str">
        <f t="shared" si="30"/>
        <v>11</v>
      </c>
      <c r="F658" s="496">
        <v>25720</v>
      </c>
      <c r="G658" s="496" t="str">
        <f t="shared" si="31"/>
        <v>20207770796</v>
      </c>
    </row>
    <row r="659" spans="1:7">
      <c r="A659" s="496">
        <f t="shared" si="32"/>
        <v>658</v>
      </c>
      <c r="B659" s="496" t="s">
        <v>745</v>
      </c>
      <c r="C659" s="495" t="s">
        <v>91</v>
      </c>
      <c r="D659" s="497" t="s">
        <v>92</v>
      </c>
      <c r="E659" s="496" t="str">
        <f t="shared" si="30"/>
        <v>12</v>
      </c>
      <c r="F659" s="496">
        <v>25724</v>
      </c>
      <c r="G659" s="496" t="str">
        <f t="shared" si="31"/>
        <v>20208423003</v>
      </c>
    </row>
    <row r="660" spans="1:7">
      <c r="A660" s="496">
        <f t="shared" si="32"/>
        <v>659</v>
      </c>
      <c r="B660" s="496" t="s">
        <v>746</v>
      </c>
      <c r="C660" s="495" t="s">
        <v>77</v>
      </c>
      <c r="D660" s="497" t="s">
        <v>78</v>
      </c>
      <c r="E660" s="496" t="str">
        <f t="shared" si="30"/>
        <v>07</v>
      </c>
      <c r="F660" s="496">
        <v>25717</v>
      </c>
      <c r="G660" s="496" t="str">
        <f t="shared" si="31"/>
        <v>20209685834</v>
      </c>
    </row>
    <row r="661" spans="1:7">
      <c r="A661" s="496">
        <f t="shared" si="32"/>
        <v>660</v>
      </c>
      <c r="B661" s="496" t="s">
        <v>747</v>
      </c>
      <c r="C661" s="495" t="s">
        <v>82</v>
      </c>
      <c r="D661" s="497" t="s">
        <v>83</v>
      </c>
      <c r="E661" s="496" t="str">
        <f t="shared" si="30"/>
        <v>08</v>
      </c>
      <c r="F661" s="496">
        <v>25718</v>
      </c>
      <c r="G661" s="496" t="str">
        <f t="shared" si="31"/>
        <v>20210456831</v>
      </c>
    </row>
    <row r="662" spans="1:7">
      <c r="A662" s="496">
        <f t="shared" si="32"/>
        <v>661</v>
      </c>
      <c r="B662" s="496" t="s">
        <v>748</v>
      </c>
      <c r="C662" s="495" t="s">
        <v>85</v>
      </c>
      <c r="D662" s="497" t="s">
        <v>86</v>
      </c>
      <c r="E662" s="496" t="str">
        <f t="shared" si="30"/>
        <v>09</v>
      </c>
      <c r="F662" s="496">
        <v>25719</v>
      </c>
      <c r="G662" s="496" t="str">
        <f t="shared" si="31"/>
        <v>20211683199</v>
      </c>
    </row>
    <row r="663" spans="1:7">
      <c r="A663" s="496">
        <f t="shared" si="32"/>
        <v>662</v>
      </c>
      <c r="B663" s="496" t="s">
        <v>749</v>
      </c>
      <c r="C663" s="495" t="s">
        <v>88</v>
      </c>
      <c r="D663" s="497" t="s">
        <v>89</v>
      </c>
      <c r="E663" s="496" t="str">
        <f t="shared" si="30"/>
        <v>11</v>
      </c>
      <c r="F663" s="496">
        <v>25720</v>
      </c>
      <c r="G663" s="496" t="str">
        <f t="shared" si="31"/>
        <v>20212149145</v>
      </c>
    </row>
    <row r="664" spans="1:7">
      <c r="A664" s="496">
        <f t="shared" si="32"/>
        <v>663</v>
      </c>
      <c r="B664" s="496" t="s">
        <v>750</v>
      </c>
      <c r="C664" s="495" t="s">
        <v>91</v>
      </c>
      <c r="D664" s="497" t="s">
        <v>92</v>
      </c>
      <c r="E664" s="496" t="str">
        <f t="shared" si="30"/>
        <v>12</v>
      </c>
      <c r="F664" s="496">
        <v>25724</v>
      </c>
      <c r="G664" s="496" t="str">
        <f t="shared" si="31"/>
        <v>20212331377</v>
      </c>
    </row>
    <row r="665" spans="1:7">
      <c r="A665" s="496">
        <f t="shared" si="32"/>
        <v>664</v>
      </c>
      <c r="B665" s="496" t="s">
        <v>751</v>
      </c>
      <c r="C665" s="495" t="s">
        <v>77</v>
      </c>
      <c r="D665" s="497" t="s">
        <v>78</v>
      </c>
      <c r="E665" s="496" t="str">
        <f t="shared" si="30"/>
        <v>07</v>
      </c>
      <c r="F665" s="496">
        <v>25717</v>
      </c>
      <c r="G665" s="496" t="str">
        <f t="shared" si="31"/>
        <v>20212561534</v>
      </c>
    </row>
    <row r="666" spans="1:7">
      <c r="A666" s="496">
        <f t="shared" si="32"/>
        <v>665</v>
      </c>
      <c r="B666" s="496" t="s">
        <v>752</v>
      </c>
      <c r="C666" s="495" t="s">
        <v>82</v>
      </c>
      <c r="D666" s="497" t="s">
        <v>83</v>
      </c>
      <c r="E666" s="496" t="str">
        <f t="shared" si="30"/>
        <v>08</v>
      </c>
      <c r="F666" s="496">
        <v>25718</v>
      </c>
      <c r="G666" s="496" t="str">
        <f t="shared" si="31"/>
        <v>20213552083</v>
      </c>
    </row>
    <row r="667" spans="1:7">
      <c r="A667" s="496">
        <f t="shared" si="32"/>
        <v>666</v>
      </c>
      <c r="B667" s="496" t="s">
        <v>753</v>
      </c>
      <c r="C667" s="495" t="s">
        <v>88</v>
      </c>
      <c r="D667" s="497" t="s">
        <v>89</v>
      </c>
      <c r="E667" s="496" t="str">
        <f t="shared" si="30"/>
        <v>11</v>
      </c>
      <c r="F667" s="496">
        <v>25720</v>
      </c>
      <c r="G667" s="496" t="str">
        <f t="shared" si="31"/>
        <v>20214822009</v>
      </c>
    </row>
    <row r="668" spans="1:7">
      <c r="A668" s="496">
        <f t="shared" si="32"/>
        <v>667</v>
      </c>
      <c r="B668" s="496" t="s">
        <v>754</v>
      </c>
      <c r="C668" s="495" t="s">
        <v>85</v>
      </c>
      <c r="D668" s="497" t="s">
        <v>86</v>
      </c>
      <c r="E668" s="496" t="str">
        <f t="shared" si="30"/>
        <v>09</v>
      </c>
      <c r="F668" s="496">
        <v>25719</v>
      </c>
      <c r="G668" s="496" t="str">
        <f t="shared" si="31"/>
        <v>20215528791</v>
      </c>
    </row>
    <row r="669" spans="1:7">
      <c r="A669" s="496">
        <f t="shared" si="32"/>
        <v>668</v>
      </c>
      <c r="B669" s="496" t="s">
        <v>755</v>
      </c>
      <c r="C669" s="495" t="s">
        <v>88</v>
      </c>
      <c r="D669" s="497" t="s">
        <v>89</v>
      </c>
      <c r="E669" s="496" t="str">
        <f t="shared" si="30"/>
        <v>11</v>
      </c>
      <c r="F669" s="496">
        <v>25720</v>
      </c>
      <c r="G669" s="496" t="str">
        <f t="shared" si="31"/>
        <v>20217265674</v>
      </c>
    </row>
    <row r="670" spans="1:7">
      <c r="A670" s="496">
        <f t="shared" si="32"/>
        <v>669</v>
      </c>
      <c r="B670" s="496" t="s">
        <v>756</v>
      </c>
      <c r="C670" s="495" t="s">
        <v>91</v>
      </c>
      <c r="D670" s="497" t="s">
        <v>92</v>
      </c>
      <c r="E670" s="496" t="str">
        <f t="shared" si="30"/>
        <v>12</v>
      </c>
      <c r="F670" s="496">
        <v>25724</v>
      </c>
      <c r="G670" s="496" t="str">
        <f t="shared" si="31"/>
        <v>20221084684</v>
      </c>
    </row>
    <row r="671" spans="1:7">
      <c r="A671" s="496">
        <f t="shared" si="32"/>
        <v>670</v>
      </c>
      <c r="B671" s="496" t="s">
        <v>757</v>
      </c>
      <c r="C671" s="495" t="s">
        <v>77</v>
      </c>
      <c r="D671" s="497" t="s">
        <v>78</v>
      </c>
      <c r="E671" s="496" t="str">
        <f t="shared" si="30"/>
        <v>07</v>
      </c>
      <c r="F671" s="496">
        <v>25717</v>
      </c>
      <c r="G671" s="496" t="str">
        <f t="shared" si="31"/>
        <v>20222335052</v>
      </c>
    </row>
    <row r="672" spans="1:7">
      <c r="A672" s="496">
        <f t="shared" si="32"/>
        <v>671</v>
      </c>
      <c r="B672" s="496" t="s">
        <v>758</v>
      </c>
      <c r="C672" s="495" t="s">
        <v>82</v>
      </c>
      <c r="D672" s="497" t="s">
        <v>83</v>
      </c>
      <c r="E672" s="496" t="str">
        <f t="shared" si="30"/>
        <v>08</v>
      </c>
      <c r="F672" s="496">
        <v>25718</v>
      </c>
      <c r="G672" s="496" t="str">
        <f t="shared" si="31"/>
        <v>20250447117</v>
      </c>
    </row>
    <row r="673" spans="1:7">
      <c r="A673" s="496">
        <f t="shared" si="32"/>
        <v>672</v>
      </c>
      <c r="B673" s="496" t="s">
        <v>759</v>
      </c>
      <c r="C673" s="495" t="s">
        <v>85</v>
      </c>
      <c r="D673" s="497" t="s">
        <v>86</v>
      </c>
      <c r="E673" s="496" t="str">
        <f t="shared" si="30"/>
        <v>09</v>
      </c>
      <c r="F673" s="496">
        <v>25719</v>
      </c>
      <c r="G673" s="496" t="str">
        <f t="shared" si="31"/>
        <v>20251293181</v>
      </c>
    </row>
    <row r="674" spans="1:7">
      <c r="A674" s="496">
        <f t="shared" si="32"/>
        <v>673</v>
      </c>
      <c r="B674" s="496" t="s">
        <v>760</v>
      </c>
      <c r="C674" s="495" t="s">
        <v>88</v>
      </c>
      <c r="D674" s="497" t="s">
        <v>89</v>
      </c>
      <c r="E674" s="496" t="str">
        <f t="shared" si="30"/>
        <v>11</v>
      </c>
      <c r="F674" s="496">
        <v>25720</v>
      </c>
      <c r="G674" s="496" t="str">
        <f t="shared" si="31"/>
        <v>20251339351</v>
      </c>
    </row>
    <row r="675" spans="1:7">
      <c r="A675" s="496">
        <f t="shared" si="32"/>
        <v>674</v>
      </c>
      <c r="B675" s="496" t="s">
        <v>761</v>
      </c>
      <c r="C675" s="495" t="s">
        <v>91</v>
      </c>
      <c r="D675" s="497" t="s">
        <v>92</v>
      </c>
      <c r="E675" s="496" t="str">
        <f t="shared" si="30"/>
        <v>12</v>
      </c>
      <c r="F675" s="496">
        <v>25724</v>
      </c>
      <c r="G675" s="496" t="str">
        <f t="shared" si="31"/>
        <v>20251352292</v>
      </c>
    </row>
    <row r="676" spans="1:7">
      <c r="A676" s="496">
        <f t="shared" si="32"/>
        <v>675</v>
      </c>
      <c r="B676" s="496" t="s">
        <v>762</v>
      </c>
      <c r="C676" s="495" t="s">
        <v>77</v>
      </c>
      <c r="D676" s="497" t="s">
        <v>78</v>
      </c>
      <c r="E676" s="496" t="str">
        <f t="shared" si="30"/>
        <v>07</v>
      </c>
      <c r="F676" s="496">
        <v>25717</v>
      </c>
      <c r="G676" s="496" t="str">
        <f t="shared" si="31"/>
        <v>20251715191</v>
      </c>
    </row>
    <row r="677" spans="1:7">
      <c r="A677" s="496">
        <f t="shared" si="32"/>
        <v>676</v>
      </c>
      <c r="B677" s="496" t="s">
        <v>763</v>
      </c>
      <c r="C677" s="495" t="s">
        <v>82</v>
      </c>
      <c r="D677" s="497" t="s">
        <v>83</v>
      </c>
      <c r="E677" s="496" t="str">
        <f t="shared" si="30"/>
        <v>08</v>
      </c>
      <c r="F677" s="496">
        <v>25718</v>
      </c>
      <c r="G677" s="496" t="str">
        <f t="shared" si="31"/>
        <v>20252011910</v>
      </c>
    </row>
    <row r="678" spans="1:7">
      <c r="A678" s="496">
        <f t="shared" si="32"/>
        <v>677</v>
      </c>
      <c r="B678" s="496" t="s">
        <v>764</v>
      </c>
      <c r="C678" s="495" t="s">
        <v>85</v>
      </c>
      <c r="D678" s="497" t="s">
        <v>86</v>
      </c>
      <c r="E678" s="496" t="str">
        <f t="shared" si="30"/>
        <v>09</v>
      </c>
      <c r="F678" s="496">
        <v>25719</v>
      </c>
      <c r="G678" s="496" t="str">
        <f t="shared" si="31"/>
        <v>20252254651</v>
      </c>
    </row>
    <row r="679" spans="1:7">
      <c r="A679" s="496">
        <f t="shared" si="32"/>
        <v>678</v>
      </c>
      <c r="B679" s="496" t="s">
        <v>765</v>
      </c>
      <c r="C679" s="495" t="s">
        <v>88</v>
      </c>
      <c r="D679" s="497" t="s">
        <v>89</v>
      </c>
      <c r="E679" s="496" t="str">
        <f t="shared" si="30"/>
        <v>11</v>
      </c>
      <c r="F679" s="496">
        <v>25720</v>
      </c>
      <c r="G679" s="496" t="str">
        <f t="shared" si="31"/>
        <v>20252575457</v>
      </c>
    </row>
    <row r="680" spans="1:7">
      <c r="A680" s="496">
        <f t="shared" si="32"/>
        <v>679</v>
      </c>
      <c r="B680" s="496" t="s">
        <v>766</v>
      </c>
      <c r="C680" s="495" t="s">
        <v>91</v>
      </c>
      <c r="D680" s="497" t="s">
        <v>92</v>
      </c>
      <c r="E680" s="496" t="str">
        <f t="shared" si="30"/>
        <v>12</v>
      </c>
      <c r="F680" s="496">
        <v>25724</v>
      </c>
      <c r="G680" s="496" t="str">
        <f t="shared" si="31"/>
        <v>20253128641</v>
      </c>
    </row>
    <row r="681" spans="1:7">
      <c r="A681" s="496">
        <f t="shared" si="32"/>
        <v>680</v>
      </c>
      <c r="B681" s="496" t="s">
        <v>767</v>
      </c>
      <c r="C681" s="495" t="s">
        <v>77</v>
      </c>
      <c r="D681" s="497" t="s">
        <v>78</v>
      </c>
      <c r="E681" s="496" t="str">
        <f t="shared" si="30"/>
        <v>07</v>
      </c>
      <c r="F681" s="496">
        <v>25717</v>
      </c>
      <c r="G681" s="496" t="str">
        <f t="shared" si="31"/>
        <v>20253259826</v>
      </c>
    </row>
    <row r="682" spans="1:7">
      <c r="A682" s="496">
        <f t="shared" si="32"/>
        <v>681</v>
      </c>
      <c r="B682" s="496" t="s">
        <v>768</v>
      </c>
      <c r="C682" s="495" t="s">
        <v>82</v>
      </c>
      <c r="D682" s="497" t="s">
        <v>83</v>
      </c>
      <c r="E682" s="496" t="str">
        <f t="shared" si="30"/>
        <v>08</v>
      </c>
      <c r="F682" s="496">
        <v>25718</v>
      </c>
      <c r="G682" s="496" t="str">
        <f t="shared" si="31"/>
        <v>20253339005</v>
      </c>
    </row>
    <row r="683" spans="1:7">
      <c r="A683" s="496">
        <f t="shared" si="32"/>
        <v>682</v>
      </c>
      <c r="B683" s="496" t="s">
        <v>769</v>
      </c>
      <c r="C683" s="495" t="s">
        <v>85</v>
      </c>
      <c r="D683" s="497" t="s">
        <v>86</v>
      </c>
      <c r="E683" s="496" t="str">
        <f t="shared" si="30"/>
        <v>09</v>
      </c>
      <c r="F683" s="496">
        <v>25719</v>
      </c>
      <c r="G683" s="496" t="str">
        <f t="shared" si="31"/>
        <v>20253462389</v>
      </c>
    </row>
    <row r="684" spans="1:7">
      <c r="A684" s="496">
        <f t="shared" si="32"/>
        <v>683</v>
      </c>
      <c r="B684" s="496" t="s">
        <v>770</v>
      </c>
      <c r="C684" s="495" t="s">
        <v>88</v>
      </c>
      <c r="D684" s="497" t="s">
        <v>89</v>
      </c>
      <c r="E684" s="496" t="str">
        <f t="shared" si="30"/>
        <v>11</v>
      </c>
      <c r="F684" s="496">
        <v>25720</v>
      </c>
      <c r="G684" s="496" t="str">
        <f t="shared" si="31"/>
        <v>20253768119</v>
      </c>
    </row>
    <row r="685" spans="1:7">
      <c r="A685" s="496">
        <f t="shared" si="32"/>
        <v>684</v>
      </c>
      <c r="B685" s="496" t="s">
        <v>771</v>
      </c>
      <c r="C685" s="495" t="s">
        <v>91</v>
      </c>
      <c r="D685" s="497" t="s">
        <v>92</v>
      </c>
      <c r="E685" s="496" t="str">
        <f t="shared" si="30"/>
        <v>12</v>
      </c>
      <c r="F685" s="496">
        <v>25724</v>
      </c>
      <c r="G685" s="496" t="str">
        <f t="shared" si="31"/>
        <v>20254053822</v>
      </c>
    </row>
    <row r="686" spans="1:7">
      <c r="A686" s="496">
        <f t="shared" si="32"/>
        <v>685</v>
      </c>
      <c r="B686" s="496" t="s">
        <v>772</v>
      </c>
      <c r="C686" s="495" t="s">
        <v>91</v>
      </c>
      <c r="D686" s="497" t="s">
        <v>92</v>
      </c>
      <c r="E686" s="496" t="str">
        <f t="shared" si="30"/>
        <v>12</v>
      </c>
      <c r="F686" s="496">
        <v>25724</v>
      </c>
      <c r="G686" s="496" t="str">
        <f t="shared" si="31"/>
        <v>20254138577</v>
      </c>
    </row>
    <row r="687" spans="1:7" s="498" customFormat="1">
      <c r="A687" s="496">
        <f t="shared" si="32"/>
        <v>686</v>
      </c>
      <c r="B687" s="496" t="s">
        <v>773</v>
      </c>
      <c r="C687" s="495" t="s">
        <v>77</v>
      </c>
      <c r="D687" s="497" t="s">
        <v>78</v>
      </c>
      <c r="E687" s="496" t="str">
        <f t="shared" si="30"/>
        <v>07</v>
      </c>
      <c r="F687" s="496">
        <v>25717</v>
      </c>
      <c r="G687" s="496" t="str">
        <f t="shared" si="31"/>
        <v>20254160742</v>
      </c>
    </row>
    <row r="688" spans="1:7">
      <c r="A688" s="496">
        <f t="shared" si="32"/>
        <v>687</v>
      </c>
      <c r="B688" s="496" t="s">
        <v>774</v>
      </c>
      <c r="C688" s="495" t="s">
        <v>82</v>
      </c>
      <c r="D688" s="497" t="s">
        <v>83</v>
      </c>
      <c r="E688" s="496" t="str">
        <f t="shared" si="30"/>
        <v>08</v>
      </c>
      <c r="F688" s="496">
        <v>25718</v>
      </c>
      <c r="G688" s="496" t="str">
        <f t="shared" si="31"/>
        <v>20254300188</v>
      </c>
    </row>
    <row r="689" spans="1:7">
      <c r="A689" s="496">
        <f t="shared" si="32"/>
        <v>688</v>
      </c>
      <c r="B689" s="496" t="s">
        <v>775</v>
      </c>
      <c r="C689" s="495" t="s">
        <v>85</v>
      </c>
      <c r="D689" s="497" t="s">
        <v>86</v>
      </c>
      <c r="E689" s="496" t="str">
        <f t="shared" si="30"/>
        <v>09</v>
      </c>
      <c r="F689" s="496">
        <v>25719</v>
      </c>
      <c r="G689" s="496" t="str">
        <f t="shared" si="31"/>
        <v>20254305066</v>
      </c>
    </row>
    <row r="690" spans="1:7">
      <c r="A690" s="496">
        <f t="shared" si="32"/>
        <v>689</v>
      </c>
      <c r="B690" s="496" t="s">
        <v>776</v>
      </c>
      <c r="C690" s="495" t="s">
        <v>88</v>
      </c>
      <c r="D690" s="497" t="s">
        <v>89</v>
      </c>
      <c r="E690" s="496" t="str">
        <f t="shared" si="30"/>
        <v>11</v>
      </c>
      <c r="F690" s="496">
        <v>25720</v>
      </c>
      <c r="G690" s="496" t="str">
        <f t="shared" si="31"/>
        <v>20254765652</v>
      </c>
    </row>
    <row r="691" spans="1:7">
      <c r="A691" s="496">
        <f t="shared" si="32"/>
        <v>690</v>
      </c>
      <c r="B691" s="496" t="s">
        <v>777</v>
      </c>
      <c r="C691" s="495" t="s">
        <v>91</v>
      </c>
      <c r="D691" s="497" t="s">
        <v>92</v>
      </c>
      <c r="E691" s="496" t="str">
        <f t="shared" si="30"/>
        <v>12</v>
      </c>
      <c r="F691" s="496">
        <v>25724</v>
      </c>
      <c r="G691" s="496" t="str">
        <f t="shared" si="31"/>
        <v>20254929353</v>
      </c>
    </row>
    <row r="692" spans="1:7">
      <c r="A692" s="496">
        <f t="shared" si="32"/>
        <v>691</v>
      </c>
      <c r="B692" s="496" t="s">
        <v>778</v>
      </c>
      <c r="C692" s="495" t="s">
        <v>77</v>
      </c>
      <c r="D692" s="497" t="s">
        <v>78</v>
      </c>
      <c r="E692" s="496" t="str">
        <f t="shared" si="30"/>
        <v>07</v>
      </c>
      <c r="F692" s="496">
        <v>25717</v>
      </c>
      <c r="G692" s="496" t="str">
        <f t="shared" si="31"/>
        <v>20255133986</v>
      </c>
    </row>
    <row r="693" spans="1:7">
      <c r="A693" s="496">
        <f t="shared" si="32"/>
        <v>692</v>
      </c>
      <c r="B693" s="496" t="s">
        <v>779</v>
      </c>
      <c r="C693" s="495" t="s">
        <v>82</v>
      </c>
      <c r="D693" s="497" t="s">
        <v>83</v>
      </c>
      <c r="E693" s="496" t="str">
        <f t="shared" si="30"/>
        <v>08</v>
      </c>
      <c r="F693" s="496">
        <v>25718</v>
      </c>
      <c r="G693" s="496" t="str">
        <f t="shared" si="31"/>
        <v>20255135253</v>
      </c>
    </row>
    <row r="694" spans="1:7">
      <c r="A694" s="496">
        <f t="shared" si="32"/>
        <v>693</v>
      </c>
      <c r="B694" s="496" t="s">
        <v>780</v>
      </c>
      <c r="C694" s="495" t="s">
        <v>85</v>
      </c>
      <c r="D694" s="497" t="s">
        <v>86</v>
      </c>
      <c r="E694" s="496" t="str">
        <f t="shared" si="30"/>
        <v>09</v>
      </c>
      <c r="F694" s="496">
        <v>25719</v>
      </c>
      <c r="G694" s="496" t="str">
        <f t="shared" si="31"/>
        <v>20255172884</v>
      </c>
    </row>
    <row r="695" spans="1:7">
      <c r="A695" s="496">
        <f t="shared" si="32"/>
        <v>694</v>
      </c>
      <c r="B695" s="496" t="s">
        <v>781</v>
      </c>
      <c r="C695" s="495" t="s">
        <v>88</v>
      </c>
      <c r="D695" s="497" t="s">
        <v>89</v>
      </c>
      <c r="E695" s="496" t="str">
        <f t="shared" si="30"/>
        <v>11</v>
      </c>
      <c r="F695" s="496">
        <v>25720</v>
      </c>
      <c r="G695" s="496" t="str">
        <f t="shared" si="31"/>
        <v>20255254937</v>
      </c>
    </row>
    <row r="696" spans="1:7">
      <c r="A696" s="496">
        <f t="shared" si="32"/>
        <v>695</v>
      </c>
      <c r="B696" s="496" t="s">
        <v>782</v>
      </c>
      <c r="C696" s="495" t="s">
        <v>91</v>
      </c>
      <c r="D696" s="497" t="s">
        <v>92</v>
      </c>
      <c r="E696" s="496" t="str">
        <f t="shared" si="30"/>
        <v>12</v>
      </c>
      <c r="F696" s="496">
        <v>25724</v>
      </c>
      <c r="G696" s="496" t="str">
        <f t="shared" si="31"/>
        <v>20255315669</v>
      </c>
    </row>
    <row r="697" spans="1:7">
      <c r="A697" s="496">
        <f t="shared" si="32"/>
        <v>696</v>
      </c>
      <c r="B697" s="496" t="s">
        <v>783</v>
      </c>
      <c r="C697" s="495" t="s">
        <v>77</v>
      </c>
      <c r="D697" s="497" t="s">
        <v>78</v>
      </c>
      <c r="E697" s="496" t="str">
        <f t="shared" si="30"/>
        <v>07</v>
      </c>
      <c r="F697" s="496">
        <v>25717</v>
      </c>
      <c r="G697" s="496" t="str">
        <f t="shared" si="31"/>
        <v>20255322363</v>
      </c>
    </row>
    <row r="698" spans="1:7">
      <c r="A698" s="496">
        <f t="shared" si="32"/>
        <v>697</v>
      </c>
      <c r="B698" s="496" t="s">
        <v>784</v>
      </c>
      <c r="C698" s="495" t="s">
        <v>82</v>
      </c>
      <c r="D698" s="497" t="s">
        <v>83</v>
      </c>
      <c r="E698" s="496" t="str">
        <f t="shared" si="30"/>
        <v>08</v>
      </c>
      <c r="F698" s="496">
        <v>25718</v>
      </c>
      <c r="G698" s="496" t="str">
        <f t="shared" si="31"/>
        <v>20256211310</v>
      </c>
    </row>
    <row r="699" spans="1:7">
      <c r="A699" s="496">
        <f t="shared" si="32"/>
        <v>698</v>
      </c>
      <c r="B699" s="496" t="s">
        <v>785</v>
      </c>
      <c r="C699" s="495" t="s">
        <v>77</v>
      </c>
      <c r="D699" s="497" t="s">
        <v>78</v>
      </c>
      <c r="E699" s="496" t="str">
        <f t="shared" si="30"/>
        <v>07</v>
      </c>
      <c r="F699" s="496">
        <v>25717</v>
      </c>
      <c r="G699" s="496" t="str">
        <f t="shared" si="31"/>
        <v>20256265916</v>
      </c>
    </row>
    <row r="700" spans="1:7">
      <c r="A700" s="496">
        <f t="shared" si="32"/>
        <v>699</v>
      </c>
      <c r="B700" s="496" t="s">
        <v>786</v>
      </c>
      <c r="C700" s="495" t="s">
        <v>85</v>
      </c>
      <c r="D700" s="497" t="s">
        <v>86</v>
      </c>
      <c r="E700" s="496" t="str">
        <f t="shared" si="30"/>
        <v>09</v>
      </c>
      <c r="F700" s="496">
        <v>25719</v>
      </c>
      <c r="G700" s="496" t="str">
        <f t="shared" si="31"/>
        <v>20256459010</v>
      </c>
    </row>
    <row r="701" spans="1:7">
      <c r="A701" s="496">
        <f t="shared" si="32"/>
        <v>700</v>
      </c>
      <c r="B701" s="496" t="s">
        <v>787</v>
      </c>
      <c r="C701" s="495" t="s">
        <v>88</v>
      </c>
      <c r="D701" s="497" t="s">
        <v>89</v>
      </c>
      <c r="E701" s="496" t="str">
        <f t="shared" si="30"/>
        <v>11</v>
      </c>
      <c r="F701" s="496">
        <v>25720</v>
      </c>
      <c r="G701" s="496" t="str">
        <f t="shared" si="31"/>
        <v>20256602343</v>
      </c>
    </row>
    <row r="702" spans="1:7">
      <c r="A702" s="496">
        <f t="shared" si="32"/>
        <v>701</v>
      </c>
      <c r="B702" s="496" t="s">
        <v>788</v>
      </c>
      <c r="C702" s="495" t="s">
        <v>91</v>
      </c>
      <c r="D702" s="497" t="s">
        <v>92</v>
      </c>
      <c r="E702" s="496" t="str">
        <f t="shared" si="30"/>
        <v>12</v>
      </c>
      <c r="F702" s="496">
        <v>25724</v>
      </c>
      <c r="G702" s="496" t="str">
        <f t="shared" si="31"/>
        <v>20256983479</v>
      </c>
    </row>
    <row r="703" spans="1:7">
      <c r="A703" s="496">
        <f t="shared" si="32"/>
        <v>702</v>
      </c>
      <c r="B703" s="496" t="s">
        <v>789</v>
      </c>
      <c r="C703" s="495" t="s">
        <v>77</v>
      </c>
      <c r="D703" s="497" t="s">
        <v>78</v>
      </c>
      <c r="E703" s="496" t="str">
        <f t="shared" si="30"/>
        <v>07</v>
      </c>
      <c r="F703" s="496">
        <v>25717</v>
      </c>
      <c r="G703" s="496" t="str">
        <f t="shared" si="31"/>
        <v>20257319564</v>
      </c>
    </row>
    <row r="704" spans="1:7">
      <c r="A704" s="496">
        <f t="shared" si="32"/>
        <v>703</v>
      </c>
      <c r="B704" s="496" t="s">
        <v>790</v>
      </c>
      <c r="C704" s="495" t="s">
        <v>82</v>
      </c>
      <c r="D704" s="497" t="s">
        <v>83</v>
      </c>
      <c r="E704" s="496" t="str">
        <f t="shared" si="30"/>
        <v>08</v>
      </c>
      <c r="F704" s="496">
        <v>25718</v>
      </c>
      <c r="G704" s="496" t="str">
        <f t="shared" si="31"/>
        <v>20257364357</v>
      </c>
    </row>
    <row r="705" spans="1:7">
      <c r="A705" s="496">
        <f t="shared" si="32"/>
        <v>704</v>
      </c>
      <c r="B705" s="496" t="s">
        <v>791</v>
      </c>
      <c r="C705" s="495" t="s">
        <v>85</v>
      </c>
      <c r="D705" s="497" t="s">
        <v>86</v>
      </c>
      <c r="E705" s="496" t="str">
        <f t="shared" si="30"/>
        <v>09</v>
      </c>
      <c r="F705" s="496">
        <v>25719</v>
      </c>
      <c r="G705" s="496" t="str">
        <f t="shared" si="31"/>
        <v>20257364608</v>
      </c>
    </row>
    <row r="706" spans="1:7">
      <c r="A706" s="496">
        <f t="shared" si="32"/>
        <v>705</v>
      </c>
      <c r="B706" s="496" t="s">
        <v>792</v>
      </c>
      <c r="C706" s="495" t="s">
        <v>88</v>
      </c>
      <c r="D706" s="497" t="s">
        <v>89</v>
      </c>
      <c r="E706" s="496" t="str">
        <f t="shared" si="30"/>
        <v>11</v>
      </c>
      <c r="F706" s="496">
        <v>25720</v>
      </c>
      <c r="G706" s="496" t="str">
        <f t="shared" si="31"/>
        <v>20257676910</v>
      </c>
    </row>
    <row r="707" spans="1:7">
      <c r="A707" s="496">
        <f t="shared" si="32"/>
        <v>706</v>
      </c>
      <c r="B707" s="496" t="s">
        <v>793</v>
      </c>
      <c r="C707" s="495" t="s">
        <v>91</v>
      </c>
      <c r="D707" s="497" t="s">
        <v>92</v>
      </c>
      <c r="E707" s="496" t="str">
        <f t="shared" ref="E707:E770" si="33">IF(MID(D707,14,1)="@",MID(D707,12,2),"0"&amp;MID(D707,12,1))</f>
        <v>12</v>
      </c>
      <c r="F707" s="496">
        <v>25724</v>
      </c>
      <c r="G707" s="496" t="str">
        <f t="shared" ref="G707:G770" si="34">CONCATENATE(B707)</f>
        <v>20258505213</v>
      </c>
    </row>
    <row r="708" spans="1:7">
      <c r="A708" s="496">
        <f t="shared" ref="A708:A771" si="35">+A707+1</f>
        <v>707</v>
      </c>
      <c r="B708" s="496" t="s">
        <v>794</v>
      </c>
      <c r="C708" s="495" t="s">
        <v>77</v>
      </c>
      <c r="D708" s="497" t="s">
        <v>78</v>
      </c>
      <c r="E708" s="496" t="str">
        <f t="shared" si="33"/>
        <v>07</v>
      </c>
      <c r="F708" s="496">
        <v>25717</v>
      </c>
      <c r="G708" s="496" t="str">
        <f t="shared" si="34"/>
        <v>20258886420</v>
      </c>
    </row>
    <row r="709" spans="1:7">
      <c r="A709" s="496">
        <f t="shared" si="35"/>
        <v>708</v>
      </c>
      <c r="B709" s="496" t="s">
        <v>795</v>
      </c>
      <c r="C709" s="495" t="s">
        <v>82</v>
      </c>
      <c r="D709" s="497" t="s">
        <v>83</v>
      </c>
      <c r="E709" s="496" t="str">
        <f t="shared" si="33"/>
        <v>08</v>
      </c>
      <c r="F709" s="496">
        <v>25718</v>
      </c>
      <c r="G709" s="496" t="str">
        <f t="shared" si="34"/>
        <v>20258908849</v>
      </c>
    </row>
    <row r="710" spans="1:7">
      <c r="A710" s="496">
        <f t="shared" si="35"/>
        <v>709</v>
      </c>
      <c r="B710" s="496" t="s">
        <v>796</v>
      </c>
      <c r="C710" s="495" t="s">
        <v>85</v>
      </c>
      <c r="D710" s="497" t="s">
        <v>86</v>
      </c>
      <c r="E710" s="496" t="str">
        <f t="shared" si="33"/>
        <v>09</v>
      </c>
      <c r="F710" s="496">
        <v>25719</v>
      </c>
      <c r="G710" s="496" t="str">
        <f t="shared" si="34"/>
        <v>20259171891</v>
      </c>
    </row>
    <row r="711" spans="1:7">
      <c r="A711" s="496">
        <f t="shared" si="35"/>
        <v>710</v>
      </c>
      <c r="B711" s="496" t="s">
        <v>797</v>
      </c>
      <c r="C711" s="495" t="s">
        <v>88</v>
      </c>
      <c r="D711" s="497" t="s">
        <v>89</v>
      </c>
      <c r="E711" s="496" t="str">
        <f t="shared" si="33"/>
        <v>11</v>
      </c>
      <c r="F711" s="496">
        <v>25720</v>
      </c>
      <c r="G711" s="496" t="str">
        <f t="shared" si="34"/>
        <v>20259318310</v>
      </c>
    </row>
    <row r="712" spans="1:7">
      <c r="A712" s="496">
        <f t="shared" si="35"/>
        <v>711</v>
      </c>
      <c r="B712" s="496" t="s">
        <v>798</v>
      </c>
      <c r="C712" s="495" t="s">
        <v>91</v>
      </c>
      <c r="D712" s="497" t="s">
        <v>92</v>
      </c>
      <c r="E712" s="496" t="str">
        <f t="shared" si="33"/>
        <v>12</v>
      </c>
      <c r="F712" s="496">
        <v>25724</v>
      </c>
      <c r="G712" s="496" t="str">
        <f t="shared" si="34"/>
        <v>20259544247</v>
      </c>
    </row>
    <row r="713" spans="1:7">
      <c r="A713" s="496">
        <f t="shared" si="35"/>
        <v>712</v>
      </c>
      <c r="B713" s="496" t="s">
        <v>799</v>
      </c>
      <c r="C713" s="495" t="s">
        <v>77</v>
      </c>
      <c r="D713" s="497" t="s">
        <v>78</v>
      </c>
      <c r="E713" s="496" t="str">
        <f t="shared" si="33"/>
        <v>07</v>
      </c>
      <c r="F713" s="496">
        <v>25717</v>
      </c>
      <c r="G713" s="496" t="str">
        <f t="shared" si="34"/>
        <v>20259551022</v>
      </c>
    </row>
    <row r="714" spans="1:7">
      <c r="A714" s="496">
        <f t="shared" si="35"/>
        <v>713</v>
      </c>
      <c r="B714" s="496" t="s">
        <v>800</v>
      </c>
      <c r="C714" s="495" t="s">
        <v>82</v>
      </c>
      <c r="D714" s="497" t="s">
        <v>83</v>
      </c>
      <c r="E714" s="496" t="str">
        <f t="shared" si="33"/>
        <v>08</v>
      </c>
      <c r="F714" s="496">
        <v>25718</v>
      </c>
      <c r="G714" s="496" t="str">
        <f t="shared" si="34"/>
        <v>20259661553</v>
      </c>
    </row>
    <row r="715" spans="1:7">
      <c r="A715" s="496">
        <f t="shared" si="35"/>
        <v>714</v>
      </c>
      <c r="B715" s="496" t="s">
        <v>801</v>
      </c>
      <c r="C715" s="495" t="s">
        <v>85</v>
      </c>
      <c r="D715" s="497" t="s">
        <v>86</v>
      </c>
      <c r="E715" s="496" t="str">
        <f t="shared" si="33"/>
        <v>09</v>
      </c>
      <c r="F715" s="496">
        <v>25719</v>
      </c>
      <c r="G715" s="496" t="str">
        <f t="shared" si="34"/>
        <v>20259778582</v>
      </c>
    </row>
    <row r="716" spans="1:7">
      <c r="A716" s="496">
        <f t="shared" si="35"/>
        <v>715</v>
      </c>
      <c r="B716" s="496" t="s">
        <v>802</v>
      </c>
      <c r="C716" s="495" t="s">
        <v>82</v>
      </c>
      <c r="D716" s="497" t="s">
        <v>83</v>
      </c>
      <c r="E716" s="496" t="str">
        <f t="shared" si="33"/>
        <v>08</v>
      </c>
      <c r="F716" s="496">
        <v>25718</v>
      </c>
      <c r="G716" s="496" t="str">
        <f t="shared" si="34"/>
        <v>20259814210</v>
      </c>
    </row>
    <row r="717" spans="1:7">
      <c r="A717" s="496">
        <f t="shared" si="35"/>
        <v>716</v>
      </c>
      <c r="B717" s="496" t="s">
        <v>803</v>
      </c>
      <c r="C717" s="495" t="s">
        <v>88</v>
      </c>
      <c r="D717" s="497" t="s">
        <v>89</v>
      </c>
      <c r="E717" s="496" t="str">
        <f t="shared" si="33"/>
        <v>11</v>
      </c>
      <c r="F717" s="496">
        <v>25720</v>
      </c>
      <c r="G717" s="496" t="str">
        <f t="shared" si="34"/>
        <v>20259940860</v>
      </c>
    </row>
    <row r="718" spans="1:7">
      <c r="A718" s="496">
        <f t="shared" si="35"/>
        <v>717</v>
      </c>
      <c r="B718" s="496" t="s">
        <v>804</v>
      </c>
      <c r="C718" s="495" t="s">
        <v>91</v>
      </c>
      <c r="D718" s="497" t="s">
        <v>92</v>
      </c>
      <c r="E718" s="496" t="str">
        <f t="shared" si="33"/>
        <v>12</v>
      </c>
      <c r="F718" s="496">
        <v>25724</v>
      </c>
      <c r="G718" s="496" t="str">
        <f t="shared" si="34"/>
        <v>20260047567</v>
      </c>
    </row>
    <row r="719" spans="1:7">
      <c r="A719" s="496">
        <f t="shared" si="35"/>
        <v>718</v>
      </c>
      <c r="B719" s="496" t="s">
        <v>805</v>
      </c>
      <c r="C719" s="495" t="s">
        <v>77</v>
      </c>
      <c r="D719" s="497" t="s">
        <v>78</v>
      </c>
      <c r="E719" s="496" t="str">
        <f t="shared" si="33"/>
        <v>07</v>
      </c>
      <c r="F719" s="496">
        <v>25717</v>
      </c>
      <c r="G719" s="496" t="str">
        <f t="shared" si="34"/>
        <v>20260189868</v>
      </c>
    </row>
    <row r="720" spans="1:7">
      <c r="A720" s="496">
        <f t="shared" si="35"/>
        <v>719</v>
      </c>
      <c r="B720" s="496" t="s">
        <v>806</v>
      </c>
      <c r="C720" s="495" t="s">
        <v>82</v>
      </c>
      <c r="D720" s="497" t="s">
        <v>83</v>
      </c>
      <c r="E720" s="496" t="str">
        <f t="shared" si="33"/>
        <v>08</v>
      </c>
      <c r="F720" s="496">
        <v>25718</v>
      </c>
      <c r="G720" s="496" t="str">
        <f t="shared" si="34"/>
        <v>20260305795</v>
      </c>
    </row>
    <row r="721" spans="1:7">
      <c r="A721" s="496">
        <f t="shared" si="35"/>
        <v>720</v>
      </c>
      <c r="B721" s="496" t="s">
        <v>807</v>
      </c>
      <c r="C721" s="495" t="s">
        <v>85</v>
      </c>
      <c r="D721" s="497" t="s">
        <v>86</v>
      </c>
      <c r="E721" s="496" t="str">
        <f t="shared" si="33"/>
        <v>09</v>
      </c>
      <c r="F721" s="496">
        <v>25719</v>
      </c>
      <c r="G721" s="496" t="str">
        <f t="shared" si="34"/>
        <v>20260440901</v>
      </c>
    </row>
    <row r="722" spans="1:7">
      <c r="A722" s="496">
        <f t="shared" si="35"/>
        <v>721</v>
      </c>
      <c r="B722" s="496" t="s">
        <v>808</v>
      </c>
      <c r="C722" s="495" t="s">
        <v>85</v>
      </c>
      <c r="D722" s="497" t="s">
        <v>86</v>
      </c>
      <c r="E722" s="496" t="str">
        <f t="shared" si="33"/>
        <v>09</v>
      </c>
      <c r="F722" s="496">
        <v>25719</v>
      </c>
      <c r="G722" s="496" t="str">
        <f t="shared" si="34"/>
        <v>20261126568</v>
      </c>
    </row>
    <row r="723" spans="1:7">
      <c r="A723" s="496">
        <f t="shared" si="35"/>
        <v>722</v>
      </c>
      <c r="B723" s="496" t="s">
        <v>809</v>
      </c>
      <c r="C723" s="495" t="s">
        <v>88</v>
      </c>
      <c r="D723" s="497" t="s">
        <v>89</v>
      </c>
      <c r="E723" s="496" t="str">
        <f t="shared" si="33"/>
        <v>11</v>
      </c>
      <c r="F723" s="496">
        <v>25720</v>
      </c>
      <c r="G723" s="496" t="str">
        <f t="shared" si="34"/>
        <v>20261898706</v>
      </c>
    </row>
    <row r="724" spans="1:7">
      <c r="A724" s="496">
        <f t="shared" si="35"/>
        <v>723</v>
      </c>
      <c r="B724" s="496" t="s">
        <v>810</v>
      </c>
      <c r="C724" s="495" t="s">
        <v>88</v>
      </c>
      <c r="D724" s="497" t="s">
        <v>89</v>
      </c>
      <c r="E724" s="496" t="str">
        <f t="shared" si="33"/>
        <v>11</v>
      </c>
      <c r="F724" s="496">
        <v>25720</v>
      </c>
      <c r="G724" s="496" t="str">
        <f t="shared" si="34"/>
        <v>20262207006</v>
      </c>
    </row>
    <row r="725" spans="1:7">
      <c r="A725" s="496">
        <f t="shared" si="35"/>
        <v>724</v>
      </c>
      <c r="B725" s="496" t="s">
        <v>811</v>
      </c>
      <c r="C725" s="495" t="s">
        <v>91</v>
      </c>
      <c r="D725" s="497" t="s">
        <v>92</v>
      </c>
      <c r="E725" s="496" t="str">
        <f t="shared" si="33"/>
        <v>12</v>
      </c>
      <c r="F725" s="496">
        <v>25724</v>
      </c>
      <c r="G725" s="496" t="str">
        <f t="shared" si="34"/>
        <v>20262221335</v>
      </c>
    </row>
    <row r="726" spans="1:7">
      <c r="A726" s="496">
        <f t="shared" si="35"/>
        <v>725</v>
      </c>
      <c r="B726" s="496" t="s">
        <v>812</v>
      </c>
      <c r="C726" s="495" t="s">
        <v>77</v>
      </c>
      <c r="D726" s="497" t="s">
        <v>78</v>
      </c>
      <c r="E726" s="496" t="str">
        <f t="shared" si="33"/>
        <v>07</v>
      </c>
      <c r="F726" s="496">
        <v>25717</v>
      </c>
      <c r="G726" s="496" t="str">
        <f t="shared" si="34"/>
        <v>20262241441</v>
      </c>
    </row>
    <row r="727" spans="1:7">
      <c r="A727" s="496">
        <f t="shared" si="35"/>
        <v>726</v>
      </c>
      <c r="B727" s="496" t="s">
        <v>813</v>
      </c>
      <c r="C727" s="495" t="s">
        <v>82</v>
      </c>
      <c r="D727" s="497" t="s">
        <v>83</v>
      </c>
      <c r="E727" s="496" t="str">
        <f t="shared" si="33"/>
        <v>08</v>
      </c>
      <c r="F727" s="496">
        <v>25718</v>
      </c>
      <c r="G727" s="496" t="str">
        <f t="shared" si="34"/>
        <v>20262254268</v>
      </c>
    </row>
    <row r="728" spans="1:7">
      <c r="A728" s="496">
        <f t="shared" si="35"/>
        <v>727</v>
      </c>
      <c r="B728" s="496" t="s">
        <v>814</v>
      </c>
      <c r="C728" s="495" t="s">
        <v>85</v>
      </c>
      <c r="D728" s="497" t="s">
        <v>86</v>
      </c>
      <c r="E728" s="496" t="str">
        <f t="shared" si="33"/>
        <v>09</v>
      </c>
      <c r="F728" s="496">
        <v>25719</v>
      </c>
      <c r="G728" s="496" t="str">
        <f t="shared" si="34"/>
        <v>20262276407</v>
      </c>
    </row>
    <row r="729" spans="1:7">
      <c r="A729" s="496">
        <f t="shared" si="35"/>
        <v>728</v>
      </c>
      <c r="B729" s="496" t="s">
        <v>815</v>
      </c>
      <c r="C729" s="495" t="s">
        <v>88</v>
      </c>
      <c r="D729" s="497" t="s">
        <v>89</v>
      </c>
      <c r="E729" s="496" t="str">
        <f t="shared" si="33"/>
        <v>11</v>
      </c>
      <c r="F729" s="496">
        <v>25720</v>
      </c>
      <c r="G729" s="496" t="str">
        <f t="shared" si="34"/>
        <v>20262463771</v>
      </c>
    </row>
    <row r="730" spans="1:7">
      <c r="A730" s="496">
        <f t="shared" si="35"/>
        <v>729</v>
      </c>
      <c r="B730" s="496" t="s">
        <v>816</v>
      </c>
      <c r="C730" s="495" t="s">
        <v>91</v>
      </c>
      <c r="D730" s="497" t="s">
        <v>92</v>
      </c>
      <c r="E730" s="496" t="str">
        <f t="shared" si="33"/>
        <v>12</v>
      </c>
      <c r="F730" s="496">
        <v>25724</v>
      </c>
      <c r="G730" s="496" t="str">
        <f t="shared" si="34"/>
        <v>20262561781</v>
      </c>
    </row>
    <row r="731" spans="1:7">
      <c r="A731" s="496">
        <f t="shared" si="35"/>
        <v>730</v>
      </c>
      <c r="B731" s="496" t="s">
        <v>817</v>
      </c>
      <c r="C731" s="495" t="s">
        <v>77</v>
      </c>
      <c r="D731" s="497" t="s">
        <v>78</v>
      </c>
      <c r="E731" s="496" t="str">
        <f t="shared" si="33"/>
        <v>07</v>
      </c>
      <c r="F731" s="496">
        <v>25717</v>
      </c>
      <c r="G731" s="496" t="str">
        <f t="shared" si="34"/>
        <v>20262786511</v>
      </c>
    </row>
    <row r="732" spans="1:7">
      <c r="A732" s="496">
        <f t="shared" si="35"/>
        <v>731</v>
      </c>
      <c r="B732" s="496" t="s">
        <v>818</v>
      </c>
      <c r="C732" s="495" t="s">
        <v>82</v>
      </c>
      <c r="D732" s="497" t="s">
        <v>83</v>
      </c>
      <c r="E732" s="496" t="str">
        <f t="shared" si="33"/>
        <v>08</v>
      </c>
      <c r="F732" s="496">
        <v>25718</v>
      </c>
      <c r="G732" s="496" t="str">
        <f t="shared" si="34"/>
        <v>20262850545</v>
      </c>
    </row>
    <row r="733" spans="1:7">
      <c r="A733" s="496">
        <f t="shared" si="35"/>
        <v>732</v>
      </c>
      <c r="B733" s="496" t="s">
        <v>819</v>
      </c>
      <c r="C733" s="495" t="s">
        <v>85</v>
      </c>
      <c r="D733" s="497" t="s">
        <v>86</v>
      </c>
      <c r="E733" s="496" t="str">
        <f t="shared" si="33"/>
        <v>09</v>
      </c>
      <c r="F733" s="496">
        <v>25719</v>
      </c>
      <c r="G733" s="496" t="str">
        <f t="shared" si="34"/>
        <v>20262996329</v>
      </c>
    </row>
    <row r="734" spans="1:7">
      <c r="A734" s="496">
        <f t="shared" si="35"/>
        <v>733</v>
      </c>
      <c r="B734" s="496" t="s">
        <v>820</v>
      </c>
      <c r="C734" s="495" t="s">
        <v>88</v>
      </c>
      <c r="D734" s="497" t="s">
        <v>89</v>
      </c>
      <c r="E734" s="496" t="str">
        <f t="shared" si="33"/>
        <v>11</v>
      </c>
      <c r="F734" s="496">
        <v>25720</v>
      </c>
      <c r="G734" s="496" t="str">
        <f t="shared" si="34"/>
        <v>20263019807</v>
      </c>
    </row>
    <row r="735" spans="1:7">
      <c r="A735" s="496">
        <f t="shared" si="35"/>
        <v>734</v>
      </c>
      <c r="B735" s="496" t="s">
        <v>821</v>
      </c>
      <c r="C735" s="495" t="s">
        <v>91</v>
      </c>
      <c r="D735" s="497" t="s">
        <v>92</v>
      </c>
      <c r="E735" s="496" t="str">
        <f t="shared" si="33"/>
        <v>12</v>
      </c>
      <c r="F735" s="496">
        <v>25724</v>
      </c>
      <c r="G735" s="496" t="str">
        <f t="shared" si="34"/>
        <v>20263158327</v>
      </c>
    </row>
    <row r="736" spans="1:7">
      <c r="A736" s="496">
        <f t="shared" si="35"/>
        <v>735</v>
      </c>
      <c r="B736" s="496" t="s">
        <v>822</v>
      </c>
      <c r="C736" s="495" t="s">
        <v>91</v>
      </c>
      <c r="D736" s="497" t="s">
        <v>92</v>
      </c>
      <c r="E736" s="496" t="str">
        <f t="shared" si="33"/>
        <v>12</v>
      </c>
      <c r="F736" s="496">
        <v>25724</v>
      </c>
      <c r="G736" s="496" t="str">
        <f t="shared" si="34"/>
        <v>20263322496</v>
      </c>
    </row>
    <row r="737" spans="1:7">
      <c r="A737" s="496">
        <f t="shared" si="35"/>
        <v>736</v>
      </c>
      <c r="B737" s="496" t="s">
        <v>823</v>
      </c>
      <c r="C737" s="495" t="s">
        <v>77</v>
      </c>
      <c r="D737" s="497" t="s">
        <v>78</v>
      </c>
      <c r="E737" s="496" t="str">
        <f t="shared" si="33"/>
        <v>07</v>
      </c>
      <c r="F737" s="496">
        <v>25717</v>
      </c>
      <c r="G737" s="496" t="str">
        <f t="shared" si="34"/>
        <v>20263408293</v>
      </c>
    </row>
    <row r="738" spans="1:7">
      <c r="A738" s="496">
        <f t="shared" si="35"/>
        <v>737</v>
      </c>
      <c r="B738" s="496" t="s">
        <v>824</v>
      </c>
      <c r="C738" s="495" t="s">
        <v>82</v>
      </c>
      <c r="D738" s="497" t="s">
        <v>83</v>
      </c>
      <c r="E738" s="496" t="str">
        <f t="shared" si="33"/>
        <v>08</v>
      </c>
      <c r="F738" s="496">
        <v>25718</v>
      </c>
      <c r="G738" s="496" t="str">
        <f t="shared" si="34"/>
        <v>20263674929</v>
      </c>
    </row>
    <row r="739" spans="1:7">
      <c r="A739" s="496">
        <f t="shared" si="35"/>
        <v>738</v>
      </c>
      <c r="B739" s="496" t="s">
        <v>825</v>
      </c>
      <c r="C739" s="495" t="s">
        <v>85</v>
      </c>
      <c r="D739" s="497" t="s">
        <v>86</v>
      </c>
      <c r="E739" s="496" t="str">
        <f t="shared" si="33"/>
        <v>09</v>
      </c>
      <c r="F739" s="496">
        <v>25719</v>
      </c>
      <c r="G739" s="496" t="str">
        <f t="shared" si="34"/>
        <v>20264592497</v>
      </c>
    </row>
    <row r="740" spans="1:7">
      <c r="A740" s="496">
        <f t="shared" si="35"/>
        <v>739</v>
      </c>
      <c r="B740" s="496" t="s">
        <v>826</v>
      </c>
      <c r="C740" s="495" t="s">
        <v>88</v>
      </c>
      <c r="D740" s="497" t="s">
        <v>89</v>
      </c>
      <c r="E740" s="496" t="str">
        <f t="shared" si="33"/>
        <v>11</v>
      </c>
      <c r="F740" s="496">
        <v>25720</v>
      </c>
      <c r="G740" s="496" t="str">
        <f t="shared" si="34"/>
        <v>20264846855</v>
      </c>
    </row>
    <row r="741" spans="1:7">
      <c r="A741" s="496">
        <f t="shared" si="35"/>
        <v>740</v>
      </c>
      <c r="B741" s="496" t="s">
        <v>827</v>
      </c>
      <c r="C741" s="495" t="s">
        <v>91</v>
      </c>
      <c r="D741" s="497" t="s">
        <v>92</v>
      </c>
      <c r="E741" s="496" t="str">
        <f t="shared" si="33"/>
        <v>12</v>
      </c>
      <c r="F741" s="496">
        <v>25724</v>
      </c>
      <c r="G741" s="496" t="str">
        <f t="shared" si="34"/>
        <v>20265031677</v>
      </c>
    </row>
    <row r="742" spans="1:7">
      <c r="A742" s="496">
        <f t="shared" si="35"/>
        <v>741</v>
      </c>
      <c r="B742" s="496" t="s">
        <v>828</v>
      </c>
      <c r="C742" s="495" t="s">
        <v>77</v>
      </c>
      <c r="D742" s="497" t="s">
        <v>78</v>
      </c>
      <c r="E742" s="496" t="str">
        <f t="shared" si="33"/>
        <v>07</v>
      </c>
      <c r="F742" s="496">
        <v>25717</v>
      </c>
      <c r="G742" s="496" t="str">
        <f t="shared" si="34"/>
        <v>20265681299</v>
      </c>
    </row>
    <row r="743" spans="1:7">
      <c r="A743" s="496">
        <f t="shared" si="35"/>
        <v>742</v>
      </c>
      <c r="B743" s="496" t="s">
        <v>829</v>
      </c>
      <c r="C743" s="495" t="s">
        <v>82</v>
      </c>
      <c r="D743" s="497" t="s">
        <v>83</v>
      </c>
      <c r="E743" s="496" t="str">
        <f t="shared" si="33"/>
        <v>08</v>
      </c>
      <c r="F743" s="496">
        <v>25718</v>
      </c>
      <c r="G743" s="496" t="str">
        <f t="shared" si="34"/>
        <v>20265733515</v>
      </c>
    </row>
    <row r="744" spans="1:7">
      <c r="A744" s="496">
        <f t="shared" si="35"/>
        <v>743</v>
      </c>
      <c r="B744" s="496" t="s">
        <v>830</v>
      </c>
      <c r="C744" s="495" t="s">
        <v>85</v>
      </c>
      <c r="D744" s="497" t="s">
        <v>86</v>
      </c>
      <c r="E744" s="496" t="str">
        <f t="shared" si="33"/>
        <v>09</v>
      </c>
      <c r="F744" s="496">
        <v>25719</v>
      </c>
      <c r="G744" s="496" t="str">
        <f t="shared" si="34"/>
        <v>20265815830</v>
      </c>
    </row>
    <row r="745" spans="1:7">
      <c r="A745" s="496">
        <f t="shared" si="35"/>
        <v>744</v>
      </c>
      <c r="B745" s="496" t="s">
        <v>831</v>
      </c>
      <c r="C745" s="495" t="s">
        <v>88</v>
      </c>
      <c r="D745" s="497" t="s">
        <v>89</v>
      </c>
      <c r="E745" s="496" t="str">
        <f t="shared" si="33"/>
        <v>11</v>
      </c>
      <c r="F745" s="496">
        <v>25720</v>
      </c>
      <c r="G745" s="496" t="str">
        <f t="shared" si="34"/>
        <v>20266409461</v>
      </c>
    </row>
    <row r="746" spans="1:7">
      <c r="A746" s="496">
        <f t="shared" si="35"/>
        <v>745</v>
      </c>
      <c r="B746" s="496" t="s">
        <v>832</v>
      </c>
      <c r="C746" s="495" t="s">
        <v>91</v>
      </c>
      <c r="D746" s="497" t="s">
        <v>92</v>
      </c>
      <c r="E746" s="496" t="str">
        <f t="shared" si="33"/>
        <v>12</v>
      </c>
      <c r="F746" s="496">
        <v>25724</v>
      </c>
      <c r="G746" s="496" t="str">
        <f t="shared" si="34"/>
        <v>20266488743</v>
      </c>
    </row>
    <row r="747" spans="1:7">
      <c r="A747" s="496">
        <f t="shared" si="35"/>
        <v>746</v>
      </c>
      <c r="B747" s="496" t="s">
        <v>833</v>
      </c>
      <c r="C747" s="495" t="s">
        <v>77</v>
      </c>
      <c r="D747" s="497" t="s">
        <v>78</v>
      </c>
      <c r="E747" s="496" t="str">
        <f t="shared" si="33"/>
        <v>07</v>
      </c>
      <c r="F747" s="496">
        <v>25717</v>
      </c>
      <c r="G747" s="496" t="str">
        <f t="shared" si="34"/>
        <v>20266596805</v>
      </c>
    </row>
    <row r="748" spans="1:7">
      <c r="A748" s="496">
        <f t="shared" si="35"/>
        <v>747</v>
      </c>
      <c r="B748" s="496" t="s">
        <v>834</v>
      </c>
      <c r="C748" s="495" t="s">
        <v>82</v>
      </c>
      <c r="D748" s="497" t="s">
        <v>83</v>
      </c>
      <c r="E748" s="496" t="str">
        <f t="shared" si="33"/>
        <v>08</v>
      </c>
      <c r="F748" s="496">
        <v>25718</v>
      </c>
      <c r="G748" s="496" t="str">
        <f t="shared" si="34"/>
        <v>20267163228</v>
      </c>
    </row>
    <row r="749" spans="1:7">
      <c r="A749" s="496">
        <f t="shared" si="35"/>
        <v>748</v>
      </c>
      <c r="B749" s="496" t="s">
        <v>835</v>
      </c>
      <c r="C749" s="495" t="s">
        <v>85</v>
      </c>
      <c r="D749" s="497" t="s">
        <v>86</v>
      </c>
      <c r="E749" s="496" t="str">
        <f t="shared" si="33"/>
        <v>09</v>
      </c>
      <c r="F749" s="496">
        <v>25719</v>
      </c>
      <c r="G749" s="496" t="str">
        <f t="shared" si="34"/>
        <v>20267178331</v>
      </c>
    </row>
    <row r="750" spans="1:7">
      <c r="A750" s="496">
        <f t="shared" si="35"/>
        <v>749</v>
      </c>
      <c r="B750" s="496" t="s">
        <v>836</v>
      </c>
      <c r="C750" s="495" t="s">
        <v>88</v>
      </c>
      <c r="D750" s="497" t="s">
        <v>89</v>
      </c>
      <c r="E750" s="496" t="str">
        <f t="shared" si="33"/>
        <v>11</v>
      </c>
      <c r="F750" s="496">
        <v>25720</v>
      </c>
      <c r="G750" s="496" t="str">
        <f t="shared" si="34"/>
        <v>20267554090</v>
      </c>
    </row>
    <row r="751" spans="1:7">
      <c r="A751" s="496">
        <f t="shared" si="35"/>
        <v>750</v>
      </c>
      <c r="B751" s="496" t="s">
        <v>837</v>
      </c>
      <c r="C751" s="495" t="s">
        <v>91</v>
      </c>
      <c r="D751" s="497" t="s">
        <v>92</v>
      </c>
      <c r="E751" s="496" t="str">
        <f t="shared" si="33"/>
        <v>12</v>
      </c>
      <c r="F751" s="496">
        <v>25724</v>
      </c>
      <c r="G751" s="496" t="str">
        <f t="shared" si="34"/>
        <v>20267910813</v>
      </c>
    </row>
    <row r="752" spans="1:7">
      <c r="A752" s="496">
        <f t="shared" si="35"/>
        <v>751</v>
      </c>
      <c r="B752" s="496" t="s">
        <v>838</v>
      </c>
      <c r="C752" s="495" t="s">
        <v>77</v>
      </c>
      <c r="D752" s="497" t="s">
        <v>78</v>
      </c>
      <c r="E752" s="496" t="str">
        <f t="shared" si="33"/>
        <v>07</v>
      </c>
      <c r="F752" s="496">
        <v>25717</v>
      </c>
      <c r="G752" s="496" t="str">
        <f t="shared" si="34"/>
        <v>20268248936</v>
      </c>
    </row>
    <row r="753" spans="1:7">
      <c r="A753" s="496">
        <f t="shared" si="35"/>
        <v>752</v>
      </c>
      <c r="B753" s="496" t="s">
        <v>839</v>
      </c>
      <c r="C753" s="495" t="s">
        <v>82</v>
      </c>
      <c r="D753" s="497" t="s">
        <v>83</v>
      </c>
      <c r="E753" s="496" t="str">
        <f t="shared" si="33"/>
        <v>08</v>
      </c>
      <c r="F753" s="496">
        <v>25718</v>
      </c>
      <c r="G753" s="496" t="str">
        <f t="shared" si="34"/>
        <v>20268523821</v>
      </c>
    </row>
    <row r="754" spans="1:7">
      <c r="A754" s="496">
        <f t="shared" si="35"/>
        <v>753</v>
      </c>
      <c r="B754" s="496" t="s">
        <v>840</v>
      </c>
      <c r="C754" s="495" t="s">
        <v>85</v>
      </c>
      <c r="D754" s="497" t="s">
        <v>86</v>
      </c>
      <c r="E754" s="496" t="str">
        <f t="shared" si="33"/>
        <v>09</v>
      </c>
      <c r="F754" s="496">
        <v>25719</v>
      </c>
      <c r="G754" s="496" t="str">
        <f t="shared" si="34"/>
        <v>20268562053</v>
      </c>
    </row>
    <row r="755" spans="1:7">
      <c r="A755" s="496">
        <f t="shared" si="35"/>
        <v>754</v>
      </c>
      <c r="B755" s="496" t="s">
        <v>841</v>
      </c>
      <c r="C755" s="495" t="s">
        <v>88</v>
      </c>
      <c r="D755" s="497" t="s">
        <v>89</v>
      </c>
      <c r="E755" s="496" t="str">
        <f t="shared" si="33"/>
        <v>11</v>
      </c>
      <c r="F755" s="496">
        <v>25720</v>
      </c>
      <c r="G755" s="496" t="str">
        <f t="shared" si="34"/>
        <v>20268911082</v>
      </c>
    </row>
    <row r="756" spans="1:7">
      <c r="A756" s="496">
        <f t="shared" si="35"/>
        <v>755</v>
      </c>
      <c r="B756" s="496" t="s">
        <v>842</v>
      </c>
      <c r="C756" s="495" t="s">
        <v>77</v>
      </c>
      <c r="D756" s="497" t="s">
        <v>78</v>
      </c>
      <c r="E756" s="496" t="str">
        <f t="shared" si="33"/>
        <v>07</v>
      </c>
      <c r="F756" s="496">
        <v>25717</v>
      </c>
      <c r="G756" s="496" t="str">
        <f t="shared" si="34"/>
        <v>20269180731</v>
      </c>
    </row>
    <row r="757" spans="1:7">
      <c r="A757" s="496">
        <f t="shared" si="35"/>
        <v>756</v>
      </c>
      <c r="B757" s="496" t="s">
        <v>843</v>
      </c>
      <c r="C757" s="495" t="s">
        <v>82</v>
      </c>
      <c r="D757" s="497" t="s">
        <v>83</v>
      </c>
      <c r="E757" s="496" t="str">
        <f t="shared" si="33"/>
        <v>08</v>
      </c>
      <c r="F757" s="496">
        <v>25718</v>
      </c>
      <c r="G757" s="496" t="str">
        <f t="shared" si="34"/>
        <v>20269215624</v>
      </c>
    </row>
    <row r="758" spans="1:7">
      <c r="A758" s="496">
        <f t="shared" si="35"/>
        <v>757</v>
      </c>
      <c r="B758" s="496" t="s">
        <v>844</v>
      </c>
      <c r="C758" s="495" t="s">
        <v>91</v>
      </c>
      <c r="D758" s="497" t="s">
        <v>92</v>
      </c>
      <c r="E758" s="496" t="str">
        <f t="shared" si="33"/>
        <v>12</v>
      </c>
      <c r="F758" s="496">
        <v>25724</v>
      </c>
      <c r="G758" s="496" t="str">
        <f t="shared" si="34"/>
        <v>20269493519</v>
      </c>
    </row>
    <row r="759" spans="1:7">
      <c r="A759" s="496">
        <f t="shared" si="35"/>
        <v>758</v>
      </c>
      <c r="B759" s="496" t="s">
        <v>845</v>
      </c>
      <c r="C759" s="495" t="s">
        <v>77</v>
      </c>
      <c r="D759" s="497" t="s">
        <v>78</v>
      </c>
      <c r="E759" s="496" t="str">
        <f t="shared" si="33"/>
        <v>07</v>
      </c>
      <c r="F759" s="496">
        <v>25717</v>
      </c>
      <c r="G759" s="496" t="str">
        <f t="shared" si="34"/>
        <v>20269764211</v>
      </c>
    </row>
    <row r="760" spans="1:7">
      <c r="A760" s="496">
        <f t="shared" si="35"/>
        <v>759</v>
      </c>
      <c r="B760" s="496" t="s">
        <v>846</v>
      </c>
      <c r="C760" s="495" t="s">
        <v>82</v>
      </c>
      <c r="D760" s="497" t="s">
        <v>83</v>
      </c>
      <c r="E760" s="496" t="str">
        <f t="shared" si="33"/>
        <v>08</v>
      </c>
      <c r="F760" s="496">
        <v>25718</v>
      </c>
      <c r="G760" s="496" t="str">
        <f t="shared" si="34"/>
        <v>20269863626</v>
      </c>
    </row>
    <row r="761" spans="1:7">
      <c r="A761" s="496">
        <f t="shared" si="35"/>
        <v>760</v>
      </c>
      <c r="B761" s="496" t="s">
        <v>847</v>
      </c>
      <c r="C761" s="495" t="s">
        <v>85</v>
      </c>
      <c r="D761" s="497" t="s">
        <v>86</v>
      </c>
      <c r="E761" s="496" t="str">
        <f t="shared" si="33"/>
        <v>09</v>
      </c>
      <c r="F761" s="496">
        <v>25719</v>
      </c>
      <c r="G761" s="496" t="str">
        <f t="shared" si="34"/>
        <v>20282801141</v>
      </c>
    </row>
    <row r="762" spans="1:7">
      <c r="A762" s="496">
        <f t="shared" si="35"/>
        <v>761</v>
      </c>
      <c r="B762" s="496" t="s">
        <v>848</v>
      </c>
      <c r="C762" s="495" t="s">
        <v>88</v>
      </c>
      <c r="D762" s="497" t="s">
        <v>89</v>
      </c>
      <c r="E762" s="496" t="str">
        <f t="shared" si="33"/>
        <v>11</v>
      </c>
      <c r="F762" s="496">
        <v>25720</v>
      </c>
      <c r="G762" s="496" t="str">
        <f t="shared" si="34"/>
        <v>20289907743</v>
      </c>
    </row>
    <row r="763" spans="1:7">
      <c r="A763" s="496">
        <f t="shared" si="35"/>
        <v>762</v>
      </c>
      <c r="B763" s="496" t="s">
        <v>849</v>
      </c>
      <c r="C763" s="495" t="s">
        <v>91</v>
      </c>
      <c r="D763" s="497" t="s">
        <v>92</v>
      </c>
      <c r="E763" s="496" t="str">
        <f t="shared" si="33"/>
        <v>12</v>
      </c>
      <c r="F763" s="496">
        <v>25724</v>
      </c>
      <c r="G763" s="496" t="str">
        <f t="shared" si="34"/>
        <v>20291334335</v>
      </c>
    </row>
    <row r="764" spans="1:7">
      <c r="A764" s="496">
        <f t="shared" si="35"/>
        <v>763</v>
      </c>
      <c r="B764" s="496" t="s">
        <v>850</v>
      </c>
      <c r="C764" s="495" t="s">
        <v>77</v>
      </c>
      <c r="D764" s="497" t="s">
        <v>78</v>
      </c>
      <c r="E764" s="496" t="str">
        <f t="shared" si="33"/>
        <v>07</v>
      </c>
      <c r="F764" s="496">
        <v>25717</v>
      </c>
      <c r="G764" s="496" t="str">
        <f t="shared" si="34"/>
        <v>20291398902</v>
      </c>
    </row>
    <row r="765" spans="1:7">
      <c r="A765" s="496">
        <f t="shared" si="35"/>
        <v>764</v>
      </c>
      <c r="B765" s="496" t="s">
        <v>851</v>
      </c>
      <c r="C765" s="495" t="s">
        <v>82</v>
      </c>
      <c r="D765" s="497" t="s">
        <v>83</v>
      </c>
      <c r="E765" s="496" t="str">
        <f t="shared" si="33"/>
        <v>08</v>
      </c>
      <c r="F765" s="496">
        <v>25718</v>
      </c>
      <c r="G765" s="496" t="str">
        <f t="shared" si="34"/>
        <v>20293331066</v>
      </c>
    </row>
    <row r="766" spans="1:7">
      <c r="A766" s="496">
        <f t="shared" si="35"/>
        <v>765</v>
      </c>
      <c r="B766" s="496" t="s">
        <v>852</v>
      </c>
      <c r="C766" s="495" t="s">
        <v>85</v>
      </c>
      <c r="D766" s="497" t="s">
        <v>86</v>
      </c>
      <c r="E766" s="496" t="str">
        <f t="shared" si="33"/>
        <v>09</v>
      </c>
      <c r="F766" s="496">
        <v>25719</v>
      </c>
      <c r="G766" s="496" t="str">
        <f t="shared" si="34"/>
        <v>20293651729</v>
      </c>
    </row>
    <row r="767" spans="1:7">
      <c r="A767" s="496">
        <f t="shared" si="35"/>
        <v>766</v>
      </c>
      <c r="B767" s="496" t="s">
        <v>853</v>
      </c>
      <c r="C767" s="495" t="s">
        <v>88</v>
      </c>
      <c r="D767" s="497" t="s">
        <v>89</v>
      </c>
      <c r="E767" s="496" t="str">
        <f t="shared" si="33"/>
        <v>11</v>
      </c>
      <c r="F767" s="496">
        <v>25720</v>
      </c>
      <c r="G767" s="496" t="str">
        <f t="shared" si="34"/>
        <v>20293670600</v>
      </c>
    </row>
    <row r="768" spans="1:7">
      <c r="A768" s="496">
        <f t="shared" si="35"/>
        <v>767</v>
      </c>
      <c r="B768" s="496" t="s">
        <v>854</v>
      </c>
      <c r="C768" s="495" t="s">
        <v>91</v>
      </c>
      <c r="D768" s="497" t="s">
        <v>92</v>
      </c>
      <c r="E768" s="496" t="str">
        <f t="shared" si="33"/>
        <v>12</v>
      </c>
      <c r="F768" s="496">
        <v>25724</v>
      </c>
      <c r="G768" s="496" t="str">
        <f t="shared" si="34"/>
        <v>20293755770</v>
      </c>
    </row>
    <row r="769" spans="1:7">
      <c r="A769" s="496">
        <f t="shared" si="35"/>
        <v>768</v>
      </c>
      <c r="B769" s="496" t="s">
        <v>855</v>
      </c>
      <c r="C769" s="495" t="s">
        <v>77</v>
      </c>
      <c r="D769" s="497" t="s">
        <v>78</v>
      </c>
      <c r="E769" s="496" t="str">
        <f t="shared" si="33"/>
        <v>07</v>
      </c>
      <c r="F769" s="496">
        <v>25717</v>
      </c>
      <c r="G769" s="496" t="str">
        <f t="shared" si="34"/>
        <v>20293774308</v>
      </c>
    </row>
    <row r="770" spans="1:7">
      <c r="A770" s="496">
        <f t="shared" si="35"/>
        <v>769</v>
      </c>
      <c r="B770" s="496" t="s">
        <v>856</v>
      </c>
      <c r="C770" s="495" t="s">
        <v>82</v>
      </c>
      <c r="D770" s="497" t="s">
        <v>83</v>
      </c>
      <c r="E770" s="496" t="str">
        <f t="shared" si="33"/>
        <v>08</v>
      </c>
      <c r="F770" s="496">
        <v>25718</v>
      </c>
      <c r="G770" s="496" t="str">
        <f t="shared" si="34"/>
        <v>20293847038</v>
      </c>
    </row>
    <row r="771" spans="1:7">
      <c r="A771" s="496">
        <f t="shared" si="35"/>
        <v>770</v>
      </c>
      <c r="B771" s="496" t="s">
        <v>857</v>
      </c>
      <c r="C771" s="495" t="s">
        <v>85</v>
      </c>
      <c r="D771" s="497" t="s">
        <v>86</v>
      </c>
      <c r="E771" s="496" t="str">
        <f t="shared" ref="E771:E834" si="36">IF(MID(D771,14,1)="@",MID(D771,12,2),"0"&amp;MID(D771,12,1))</f>
        <v>09</v>
      </c>
      <c r="F771" s="496">
        <v>25719</v>
      </c>
      <c r="G771" s="496" t="str">
        <f t="shared" ref="G771:G834" si="37">CONCATENATE(B771)</f>
        <v>20294560204</v>
      </c>
    </row>
    <row r="772" spans="1:7">
      <c r="A772" s="496">
        <f t="shared" ref="A772:A835" si="38">+A771+1</f>
        <v>771</v>
      </c>
      <c r="B772" s="496" t="s">
        <v>858</v>
      </c>
      <c r="C772" s="495" t="s">
        <v>88</v>
      </c>
      <c r="D772" s="497" t="s">
        <v>89</v>
      </c>
      <c r="E772" s="496" t="str">
        <f t="shared" si="36"/>
        <v>11</v>
      </c>
      <c r="F772" s="496">
        <v>25720</v>
      </c>
      <c r="G772" s="496" t="str">
        <f t="shared" si="37"/>
        <v>20294789457</v>
      </c>
    </row>
    <row r="773" spans="1:7">
      <c r="A773" s="496">
        <f t="shared" si="38"/>
        <v>772</v>
      </c>
      <c r="B773" s="496" t="s">
        <v>859</v>
      </c>
      <c r="C773" s="495" t="s">
        <v>85</v>
      </c>
      <c r="D773" s="497" t="s">
        <v>86</v>
      </c>
      <c r="E773" s="496" t="str">
        <f t="shared" si="36"/>
        <v>09</v>
      </c>
      <c r="F773" s="496">
        <v>25719</v>
      </c>
      <c r="G773" s="496" t="str">
        <f t="shared" si="37"/>
        <v>20294845896</v>
      </c>
    </row>
    <row r="774" spans="1:7">
      <c r="A774" s="496">
        <f t="shared" si="38"/>
        <v>773</v>
      </c>
      <c r="B774" s="496" t="s">
        <v>860</v>
      </c>
      <c r="C774" s="495" t="s">
        <v>91</v>
      </c>
      <c r="D774" s="497" t="s">
        <v>92</v>
      </c>
      <c r="E774" s="496" t="str">
        <f t="shared" si="36"/>
        <v>12</v>
      </c>
      <c r="F774" s="496">
        <v>25724</v>
      </c>
      <c r="G774" s="496" t="str">
        <f t="shared" si="37"/>
        <v>20295458551</v>
      </c>
    </row>
    <row r="775" spans="1:7">
      <c r="A775" s="496">
        <f t="shared" si="38"/>
        <v>774</v>
      </c>
      <c r="B775" s="496" t="s">
        <v>861</v>
      </c>
      <c r="C775" s="495" t="s">
        <v>77</v>
      </c>
      <c r="D775" s="497" t="s">
        <v>78</v>
      </c>
      <c r="E775" s="496" t="str">
        <f t="shared" si="36"/>
        <v>07</v>
      </c>
      <c r="F775" s="496">
        <v>25717</v>
      </c>
      <c r="G775" s="496" t="str">
        <f t="shared" si="37"/>
        <v>20295734681</v>
      </c>
    </row>
    <row r="776" spans="1:7">
      <c r="A776" s="496">
        <f t="shared" si="38"/>
        <v>775</v>
      </c>
      <c r="B776" s="496" t="s">
        <v>862</v>
      </c>
      <c r="C776" s="495" t="s">
        <v>82</v>
      </c>
      <c r="D776" s="497" t="s">
        <v>83</v>
      </c>
      <c r="E776" s="496" t="str">
        <f t="shared" si="36"/>
        <v>08</v>
      </c>
      <c r="F776" s="496">
        <v>25718</v>
      </c>
      <c r="G776" s="496" t="str">
        <f t="shared" si="37"/>
        <v>20296136728</v>
      </c>
    </row>
    <row r="777" spans="1:7">
      <c r="A777" s="496">
        <f t="shared" si="38"/>
        <v>776</v>
      </c>
      <c r="B777" s="496" t="s">
        <v>863</v>
      </c>
      <c r="C777" s="495" t="s">
        <v>85</v>
      </c>
      <c r="D777" s="497" t="s">
        <v>86</v>
      </c>
      <c r="E777" s="496" t="str">
        <f t="shared" si="36"/>
        <v>09</v>
      </c>
      <c r="F777" s="496">
        <v>25719</v>
      </c>
      <c r="G777" s="496" t="str">
        <f t="shared" si="37"/>
        <v>20297005244</v>
      </c>
    </row>
    <row r="778" spans="1:7">
      <c r="A778" s="496">
        <f t="shared" si="38"/>
        <v>777</v>
      </c>
      <c r="B778" s="496" t="s">
        <v>864</v>
      </c>
      <c r="C778" s="495" t="s">
        <v>88</v>
      </c>
      <c r="D778" s="497" t="s">
        <v>89</v>
      </c>
      <c r="E778" s="496" t="str">
        <f t="shared" si="36"/>
        <v>11</v>
      </c>
      <c r="F778" s="496">
        <v>25720</v>
      </c>
      <c r="G778" s="496" t="str">
        <f t="shared" si="37"/>
        <v>20297154673</v>
      </c>
    </row>
    <row r="779" spans="1:7">
      <c r="A779" s="496">
        <f t="shared" si="38"/>
        <v>778</v>
      </c>
      <c r="B779" s="496" t="s">
        <v>865</v>
      </c>
      <c r="C779" s="495" t="s">
        <v>91</v>
      </c>
      <c r="D779" s="497" t="s">
        <v>92</v>
      </c>
      <c r="E779" s="496" t="str">
        <f t="shared" si="36"/>
        <v>12</v>
      </c>
      <c r="F779" s="496">
        <v>25724</v>
      </c>
      <c r="G779" s="496" t="str">
        <f t="shared" si="37"/>
        <v>20297182456</v>
      </c>
    </row>
    <row r="780" spans="1:7">
      <c r="A780" s="496">
        <f t="shared" si="38"/>
        <v>779</v>
      </c>
      <c r="B780" s="496" t="s">
        <v>866</v>
      </c>
      <c r="C780" s="495" t="s">
        <v>77</v>
      </c>
      <c r="D780" s="497" t="s">
        <v>78</v>
      </c>
      <c r="E780" s="496" t="str">
        <f t="shared" si="36"/>
        <v>07</v>
      </c>
      <c r="F780" s="496">
        <v>25717</v>
      </c>
      <c r="G780" s="496" t="str">
        <f t="shared" si="37"/>
        <v>20297299051</v>
      </c>
    </row>
    <row r="781" spans="1:7">
      <c r="A781" s="496">
        <f t="shared" si="38"/>
        <v>780</v>
      </c>
      <c r="B781" s="496" t="s">
        <v>867</v>
      </c>
      <c r="C781" s="495" t="s">
        <v>82</v>
      </c>
      <c r="D781" s="497" t="s">
        <v>83</v>
      </c>
      <c r="E781" s="496" t="str">
        <f t="shared" si="36"/>
        <v>08</v>
      </c>
      <c r="F781" s="496">
        <v>25718</v>
      </c>
      <c r="G781" s="496" t="str">
        <f t="shared" si="37"/>
        <v>20297386531</v>
      </c>
    </row>
    <row r="782" spans="1:7">
      <c r="A782" s="496">
        <f t="shared" si="38"/>
        <v>781</v>
      </c>
      <c r="B782" s="496" t="s">
        <v>868</v>
      </c>
      <c r="C782" s="495" t="s">
        <v>85</v>
      </c>
      <c r="D782" s="497" t="s">
        <v>86</v>
      </c>
      <c r="E782" s="496" t="str">
        <f t="shared" si="36"/>
        <v>09</v>
      </c>
      <c r="F782" s="496">
        <v>25719</v>
      </c>
      <c r="G782" s="496" t="str">
        <f t="shared" si="37"/>
        <v>20297543653</v>
      </c>
    </row>
    <row r="783" spans="1:7">
      <c r="A783" s="496">
        <f t="shared" si="38"/>
        <v>782</v>
      </c>
      <c r="B783" s="496" t="s">
        <v>869</v>
      </c>
      <c r="C783" s="495" t="s">
        <v>88</v>
      </c>
      <c r="D783" s="497" t="s">
        <v>89</v>
      </c>
      <c r="E783" s="496" t="str">
        <f t="shared" si="36"/>
        <v>11</v>
      </c>
      <c r="F783" s="496">
        <v>25720</v>
      </c>
      <c r="G783" s="496" t="str">
        <f t="shared" si="37"/>
        <v>20297687655</v>
      </c>
    </row>
    <row r="784" spans="1:7">
      <c r="A784" s="496">
        <f t="shared" si="38"/>
        <v>783</v>
      </c>
      <c r="B784" s="496" t="s">
        <v>870</v>
      </c>
      <c r="C784" s="495" t="s">
        <v>91</v>
      </c>
      <c r="D784" s="497" t="s">
        <v>92</v>
      </c>
      <c r="E784" s="496" t="str">
        <f t="shared" si="36"/>
        <v>12</v>
      </c>
      <c r="F784" s="496">
        <v>25724</v>
      </c>
      <c r="G784" s="496" t="str">
        <f t="shared" si="37"/>
        <v>20297885538</v>
      </c>
    </row>
    <row r="785" spans="1:7">
      <c r="A785" s="496">
        <f t="shared" si="38"/>
        <v>784</v>
      </c>
      <c r="B785" s="496" t="s">
        <v>871</v>
      </c>
      <c r="C785" s="495" t="s">
        <v>77</v>
      </c>
      <c r="D785" s="497" t="s">
        <v>78</v>
      </c>
      <c r="E785" s="496" t="str">
        <f t="shared" si="36"/>
        <v>07</v>
      </c>
      <c r="F785" s="496">
        <v>25717</v>
      </c>
      <c r="G785" s="496" t="str">
        <f t="shared" si="37"/>
        <v>20297939131</v>
      </c>
    </row>
    <row r="786" spans="1:7">
      <c r="A786" s="496">
        <f t="shared" si="38"/>
        <v>785</v>
      </c>
      <c r="B786" s="496" t="s">
        <v>872</v>
      </c>
      <c r="C786" s="495" t="s">
        <v>82</v>
      </c>
      <c r="D786" s="497" t="s">
        <v>83</v>
      </c>
      <c r="E786" s="496" t="str">
        <f t="shared" si="36"/>
        <v>08</v>
      </c>
      <c r="F786" s="496">
        <v>25718</v>
      </c>
      <c r="G786" s="496" t="str">
        <f t="shared" si="37"/>
        <v>20297986130</v>
      </c>
    </row>
    <row r="787" spans="1:7">
      <c r="A787" s="496">
        <f t="shared" si="38"/>
        <v>786</v>
      </c>
      <c r="B787" s="496" t="s">
        <v>873</v>
      </c>
      <c r="C787" s="495" t="s">
        <v>85</v>
      </c>
      <c r="D787" s="497" t="s">
        <v>86</v>
      </c>
      <c r="E787" s="496" t="str">
        <f t="shared" si="36"/>
        <v>09</v>
      </c>
      <c r="F787" s="496">
        <v>25719</v>
      </c>
      <c r="G787" s="496" t="str">
        <f t="shared" si="37"/>
        <v>20298669707</v>
      </c>
    </row>
    <row r="788" spans="1:7">
      <c r="A788" s="496">
        <f t="shared" si="38"/>
        <v>787</v>
      </c>
      <c r="B788" s="496" t="s">
        <v>874</v>
      </c>
      <c r="C788" s="495" t="s">
        <v>88</v>
      </c>
      <c r="D788" s="497" t="s">
        <v>89</v>
      </c>
      <c r="E788" s="496" t="str">
        <f t="shared" si="36"/>
        <v>11</v>
      </c>
      <c r="F788" s="496">
        <v>25720</v>
      </c>
      <c r="G788" s="496" t="str">
        <f t="shared" si="37"/>
        <v>20298674611</v>
      </c>
    </row>
    <row r="789" spans="1:7">
      <c r="A789" s="496">
        <f t="shared" si="38"/>
        <v>788</v>
      </c>
      <c r="B789" s="496" t="s">
        <v>875</v>
      </c>
      <c r="C789" s="495" t="s">
        <v>91</v>
      </c>
      <c r="D789" s="497" t="s">
        <v>92</v>
      </c>
      <c r="E789" s="496" t="str">
        <f t="shared" si="36"/>
        <v>12</v>
      </c>
      <c r="F789" s="496">
        <v>25724</v>
      </c>
      <c r="G789" s="496" t="str">
        <f t="shared" si="37"/>
        <v>20299634443</v>
      </c>
    </row>
    <row r="790" spans="1:7">
      <c r="A790" s="496">
        <f t="shared" si="38"/>
        <v>789</v>
      </c>
      <c r="B790" s="496" t="s">
        <v>876</v>
      </c>
      <c r="C790" s="495" t="s">
        <v>77</v>
      </c>
      <c r="D790" s="497" t="s">
        <v>78</v>
      </c>
      <c r="E790" s="496" t="str">
        <f t="shared" si="36"/>
        <v>07</v>
      </c>
      <c r="F790" s="496">
        <v>25717</v>
      </c>
      <c r="G790" s="496" t="str">
        <f t="shared" si="37"/>
        <v>20299982484</v>
      </c>
    </row>
    <row r="791" spans="1:7">
      <c r="A791" s="496">
        <f t="shared" si="38"/>
        <v>790</v>
      </c>
      <c r="B791" s="496" t="s">
        <v>877</v>
      </c>
      <c r="C791" s="495" t="s">
        <v>82</v>
      </c>
      <c r="D791" s="497" t="s">
        <v>83</v>
      </c>
      <c r="E791" s="496" t="str">
        <f t="shared" si="36"/>
        <v>08</v>
      </c>
      <c r="F791" s="496">
        <v>25718</v>
      </c>
      <c r="G791" s="496" t="str">
        <f t="shared" si="37"/>
        <v>20300263578</v>
      </c>
    </row>
    <row r="792" spans="1:7">
      <c r="A792" s="496">
        <f t="shared" si="38"/>
        <v>791</v>
      </c>
      <c r="B792" s="496" t="s">
        <v>878</v>
      </c>
      <c r="C792" s="495" t="s">
        <v>85</v>
      </c>
      <c r="D792" s="497" t="s">
        <v>86</v>
      </c>
      <c r="E792" s="496" t="str">
        <f t="shared" si="36"/>
        <v>09</v>
      </c>
      <c r="F792" s="496">
        <v>25719</v>
      </c>
      <c r="G792" s="496" t="str">
        <f t="shared" si="37"/>
        <v>20300454080</v>
      </c>
    </row>
    <row r="793" spans="1:7">
      <c r="A793" s="496">
        <f t="shared" si="38"/>
        <v>792</v>
      </c>
      <c r="B793" s="496" t="s">
        <v>879</v>
      </c>
      <c r="C793" s="495" t="s">
        <v>88</v>
      </c>
      <c r="D793" s="497" t="s">
        <v>89</v>
      </c>
      <c r="E793" s="496" t="str">
        <f t="shared" si="36"/>
        <v>11</v>
      </c>
      <c r="F793" s="496">
        <v>25720</v>
      </c>
      <c r="G793" s="496" t="str">
        <f t="shared" si="37"/>
        <v>20301171316</v>
      </c>
    </row>
    <row r="794" spans="1:7">
      <c r="A794" s="496">
        <f t="shared" si="38"/>
        <v>793</v>
      </c>
      <c r="B794" s="496" t="s">
        <v>880</v>
      </c>
      <c r="C794" s="495" t="s">
        <v>91</v>
      </c>
      <c r="D794" s="497" t="s">
        <v>92</v>
      </c>
      <c r="E794" s="496" t="str">
        <f t="shared" si="36"/>
        <v>12</v>
      </c>
      <c r="F794" s="496">
        <v>25724</v>
      </c>
      <c r="G794" s="496" t="str">
        <f t="shared" si="37"/>
        <v>20301409151</v>
      </c>
    </row>
    <row r="795" spans="1:7">
      <c r="A795" s="496">
        <f t="shared" si="38"/>
        <v>794</v>
      </c>
      <c r="B795" s="496" t="s">
        <v>881</v>
      </c>
      <c r="C795" s="495" t="s">
        <v>77</v>
      </c>
      <c r="D795" s="497" t="s">
        <v>78</v>
      </c>
      <c r="E795" s="496" t="str">
        <f t="shared" si="36"/>
        <v>07</v>
      </c>
      <c r="F795" s="496">
        <v>25717</v>
      </c>
      <c r="G795" s="496" t="str">
        <f t="shared" si="37"/>
        <v>20301494590</v>
      </c>
    </row>
    <row r="796" spans="1:7">
      <c r="A796" s="496">
        <f t="shared" si="38"/>
        <v>795</v>
      </c>
      <c r="B796" s="496" t="s">
        <v>882</v>
      </c>
      <c r="C796" s="495" t="s">
        <v>82</v>
      </c>
      <c r="D796" s="497" t="s">
        <v>83</v>
      </c>
      <c r="E796" s="496" t="str">
        <f t="shared" si="36"/>
        <v>08</v>
      </c>
      <c r="F796" s="496">
        <v>25718</v>
      </c>
      <c r="G796" s="496" t="str">
        <f t="shared" si="37"/>
        <v>20301695145</v>
      </c>
    </row>
    <row r="797" spans="1:7">
      <c r="A797" s="496">
        <f t="shared" si="38"/>
        <v>796</v>
      </c>
      <c r="B797" s="496" t="s">
        <v>883</v>
      </c>
      <c r="C797" s="495" t="s">
        <v>85</v>
      </c>
      <c r="D797" s="497" t="s">
        <v>86</v>
      </c>
      <c r="E797" s="496" t="str">
        <f t="shared" si="36"/>
        <v>09</v>
      </c>
      <c r="F797" s="496">
        <v>25719</v>
      </c>
      <c r="G797" s="496" t="str">
        <f t="shared" si="37"/>
        <v>20301821388</v>
      </c>
    </row>
    <row r="798" spans="1:7">
      <c r="A798" s="496">
        <f t="shared" si="38"/>
        <v>797</v>
      </c>
      <c r="B798" s="496" t="s">
        <v>884</v>
      </c>
      <c r="C798" s="495" t="s">
        <v>88</v>
      </c>
      <c r="D798" s="497" t="s">
        <v>89</v>
      </c>
      <c r="E798" s="496" t="str">
        <f t="shared" si="36"/>
        <v>11</v>
      </c>
      <c r="F798" s="496">
        <v>25720</v>
      </c>
      <c r="G798" s="496" t="str">
        <f t="shared" si="37"/>
        <v>20301837896</v>
      </c>
    </row>
    <row r="799" spans="1:7">
      <c r="A799" s="496">
        <f t="shared" si="38"/>
        <v>798</v>
      </c>
      <c r="B799" s="496" t="s">
        <v>885</v>
      </c>
      <c r="C799" s="495" t="s">
        <v>91</v>
      </c>
      <c r="D799" s="497" t="s">
        <v>92</v>
      </c>
      <c r="E799" s="496" t="str">
        <f t="shared" si="36"/>
        <v>12</v>
      </c>
      <c r="F799" s="496">
        <v>25724</v>
      </c>
      <c r="G799" s="496" t="str">
        <f t="shared" si="37"/>
        <v>20301909986</v>
      </c>
    </row>
    <row r="800" spans="1:7">
      <c r="A800" s="496">
        <f t="shared" si="38"/>
        <v>799</v>
      </c>
      <c r="B800" s="496" t="s">
        <v>886</v>
      </c>
      <c r="C800" s="495" t="s">
        <v>88</v>
      </c>
      <c r="D800" s="497" t="s">
        <v>89</v>
      </c>
      <c r="E800" s="496" t="str">
        <f t="shared" si="36"/>
        <v>11</v>
      </c>
      <c r="F800" s="496">
        <v>25720</v>
      </c>
      <c r="G800" s="496" t="str">
        <f t="shared" si="37"/>
        <v>20302091766</v>
      </c>
    </row>
    <row r="801" spans="1:7">
      <c r="A801" s="496">
        <f t="shared" si="38"/>
        <v>800</v>
      </c>
      <c r="B801" s="496" t="s">
        <v>887</v>
      </c>
      <c r="C801" s="495" t="s">
        <v>77</v>
      </c>
      <c r="D801" s="497" t="s">
        <v>78</v>
      </c>
      <c r="E801" s="496" t="str">
        <f t="shared" si="36"/>
        <v>07</v>
      </c>
      <c r="F801" s="496">
        <v>25717</v>
      </c>
      <c r="G801" s="496" t="str">
        <f t="shared" si="37"/>
        <v>20302114481</v>
      </c>
    </row>
    <row r="802" spans="1:7">
      <c r="A802" s="496">
        <f t="shared" si="38"/>
        <v>801</v>
      </c>
      <c r="B802" s="496" t="s">
        <v>888</v>
      </c>
      <c r="C802" s="495" t="s">
        <v>82</v>
      </c>
      <c r="D802" s="497" t="s">
        <v>83</v>
      </c>
      <c r="E802" s="496" t="str">
        <f t="shared" si="36"/>
        <v>08</v>
      </c>
      <c r="F802" s="496">
        <v>25718</v>
      </c>
      <c r="G802" s="496" t="str">
        <f t="shared" si="37"/>
        <v>20302218774</v>
      </c>
    </row>
    <row r="803" spans="1:7">
      <c r="A803" s="496">
        <f t="shared" si="38"/>
        <v>802</v>
      </c>
      <c r="B803" s="496" t="s">
        <v>889</v>
      </c>
      <c r="C803" s="495" t="s">
        <v>91</v>
      </c>
      <c r="D803" s="497" t="s">
        <v>92</v>
      </c>
      <c r="E803" s="496" t="str">
        <f t="shared" si="36"/>
        <v>12</v>
      </c>
      <c r="F803" s="496">
        <v>25724</v>
      </c>
      <c r="G803" s="496" t="str">
        <f t="shared" si="37"/>
        <v>20302241598</v>
      </c>
    </row>
    <row r="804" spans="1:7">
      <c r="A804" s="496">
        <f t="shared" si="38"/>
        <v>803</v>
      </c>
      <c r="B804" s="496" t="s">
        <v>890</v>
      </c>
      <c r="C804" s="495" t="s">
        <v>85</v>
      </c>
      <c r="D804" s="497" t="s">
        <v>86</v>
      </c>
      <c r="E804" s="496" t="str">
        <f t="shared" si="36"/>
        <v>09</v>
      </c>
      <c r="F804" s="496">
        <v>25719</v>
      </c>
      <c r="G804" s="496" t="str">
        <f t="shared" si="37"/>
        <v>20302459381</v>
      </c>
    </row>
    <row r="805" spans="1:7">
      <c r="A805" s="496">
        <f t="shared" si="38"/>
        <v>804</v>
      </c>
      <c r="B805" s="496" t="s">
        <v>891</v>
      </c>
      <c r="C805" s="495" t="s">
        <v>88</v>
      </c>
      <c r="D805" s="497" t="s">
        <v>89</v>
      </c>
      <c r="E805" s="496" t="str">
        <f t="shared" si="36"/>
        <v>11</v>
      </c>
      <c r="F805" s="496">
        <v>25720</v>
      </c>
      <c r="G805" s="496" t="str">
        <f t="shared" si="37"/>
        <v>20302888231</v>
      </c>
    </row>
    <row r="806" spans="1:7">
      <c r="A806" s="496">
        <f t="shared" si="38"/>
        <v>805</v>
      </c>
      <c r="B806" s="496" t="s">
        <v>892</v>
      </c>
      <c r="C806" s="495" t="s">
        <v>91</v>
      </c>
      <c r="D806" s="497" t="s">
        <v>92</v>
      </c>
      <c r="E806" s="496" t="str">
        <f t="shared" si="36"/>
        <v>12</v>
      </c>
      <c r="F806" s="496">
        <v>25724</v>
      </c>
      <c r="G806" s="496" t="str">
        <f t="shared" si="37"/>
        <v>20303051831</v>
      </c>
    </row>
    <row r="807" spans="1:7">
      <c r="A807" s="496">
        <f t="shared" si="38"/>
        <v>806</v>
      </c>
      <c r="B807" s="496" t="s">
        <v>893</v>
      </c>
      <c r="C807" s="495" t="s">
        <v>77</v>
      </c>
      <c r="D807" s="497" t="s">
        <v>78</v>
      </c>
      <c r="E807" s="496" t="str">
        <f t="shared" si="36"/>
        <v>07</v>
      </c>
      <c r="F807" s="496">
        <v>25717</v>
      </c>
      <c r="G807" s="496" t="str">
        <f t="shared" si="37"/>
        <v>20303063413</v>
      </c>
    </row>
    <row r="808" spans="1:7">
      <c r="A808" s="496">
        <f t="shared" si="38"/>
        <v>807</v>
      </c>
      <c r="B808" s="496" t="s">
        <v>894</v>
      </c>
      <c r="C808" s="495" t="s">
        <v>82</v>
      </c>
      <c r="D808" s="497" t="s">
        <v>83</v>
      </c>
      <c r="E808" s="496" t="str">
        <f t="shared" si="36"/>
        <v>08</v>
      </c>
      <c r="F808" s="496">
        <v>25718</v>
      </c>
      <c r="G808" s="496" t="str">
        <f t="shared" si="37"/>
        <v>20303063766</v>
      </c>
    </row>
    <row r="809" spans="1:7">
      <c r="A809" s="496">
        <f t="shared" si="38"/>
        <v>808</v>
      </c>
      <c r="B809" s="496" t="s">
        <v>895</v>
      </c>
      <c r="C809" s="495" t="s">
        <v>85</v>
      </c>
      <c r="D809" s="497" t="s">
        <v>86</v>
      </c>
      <c r="E809" s="496" t="str">
        <f t="shared" si="36"/>
        <v>09</v>
      </c>
      <c r="F809" s="496">
        <v>25719</v>
      </c>
      <c r="G809" s="496" t="str">
        <f t="shared" si="37"/>
        <v>20303115405</v>
      </c>
    </row>
    <row r="810" spans="1:7">
      <c r="A810" s="496">
        <f t="shared" si="38"/>
        <v>809</v>
      </c>
      <c r="B810" s="496" t="s">
        <v>896</v>
      </c>
      <c r="C810" s="495" t="s">
        <v>88</v>
      </c>
      <c r="D810" s="497" t="s">
        <v>89</v>
      </c>
      <c r="E810" s="496" t="str">
        <f t="shared" si="36"/>
        <v>11</v>
      </c>
      <c r="F810" s="496">
        <v>25720</v>
      </c>
      <c r="G810" s="496" t="str">
        <f t="shared" si="37"/>
        <v>20303368877</v>
      </c>
    </row>
    <row r="811" spans="1:7">
      <c r="A811" s="496">
        <f t="shared" si="38"/>
        <v>810</v>
      </c>
      <c r="B811" s="496" t="s">
        <v>897</v>
      </c>
      <c r="C811" s="495" t="s">
        <v>91</v>
      </c>
      <c r="D811" s="497" t="s">
        <v>92</v>
      </c>
      <c r="E811" s="496" t="str">
        <f t="shared" si="36"/>
        <v>12</v>
      </c>
      <c r="F811" s="496">
        <v>25724</v>
      </c>
      <c r="G811" s="496" t="str">
        <f t="shared" si="37"/>
        <v>20303585622</v>
      </c>
    </row>
    <row r="812" spans="1:7">
      <c r="A812" s="496">
        <f t="shared" si="38"/>
        <v>811</v>
      </c>
      <c r="B812" s="496" t="s">
        <v>898</v>
      </c>
      <c r="C812" s="495" t="s">
        <v>77</v>
      </c>
      <c r="D812" s="497" t="s">
        <v>78</v>
      </c>
      <c r="E812" s="496" t="str">
        <f t="shared" si="36"/>
        <v>07</v>
      </c>
      <c r="F812" s="496">
        <v>25717</v>
      </c>
      <c r="G812" s="496" t="str">
        <f t="shared" si="37"/>
        <v>20303912682</v>
      </c>
    </row>
    <row r="813" spans="1:7">
      <c r="A813" s="496">
        <f t="shared" si="38"/>
        <v>812</v>
      </c>
      <c r="B813" s="496" t="s">
        <v>899</v>
      </c>
      <c r="C813" s="495" t="s">
        <v>82</v>
      </c>
      <c r="D813" s="497" t="s">
        <v>83</v>
      </c>
      <c r="E813" s="496" t="str">
        <f t="shared" si="36"/>
        <v>08</v>
      </c>
      <c r="F813" s="496">
        <v>25718</v>
      </c>
      <c r="G813" s="496" t="str">
        <f t="shared" si="37"/>
        <v>20303972821</v>
      </c>
    </row>
    <row r="814" spans="1:7">
      <c r="A814" s="496">
        <f t="shared" si="38"/>
        <v>813</v>
      </c>
      <c r="B814" s="496" t="s">
        <v>900</v>
      </c>
      <c r="C814" s="495" t="s">
        <v>85</v>
      </c>
      <c r="D814" s="497" t="s">
        <v>86</v>
      </c>
      <c r="E814" s="496" t="str">
        <f t="shared" si="36"/>
        <v>09</v>
      </c>
      <c r="F814" s="496">
        <v>25719</v>
      </c>
      <c r="G814" s="496" t="str">
        <f t="shared" si="37"/>
        <v>20304312271</v>
      </c>
    </row>
    <row r="815" spans="1:7">
      <c r="A815" s="496">
        <f t="shared" si="38"/>
        <v>814</v>
      </c>
      <c r="B815" s="496" t="s">
        <v>901</v>
      </c>
      <c r="C815" s="495" t="s">
        <v>88</v>
      </c>
      <c r="D815" s="497" t="s">
        <v>89</v>
      </c>
      <c r="E815" s="496" t="str">
        <f t="shared" si="36"/>
        <v>11</v>
      </c>
      <c r="F815" s="496">
        <v>25720</v>
      </c>
      <c r="G815" s="496" t="str">
        <f t="shared" si="37"/>
        <v>20304576929</v>
      </c>
    </row>
    <row r="816" spans="1:7">
      <c r="A816" s="496">
        <f t="shared" si="38"/>
        <v>815</v>
      </c>
      <c r="B816" s="496" t="s">
        <v>902</v>
      </c>
      <c r="C816" s="495" t="s">
        <v>91</v>
      </c>
      <c r="D816" s="497" t="s">
        <v>92</v>
      </c>
      <c r="E816" s="496" t="str">
        <f t="shared" si="36"/>
        <v>12</v>
      </c>
      <c r="F816" s="496">
        <v>25724</v>
      </c>
      <c r="G816" s="496" t="str">
        <f t="shared" si="37"/>
        <v>20304634554</v>
      </c>
    </row>
    <row r="817" spans="1:7">
      <c r="A817" s="496">
        <f t="shared" si="38"/>
        <v>816</v>
      </c>
      <c r="B817" s="496" t="s">
        <v>903</v>
      </c>
      <c r="C817" s="495" t="s">
        <v>77</v>
      </c>
      <c r="D817" s="497" t="s">
        <v>78</v>
      </c>
      <c r="E817" s="496" t="str">
        <f t="shared" si="36"/>
        <v>07</v>
      </c>
      <c r="F817" s="496">
        <v>25717</v>
      </c>
      <c r="G817" s="496" t="str">
        <f t="shared" si="37"/>
        <v>20305012417</v>
      </c>
    </row>
    <row r="818" spans="1:7">
      <c r="A818" s="496">
        <f t="shared" si="38"/>
        <v>817</v>
      </c>
      <c r="B818" s="496" t="s">
        <v>904</v>
      </c>
      <c r="C818" s="495" t="s">
        <v>82</v>
      </c>
      <c r="D818" s="497" t="s">
        <v>83</v>
      </c>
      <c r="E818" s="496" t="str">
        <f t="shared" si="36"/>
        <v>08</v>
      </c>
      <c r="F818" s="496">
        <v>25718</v>
      </c>
      <c r="G818" s="496" t="str">
        <f t="shared" si="37"/>
        <v>20305058085</v>
      </c>
    </row>
    <row r="819" spans="1:7">
      <c r="A819" s="496">
        <f t="shared" si="38"/>
        <v>818</v>
      </c>
      <c r="B819" s="496" t="s">
        <v>905</v>
      </c>
      <c r="C819" s="495" t="s">
        <v>85</v>
      </c>
      <c r="D819" s="497" t="s">
        <v>86</v>
      </c>
      <c r="E819" s="496" t="str">
        <f t="shared" si="36"/>
        <v>09</v>
      </c>
      <c r="F819" s="496">
        <v>25719</v>
      </c>
      <c r="G819" s="496" t="str">
        <f t="shared" si="37"/>
        <v>20305146618</v>
      </c>
    </row>
    <row r="820" spans="1:7">
      <c r="A820" s="496">
        <f t="shared" si="38"/>
        <v>819</v>
      </c>
      <c r="B820" s="496" t="s">
        <v>906</v>
      </c>
      <c r="C820" s="495" t="s">
        <v>88</v>
      </c>
      <c r="D820" s="497" t="s">
        <v>89</v>
      </c>
      <c r="E820" s="496" t="str">
        <f t="shared" si="36"/>
        <v>11</v>
      </c>
      <c r="F820" s="496">
        <v>25720</v>
      </c>
      <c r="G820" s="496" t="str">
        <f t="shared" si="37"/>
        <v>20305416933</v>
      </c>
    </row>
    <row r="821" spans="1:7">
      <c r="A821" s="496">
        <f t="shared" si="38"/>
        <v>820</v>
      </c>
      <c r="B821" s="496" t="s">
        <v>907</v>
      </c>
      <c r="C821" s="495" t="s">
        <v>91</v>
      </c>
      <c r="D821" s="497" t="s">
        <v>92</v>
      </c>
      <c r="E821" s="496" t="str">
        <f t="shared" si="36"/>
        <v>12</v>
      </c>
      <c r="F821" s="496">
        <v>25724</v>
      </c>
      <c r="G821" s="496" t="str">
        <f t="shared" si="37"/>
        <v>20305556786</v>
      </c>
    </row>
    <row r="822" spans="1:7">
      <c r="A822" s="496">
        <f t="shared" si="38"/>
        <v>821</v>
      </c>
      <c r="B822" s="496" t="s">
        <v>908</v>
      </c>
      <c r="C822" s="495" t="s">
        <v>77</v>
      </c>
      <c r="D822" s="497" t="s">
        <v>78</v>
      </c>
      <c r="E822" s="496" t="str">
        <f t="shared" si="36"/>
        <v>07</v>
      </c>
      <c r="F822" s="496">
        <v>25717</v>
      </c>
      <c r="G822" s="496" t="str">
        <f t="shared" si="37"/>
        <v>20305673669</v>
      </c>
    </row>
    <row r="823" spans="1:7">
      <c r="A823" s="496">
        <f t="shared" si="38"/>
        <v>822</v>
      </c>
      <c r="B823" s="496" t="s">
        <v>909</v>
      </c>
      <c r="C823" s="495" t="s">
        <v>82</v>
      </c>
      <c r="D823" s="497" t="s">
        <v>83</v>
      </c>
      <c r="E823" s="496" t="str">
        <f t="shared" si="36"/>
        <v>08</v>
      </c>
      <c r="F823" s="496">
        <v>25718</v>
      </c>
      <c r="G823" s="496" t="str">
        <f t="shared" si="37"/>
        <v>20305875296</v>
      </c>
    </row>
    <row r="824" spans="1:7">
      <c r="A824" s="496">
        <f t="shared" si="38"/>
        <v>823</v>
      </c>
      <c r="B824" s="496" t="s">
        <v>910</v>
      </c>
      <c r="C824" s="495" t="s">
        <v>77</v>
      </c>
      <c r="D824" s="497" t="s">
        <v>78</v>
      </c>
      <c r="E824" s="496" t="str">
        <f t="shared" si="36"/>
        <v>07</v>
      </c>
      <c r="F824" s="496">
        <v>25717</v>
      </c>
      <c r="G824" s="496" t="str">
        <f t="shared" si="37"/>
        <v>20305909611</v>
      </c>
    </row>
    <row r="825" spans="1:7">
      <c r="A825" s="496">
        <f t="shared" si="38"/>
        <v>824</v>
      </c>
      <c r="B825" s="496" t="s">
        <v>911</v>
      </c>
      <c r="C825" s="495" t="s">
        <v>85</v>
      </c>
      <c r="D825" s="497" t="s">
        <v>86</v>
      </c>
      <c r="E825" s="496" t="str">
        <f t="shared" si="36"/>
        <v>09</v>
      </c>
      <c r="F825" s="496">
        <v>25719</v>
      </c>
      <c r="G825" s="496" t="str">
        <f t="shared" si="37"/>
        <v>20306126475</v>
      </c>
    </row>
    <row r="826" spans="1:7">
      <c r="A826" s="496">
        <f t="shared" si="38"/>
        <v>825</v>
      </c>
      <c r="B826" s="496" t="s">
        <v>912</v>
      </c>
      <c r="C826" s="495" t="s">
        <v>88</v>
      </c>
      <c r="D826" s="497" t="s">
        <v>89</v>
      </c>
      <c r="E826" s="496" t="str">
        <f t="shared" si="36"/>
        <v>11</v>
      </c>
      <c r="F826" s="496">
        <v>25720</v>
      </c>
      <c r="G826" s="496" t="str">
        <f t="shared" si="37"/>
        <v>20306219996</v>
      </c>
    </row>
    <row r="827" spans="1:7">
      <c r="A827" s="496">
        <f t="shared" si="38"/>
        <v>826</v>
      </c>
      <c r="B827" s="496" t="s">
        <v>913</v>
      </c>
      <c r="C827" s="495" t="s">
        <v>91</v>
      </c>
      <c r="D827" s="497" t="s">
        <v>92</v>
      </c>
      <c r="E827" s="496" t="str">
        <f t="shared" si="36"/>
        <v>12</v>
      </c>
      <c r="F827" s="496">
        <v>25724</v>
      </c>
      <c r="G827" s="496" t="str">
        <f t="shared" si="37"/>
        <v>20306302621</v>
      </c>
    </row>
    <row r="828" spans="1:7">
      <c r="A828" s="496">
        <f t="shared" si="38"/>
        <v>827</v>
      </c>
      <c r="B828" s="496" t="s">
        <v>914</v>
      </c>
      <c r="C828" s="495" t="s">
        <v>77</v>
      </c>
      <c r="D828" s="497" t="s">
        <v>78</v>
      </c>
      <c r="E828" s="496" t="str">
        <f t="shared" si="36"/>
        <v>07</v>
      </c>
      <c r="F828" s="496">
        <v>25717</v>
      </c>
      <c r="G828" s="496" t="str">
        <f t="shared" si="37"/>
        <v>20306459954</v>
      </c>
    </row>
    <row r="829" spans="1:7">
      <c r="A829" s="496">
        <f t="shared" si="38"/>
        <v>828</v>
      </c>
      <c r="B829" s="496" t="s">
        <v>915</v>
      </c>
      <c r="C829" s="495" t="s">
        <v>82</v>
      </c>
      <c r="D829" s="497" t="s">
        <v>83</v>
      </c>
      <c r="E829" s="496" t="str">
        <f t="shared" si="36"/>
        <v>08</v>
      </c>
      <c r="F829" s="496">
        <v>25718</v>
      </c>
      <c r="G829" s="496" t="str">
        <f t="shared" si="37"/>
        <v>20307235545</v>
      </c>
    </row>
    <row r="830" spans="1:7">
      <c r="A830" s="496">
        <f t="shared" si="38"/>
        <v>829</v>
      </c>
      <c r="B830" s="496" t="s">
        <v>916</v>
      </c>
      <c r="C830" s="495" t="s">
        <v>82</v>
      </c>
      <c r="D830" s="497" t="s">
        <v>83</v>
      </c>
      <c r="E830" s="496" t="str">
        <f t="shared" si="36"/>
        <v>08</v>
      </c>
      <c r="F830" s="496">
        <v>25718</v>
      </c>
      <c r="G830" s="496" t="str">
        <f t="shared" si="37"/>
        <v>20307436958</v>
      </c>
    </row>
    <row r="831" spans="1:7">
      <c r="A831" s="496">
        <f t="shared" si="38"/>
        <v>830</v>
      </c>
      <c r="B831" s="496" t="s">
        <v>917</v>
      </c>
      <c r="C831" s="495" t="s">
        <v>85</v>
      </c>
      <c r="D831" s="497" t="s">
        <v>86</v>
      </c>
      <c r="E831" s="496" t="str">
        <f t="shared" si="36"/>
        <v>09</v>
      </c>
      <c r="F831" s="496">
        <v>25719</v>
      </c>
      <c r="G831" s="496" t="str">
        <f t="shared" si="37"/>
        <v>20307548322</v>
      </c>
    </row>
    <row r="832" spans="1:7">
      <c r="A832" s="496">
        <f t="shared" si="38"/>
        <v>831</v>
      </c>
      <c r="B832" s="496" t="s">
        <v>918</v>
      </c>
      <c r="C832" s="495" t="s">
        <v>88</v>
      </c>
      <c r="D832" s="497" t="s">
        <v>89</v>
      </c>
      <c r="E832" s="496" t="str">
        <f t="shared" si="36"/>
        <v>11</v>
      </c>
      <c r="F832" s="496">
        <v>25720</v>
      </c>
      <c r="G832" s="496" t="str">
        <f t="shared" si="37"/>
        <v>20307791936</v>
      </c>
    </row>
    <row r="833" spans="1:7">
      <c r="A833" s="496">
        <f t="shared" si="38"/>
        <v>832</v>
      </c>
      <c r="B833" s="496" t="s">
        <v>919</v>
      </c>
      <c r="C833" s="495" t="s">
        <v>91</v>
      </c>
      <c r="D833" s="497" t="s">
        <v>92</v>
      </c>
      <c r="E833" s="496" t="str">
        <f t="shared" si="36"/>
        <v>12</v>
      </c>
      <c r="F833" s="496">
        <v>25724</v>
      </c>
      <c r="G833" s="496" t="str">
        <f t="shared" si="37"/>
        <v>20308039731</v>
      </c>
    </row>
    <row r="834" spans="1:7">
      <c r="A834" s="496">
        <f t="shared" si="38"/>
        <v>833</v>
      </c>
      <c r="B834" s="496" t="s">
        <v>920</v>
      </c>
      <c r="C834" s="495" t="s">
        <v>77</v>
      </c>
      <c r="D834" s="497" t="s">
        <v>78</v>
      </c>
      <c r="E834" s="496" t="str">
        <f t="shared" si="36"/>
        <v>07</v>
      </c>
      <c r="F834" s="496">
        <v>25717</v>
      </c>
      <c r="G834" s="496" t="str">
        <f t="shared" si="37"/>
        <v>20308430457</v>
      </c>
    </row>
    <row r="835" spans="1:7">
      <c r="A835" s="496">
        <f t="shared" si="38"/>
        <v>834</v>
      </c>
      <c r="B835" s="496" t="s">
        <v>921</v>
      </c>
      <c r="C835" s="495" t="s">
        <v>82</v>
      </c>
      <c r="D835" s="497" t="s">
        <v>83</v>
      </c>
      <c r="E835" s="496" t="str">
        <f t="shared" ref="E835:E898" si="39">IF(MID(D835,14,1)="@",MID(D835,12,2),"0"&amp;MID(D835,12,1))</f>
        <v>08</v>
      </c>
      <c r="F835" s="496">
        <v>25718</v>
      </c>
      <c r="G835" s="496" t="str">
        <f t="shared" ref="G835:G898" si="40">CONCATENATE(B835)</f>
        <v>20308445641</v>
      </c>
    </row>
    <row r="836" spans="1:7">
      <c r="A836" s="496">
        <f t="shared" ref="A836:A899" si="41">+A835+1</f>
        <v>835</v>
      </c>
      <c r="B836" s="496" t="s">
        <v>922</v>
      </c>
      <c r="C836" s="495" t="s">
        <v>85</v>
      </c>
      <c r="D836" s="497" t="s">
        <v>86</v>
      </c>
      <c r="E836" s="496" t="str">
        <f t="shared" si="39"/>
        <v>09</v>
      </c>
      <c r="F836" s="496">
        <v>25719</v>
      </c>
      <c r="G836" s="496" t="str">
        <f t="shared" si="40"/>
        <v>20308497951</v>
      </c>
    </row>
    <row r="837" spans="1:7">
      <c r="A837" s="496">
        <f t="shared" si="41"/>
        <v>836</v>
      </c>
      <c r="B837" s="496" t="s">
        <v>923</v>
      </c>
      <c r="C837" s="495" t="s">
        <v>85</v>
      </c>
      <c r="D837" s="497" t="s">
        <v>86</v>
      </c>
      <c r="E837" s="496" t="str">
        <f t="shared" si="39"/>
        <v>09</v>
      </c>
      <c r="F837" s="496">
        <v>25719</v>
      </c>
      <c r="G837" s="496" t="str">
        <f t="shared" si="40"/>
        <v>20308574700</v>
      </c>
    </row>
    <row r="838" spans="1:7">
      <c r="A838" s="496">
        <f t="shared" si="41"/>
        <v>837</v>
      </c>
      <c r="B838" s="496" t="s">
        <v>924</v>
      </c>
      <c r="C838" s="495" t="s">
        <v>88</v>
      </c>
      <c r="D838" s="497" t="s">
        <v>89</v>
      </c>
      <c r="E838" s="496" t="str">
        <f t="shared" si="39"/>
        <v>11</v>
      </c>
      <c r="F838" s="496">
        <v>25720</v>
      </c>
      <c r="G838" s="496" t="str">
        <f t="shared" si="40"/>
        <v>20309525532</v>
      </c>
    </row>
    <row r="839" spans="1:7">
      <c r="A839" s="496">
        <f t="shared" si="41"/>
        <v>838</v>
      </c>
      <c r="B839" s="496" t="s">
        <v>925</v>
      </c>
      <c r="C839" s="495" t="s">
        <v>91</v>
      </c>
      <c r="D839" s="497" t="s">
        <v>92</v>
      </c>
      <c r="E839" s="496" t="str">
        <f t="shared" si="39"/>
        <v>12</v>
      </c>
      <c r="F839" s="496">
        <v>25724</v>
      </c>
      <c r="G839" s="496" t="str">
        <f t="shared" si="40"/>
        <v>20310422755</v>
      </c>
    </row>
    <row r="840" spans="1:7">
      <c r="A840" s="496">
        <f t="shared" si="41"/>
        <v>839</v>
      </c>
      <c r="B840" s="496" t="s">
        <v>926</v>
      </c>
      <c r="C840" s="495" t="s">
        <v>77</v>
      </c>
      <c r="D840" s="497" t="s">
        <v>78</v>
      </c>
      <c r="E840" s="496" t="str">
        <f t="shared" si="39"/>
        <v>07</v>
      </c>
      <c r="F840" s="496">
        <v>25717</v>
      </c>
      <c r="G840" s="496" t="str">
        <f t="shared" si="40"/>
        <v>20311765222</v>
      </c>
    </row>
    <row r="841" spans="1:7">
      <c r="A841" s="496">
        <f t="shared" si="41"/>
        <v>840</v>
      </c>
      <c r="B841" s="496" t="s">
        <v>927</v>
      </c>
      <c r="C841" s="495" t="s">
        <v>88</v>
      </c>
      <c r="D841" s="497" t="s">
        <v>89</v>
      </c>
      <c r="E841" s="496" t="str">
        <f t="shared" si="39"/>
        <v>11</v>
      </c>
      <c r="F841" s="496">
        <v>25720</v>
      </c>
      <c r="G841" s="496" t="str">
        <f t="shared" si="40"/>
        <v>20312372895</v>
      </c>
    </row>
    <row r="842" spans="1:7">
      <c r="A842" s="496">
        <f t="shared" si="41"/>
        <v>841</v>
      </c>
      <c r="B842" s="496" t="s">
        <v>928</v>
      </c>
      <c r="C842" s="495" t="s">
        <v>82</v>
      </c>
      <c r="D842" s="497" t="s">
        <v>83</v>
      </c>
      <c r="E842" s="496" t="str">
        <f t="shared" si="39"/>
        <v>08</v>
      </c>
      <c r="F842" s="496">
        <v>25718</v>
      </c>
      <c r="G842" s="496" t="str">
        <f t="shared" si="40"/>
        <v>20317025425</v>
      </c>
    </row>
    <row r="843" spans="1:7">
      <c r="A843" s="496">
        <f t="shared" si="41"/>
        <v>842</v>
      </c>
      <c r="B843" s="496" t="s">
        <v>929</v>
      </c>
      <c r="C843" s="495" t="s">
        <v>85</v>
      </c>
      <c r="D843" s="497" t="s">
        <v>86</v>
      </c>
      <c r="E843" s="496" t="str">
        <f t="shared" si="39"/>
        <v>09</v>
      </c>
      <c r="F843" s="496">
        <v>25719</v>
      </c>
      <c r="G843" s="496" t="str">
        <f t="shared" si="40"/>
        <v>20318171701</v>
      </c>
    </row>
    <row r="844" spans="1:7">
      <c r="A844" s="496">
        <f t="shared" si="41"/>
        <v>843</v>
      </c>
      <c r="B844" s="496" t="s">
        <v>930</v>
      </c>
      <c r="C844" s="495" t="s">
        <v>88</v>
      </c>
      <c r="D844" s="497" t="s">
        <v>89</v>
      </c>
      <c r="E844" s="496" t="str">
        <f t="shared" si="39"/>
        <v>11</v>
      </c>
      <c r="F844" s="496">
        <v>25720</v>
      </c>
      <c r="G844" s="496" t="str">
        <f t="shared" si="40"/>
        <v>20324203118</v>
      </c>
    </row>
    <row r="845" spans="1:7">
      <c r="A845" s="496">
        <f t="shared" si="41"/>
        <v>844</v>
      </c>
      <c r="B845" s="496" t="s">
        <v>931</v>
      </c>
      <c r="C845" s="495" t="s">
        <v>91</v>
      </c>
      <c r="D845" s="497" t="s">
        <v>92</v>
      </c>
      <c r="E845" s="496" t="str">
        <f t="shared" si="39"/>
        <v>12</v>
      </c>
      <c r="F845" s="496">
        <v>25724</v>
      </c>
      <c r="G845" s="496" t="str">
        <f t="shared" si="40"/>
        <v>20325117835</v>
      </c>
    </row>
    <row r="846" spans="1:7">
      <c r="A846" s="496">
        <f t="shared" si="41"/>
        <v>845</v>
      </c>
      <c r="B846" s="496" t="s">
        <v>932</v>
      </c>
      <c r="C846" s="495" t="s">
        <v>77</v>
      </c>
      <c r="D846" s="497" t="s">
        <v>78</v>
      </c>
      <c r="E846" s="496" t="str">
        <f t="shared" si="39"/>
        <v>07</v>
      </c>
      <c r="F846" s="496">
        <v>25717</v>
      </c>
      <c r="G846" s="496" t="str">
        <f t="shared" si="40"/>
        <v>20325493811</v>
      </c>
    </row>
    <row r="847" spans="1:7">
      <c r="A847" s="496">
        <f t="shared" si="41"/>
        <v>846</v>
      </c>
      <c r="B847" s="496" t="s">
        <v>933</v>
      </c>
      <c r="C847" s="495" t="s">
        <v>82</v>
      </c>
      <c r="D847" s="497" t="s">
        <v>83</v>
      </c>
      <c r="E847" s="496" t="str">
        <f t="shared" si="39"/>
        <v>08</v>
      </c>
      <c r="F847" s="496">
        <v>25718</v>
      </c>
      <c r="G847" s="496" t="str">
        <f t="shared" si="40"/>
        <v>20327397258</v>
      </c>
    </row>
    <row r="848" spans="1:7">
      <c r="A848" s="496">
        <f t="shared" si="41"/>
        <v>847</v>
      </c>
      <c r="B848" s="496" t="s">
        <v>934</v>
      </c>
      <c r="C848" s="495" t="s">
        <v>85</v>
      </c>
      <c r="D848" s="497" t="s">
        <v>86</v>
      </c>
      <c r="E848" s="496" t="str">
        <f t="shared" si="39"/>
        <v>09</v>
      </c>
      <c r="F848" s="496">
        <v>25719</v>
      </c>
      <c r="G848" s="496" t="str">
        <f t="shared" si="40"/>
        <v>20329409270</v>
      </c>
    </row>
    <row r="849" spans="1:7">
      <c r="A849" s="496">
        <f t="shared" si="41"/>
        <v>848</v>
      </c>
      <c r="B849" s="496" t="s">
        <v>935</v>
      </c>
      <c r="C849" s="495" t="s">
        <v>88</v>
      </c>
      <c r="D849" s="497" t="s">
        <v>89</v>
      </c>
      <c r="E849" s="496" t="str">
        <f t="shared" si="39"/>
        <v>11</v>
      </c>
      <c r="F849" s="496">
        <v>25720</v>
      </c>
      <c r="G849" s="496" t="str">
        <f t="shared" si="40"/>
        <v>20329436323</v>
      </c>
    </row>
    <row r="850" spans="1:7">
      <c r="A850" s="496">
        <f t="shared" si="41"/>
        <v>849</v>
      </c>
      <c r="B850" s="496" t="s">
        <v>936</v>
      </c>
      <c r="C850" s="495" t="s">
        <v>91</v>
      </c>
      <c r="D850" s="497" t="s">
        <v>92</v>
      </c>
      <c r="E850" s="496" t="str">
        <f t="shared" si="39"/>
        <v>12</v>
      </c>
      <c r="F850" s="496">
        <v>25724</v>
      </c>
      <c r="G850" s="496" t="str">
        <f t="shared" si="40"/>
        <v>20329537278</v>
      </c>
    </row>
    <row r="851" spans="1:7">
      <c r="A851" s="496">
        <f t="shared" si="41"/>
        <v>850</v>
      </c>
      <c r="B851" s="496" t="s">
        <v>937</v>
      </c>
      <c r="C851" s="495" t="s">
        <v>77</v>
      </c>
      <c r="D851" s="497" t="s">
        <v>78</v>
      </c>
      <c r="E851" s="496" t="str">
        <f t="shared" si="39"/>
        <v>07</v>
      </c>
      <c r="F851" s="496">
        <v>25717</v>
      </c>
      <c r="G851" s="496" t="str">
        <f t="shared" si="40"/>
        <v>20329725431</v>
      </c>
    </row>
    <row r="852" spans="1:7">
      <c r="A852" s="496">
        <f t="shared" si="41"/>
        <v>851</v>
      </c>
      <c r="B852" s="496" t="s">
        <v>938</v>
      </c>
      <c r="C852" s="495" t="s">
        <v>82</v>
      </c>
      <c r="D852" s="497" t="s">
        <v>83</v>
      </c>
      <c r="E852" s="496" t="str">
        <f t="shared" si="39"/>
        <v>08</v>
      </c>
      <c r="F852" s="496">
        <v>25718</v>
      </c>
      <c r="G852" s="496" t="str">
        <f t="shared" si="40"/>
        <v>20329820263</v>
      </c>
    </row>
    <row r="853" spans="1:7">
      <c r="A853" s="496">
        <f t="shared" si="41"/>
        <v>852</v>
      </c>
      <c r="B853" s="496" t="s">
        <v>939</v>
      </c>
      <c r="C853" s="495" t="s">
        <v>85</v>
      </c>
      <c r="D853" s="497" t="s">
        <v>86</v>
      </c>
      <c r="E853" s="496" t="str">
        <f t="shared" si="39"/>
        <v>09</v>
      </c>
      <c r="F853" s="496">
        <v>25719</v>
      </c>
      <c r="G853" s="496" t="str">
        <f t="shared" si="40"/>
        <v>20329921531</v>
      </c>
    </row>
    <row r="854" spans="1:7">
      <c r="A854" s="496">
        <f t="shared" si="41"/>
        <v>853</v>
      </c>
      <c r="B854" s="496" t="s">
        <v>940</v>
      </c>
      <c r="C854" s="495" t="s">
        <v>91</v>
      </c>
      <c r="D854" s="497" t="s">
        <v>92</v>
      </c>
      <c r="E854" s="496" t="str">
        <f t="shared" si="39"/>
        <v>12</v>
      </c>
      <c r="F854" s="496">
        <v>25724</v>
      </c>
      <c r="G854" s="496" t="str">
        <f t="shared" si="40"/>
        <v>20330011930</v>
      </c>
    </row>
    <row r="855" spans="1:7">
      <c r="A855" s="496">
        <f t="shared" si="41"/>
        <v>854</v>
      </c>
      <c r="B855" s="496" t="s">
        <v>941</v>
      </c>
      <c r="C855" s="495" t="s">
        <v>88</v>
      </c>
      <c r="D855" s="497" t="s">
        <v>89</v>
      </c>
      <c r="E855" s="496" t="str">
        <f t="shared" si="39"/>
        <v>11</v>
      </c>
      <c r="F855" s="496">
        <v>25720</v>
      </c>
      <c r="G855" s="496" t="str">
        <f t="shared" si="40"/>
        <v>20330286874</v>
      </c>
    </row>
    <row r="856" spans="1:7">
      <c r="A856" s="496">
        <f t="shared" si="41"/>
        <v>855</v>
      </c>
      <c r="B856" s="496" t="s">
        <v>942</v>
      </c>
      <c r="C856" s="495" t="s">
        <v>91</v>
      </c>
      <c r="D856" s="497" t="s">
        <v>92</v>
      </c>
      <c r="E856" s="496" t="str">
        <f t="shared" si="39"/>
        <v>12</v>
      </c>
      <c r="F856" s="496">
        <v>25724</v>
      </c>
      <c r="G856" s="496" t="str">
        <f t="shared" si="40"/>
        <v>20330410478</v>
      </c>
    </row>
    <row r="857" spans="1:7">
      <c r="A857" s="496">
        <f t="shared" si="41"/>
        <v>856</v>
      </c>
      <c r="B857" s="496" t="s">
        <v>943</v>
      </c>
      <c r="C857" s="495" t="s">
        <v>77</v>
      </c>
      <c r="D857" s="497" t="s">
        <v>78</v>
      </c>
      <c r="E857" s="496" t="str">
        <f t="shared" si="39"/>
        <v>07</v>
      </c>
      <c r="F857" s="496">
        <v>25717</v>
      </c>
      <c r="G857" s="496" t="str">
        <f t="shared" si="40"/>
        <v>20330693917</v>
      </c>
    </row>
    <row r="858" spans="1:7">
      <c r="A858" s="496">
        <f t="shared" si="41"/>
        <v>857</v>
      </c>
      <c r="B858" s="496" t="s">
        <v>944</v>
      </c>
      <c r="C858" s="495" t="s">
        <v>82</v>
      </c>
      <c r="D858" s="497" t="s">
        <v>83</v>
      </c>
      <c r="E858" s="496" t="str">
        <f t="shared" si="39"/>
        <v>08</v>
      </c>
      <c r="F858" s="496">
        <v>25718</v>
      </c>
      <c r="G858" s="496" t="str">
        <f t="shared" si="40"/>
        <v>20330791501</v>
      </c>
    </row>
    <row r="859" spans="1:7">
      <c r="A859" s="496">
        <f t="shared" si="41"/>
        <v>858</v>
      </c>
      <c r="B859" s="496" t="s">
        <v>945</v>
      </c>
      <c r="C859" s="495" t="s">
        <v>85</v>
      </c>
      <c r="D859" s="497" t="s">
        <v>86</v>
      </c>
      <c r="E859" s="496" t="str">
        <f t="shared" si="39"/>
        <v>09</v>
      </c>
      <c r="F859" s="496">
        <v>25719</v>
      </c>
      <c r="G859" s="496" t="str">
        <f t="shared" si="40"/>
        <v>20330822661</v>
      </c>
    </row>
    <row r="860" spans="1:7">
      <c r="A860" s="496">
        <f t="shared" si="41"/>
        <v>859</v>
      </c>
      <c r="B860" s="496" t="s">
        <v>946</v>
      </c>
      <c r="C860" s="495" t="s">
        <v>88</v>
      </c>
      <c r="D860" s="497" t="s">
        <v>89</v>
      </c>
      <c r="E860" s="496" t="str">
        <f t="shared" si="39"/>
        <v>11</v>
      </c>
      <c r="F860" s="496">
        <v>25720</v>
      </c>
      <c r="G860" s="496" t="str">
        <f t="shared" si="40"/>
        <v>20330862450</v>
      </c>
    </row>
    <row r="861" spans="1:7">
      <c r="A861" s="496">
        <f t="shared" si="41"/>
        <v>860</v>
      </c>
      <c r="B861" s="496" t="s">
        <v>947</v>
      </c>
      <c r="C861" s="495" t="s">
        <v>91</v>
      </c>
      <c r="D861" s="497" t="s">
        <v>92</v>
      </c>
      <c r="E861" s="496" t="str">
        <f t="shared" si="39"/>
        <v>12</v>
      </c>
      <c r="F861" s="496">
        <v>25724</v>
      </c>
      <c r="G861" s="496" t="str">
        <f t="shared" si="40"/>
        <v>20331955249</v>
      </c>
    </row>
    <row r="862" spans="1:7">
      <c r="A862" s="496">
        <f t="shared" si="41"/>
        <v>861</v>
      </c>
      <c r="B862" s="496" t="s">
        <v>948</v>
      </c>
      <c r="C862" s="495" t="s">
        <v>77</v>
      </c>
      <c r="D862" s="497" t="s">
        <v>78</v>
      </c>
      <c r="E862" s="496" t="str">
        <f t="shared" si="39"/>
        <v>07</v>
      </c>
      <c r="F862" s="496">
        <v>25717</v>
      </c>
      <c r="G862" s="496" t="str">
        <f t="shared" si="40"/>
        <v>20332940008</v>
      </c>
    </row>
    <row r="863" spans="1:7">
      <c r="A863" s="496">
        <f t="shared" si="41"/>
        <v>862</v>
      </c>
      <c r="B863" s="496" t="s">
        <v>949</v>
      </c>
      <c r="C863" s="495" t="s">
        <v>82</v>
      </c>
      <c r="D863" s="497" t="s">
        <v>83</v>
      </c>
      <c r="E863" s="496" t="str">
        <f t="shared" si="39"/>
        <v>08</v>
      </c>
      <c r="F863" s="496">
        <v>25718</v>
      </c>
      <c r="G863" s="496" t="str">
        <f t="shared" si="40"/>
        <v>20333372216</v>
      </c>
    </row>
    <row r="864" spans="1:7">
      <c r="A864" s="496">
        <f t="shared" si="41"/>
        <v>863</v>
      </c>
      <c r="B864" s="496" t="s">
        <v>950</v>
      </c>
      <c r="C864" s="495" t="s">
        <v>85</v>
      </c>
      <c r="D864" s="497" t="s">
        <v>86</v>
      </c>
      <c r="E864" s="496" t="str">
        <f t="shared" si="39"/>
        <v>09</v>
      </c>
      <c r="F864" s="496">
        <v>25719</v>
      </c>
      <c r="G864" s="496" t="str">
        <f t="shared" si="40"/>
        <v>20333562341</v>
      </c>
    </row>
    <row r="865" spans="1:7">
      <c r="A865" s="496">
        <f t="shared" si="41"/>
        <v>864</v>
      </c>
      <c r="B865" s="496" t="s">
        <v>951</v>
      </c>
      <c r="C865" s="495" t="s">
        <v>88</v>
      </c>
      <c r="D865" s="497" t="s">
        <v>89</v>
      </c>
      <c r="E865" s="496" t="str">
        <f t="shared" si="39"/>
        <v>11</v>
      </c>
      <c r="F865" s="496">
        <v>25720</v>
      </c>
      <c r="G865" s="496" t="str">
        <f t="shared" si="40"/>
        <v>20334089941</v>
      </c>
    </row>
    <row r="866" spans="1:7">
      <c r="A866" s="496">
        <f t="shared" si="41"/>
        <v>865</v>
      </c>
      <c r="B866" s="496" t="s">
        <v>952</v>
      </c>
      <c r="C866" s="495" t="s">
        <v>91</v>
      </c>
      <c r="D866" s="497" t="s">
        <v>92</v>
      </c>
      <c r="E866" s="496" t="str">
        <f t="shared" si="39"/>
        <v>12</v>
      </c>
      <c r="F866" s="496">
        <v>25724</v>
      </c>
      <c r="G866" s="496" t="str">
        <f t="shared" si="40"/>
        <v>20334403166</v>
      </c>
    </row>
    <row r="867" spans="1:7">
      <c r="A867" s="496">
        <f t="shared" si="41"/>
        <v>866</v>
      </c>
      <c r="B867" s="496" t="s">
        <v>953</v>
      </c>
      <c r="C867" s="495" t="s">
        <v>77</v>
      </c>
      <c r="D867" s="497" t="s">
        <v>78</v>
      </c>
      <c r="E867" s="496" t="str">
        <f t="shared" si="39"/>
        <v>07</v>
      </c>
      <c r="F867" s="496">
        <v>25717</v>
      </c>
      <c r="G867" s="496" t="str">
        <f t="shared" si="40"/>
        <v>20334539149</v>
      </c>
    </row>
    <row r="868" spans="1:7">
      <c r="A868" s="496">
        <f t="shared" si="41"/>
        <v>867</v>
      </c>
      <c r="B868" s="496" t="s">
        <v>954</v>
      </c>
      <c r="C868" s="495" t="s">
        <v>77</v>
      </c>
      <c r="D868" s="497" t="s">
        <v>78</v>
      </c>
      <c r="E868" s="496" t="str">
        <f t="shared" si="39"/>
        <v>07</v>
      </c>
      <c r="F868" s="496">
        <v>25717</v>
      </c>
      <c r="G868" s="496" t="str">
        <f t="shared" si="40"/>
        <v>20334766714</v>
      </c>
    </row>
    <row r="869" spans="1:7">
      <c r="A869" s="496">
        <f t="shared" si="41"/>
        <v>868</v>
      </c>
      <c r="B869" s="496" t="s">
        <v>955</v>
      </c>
      <c r="C869" s="495" t="s">
        <v>82</v>
      </c>
      <c r="D869" s="497" t="s">
        <v>83</v>
      </c>
      <c r="E869" s="496" t="str">
        <f t="shared" si="39"/>
        <v>08</v>
      </c>
      <c r="F869" s="496">
        <v>25718</v>
      </c>
      <c r="G869" s="496" t="str">
        <f t="shared" si="40"/>
        <v>20335082801</v>
      </c>
    </row>
    <row r="870" spans="1:7">
      <c r="A870" s="496">
        <f t="shared" si="41"/>
        <v>869</v>
      </c>
      <c r="B870" s="496" t="s">
        <v>956</v>
      </c>
      <c r="C870" s="495" t="s">
        <v>82</v>
      </c>
      <c r="D870" s="497" t="s">
        <v>83</v>
      </c>
      <c r="E870" s="496" t="str">
        <f t="shared" si="39"/>
        <v>08</v>
      </c>
      <c r="F870" s="496">
        <v>25718</v>
      </c>
      <c r="G870" s="496" t="str">
        <f t="shared" si="40"/>
        <v>20335829434</v>
      </c>
    </row>
    <row r="871" spans="1:7">
      <c r="A871" s="496">
        <f t="shared" si="41"/>
        <v>870</v>
      </c>
      <c r="B871" s="496" t="s">
        <v>957</v>
      </c>
      <c r="C871" s="495" t="s">
        <v>85</v>
      </c>
      <c r="D871" s="497" t="s">
        <v>86</v>
      </c>
      <c r="E871" s="496" t="str">
        <f t="shared" si="39"/>
        <v>09</v>
      </c>
      <c r="F871" s="496">
        <v>25719</v>
      </c>
      <c r="G871" s="496" t="str">
        <f t="shared" si="40"/>
        <v>20336895783</v>
      </c>
    </row>
    <row r="872" spans="1:7">
      <c r="A872" s="496">
        <f t="shared" si="41"/>
        <v>871</v>
      </c>
      <c r="B872" s="496" t="s">
        <v>958</v>
      </c>
      <c r="C872" s="495" t="s">
        <v>85</v>
      </c>
      <c r="D872" s="497" t="s">
        <v>86</v>
      </c>
      <c r="E872" s="496" t="str">
        <f t="shared" si="39"/>
        <v>09</v>
      </c>
      <c r="F872" s="496">
        <v>25719</v>
      </c>
      <c r="G872" s="496" t="str">
        <f t="shared" si="40"/>
        <v>20337771085</v>
      </c>
    </row>
    <row r="873" spans="1:7">
      <c r="A873" s="496">
        <f t="shared" si="41"/>
        <v>872</v>
      </c>
      <c r="B873" s="496" t="s">
        <v>959</v>
      </c>
      <c r="C873" s="495" t="s">
        <v>88</v>
      </c>
      <c r="D873" s="497" t="s">
        <v>89</v>
      </c>
      <c r="E873" s="496" t="str">
        <f t="shared" si="39"/>
        <v>11</v>
      </c>
      <c r="F873" s="496">
        <v>25720</v>
      </c>
      <c r="G873" s="496" t="str">
        <f t="shared" si="40"/>
        <v>20338048905</v>
      </c>
    </row>
    <row r="874" spans="1:7">
      <c r="A874" s="496">
        <f t="shared" si="41"/>
        <v>873</v>
      </c>
      <c r="B874" s="496" t="s">
        <v>960</v>
      </c>
      <c r="C874" s="495" t="s">
        <v>91</v>
      </c>
      <c r="D874" s="497" t="s">
        <v>92</v>
      </c>
      <c r="E874" s="496" t="str">
        <f t="shared" si="39"/>
        <v>12</v>
      </c>
      <c r="F874" s="496">
        <v>25724</v>
      </c>
      <c r="G874" s="496" t="str">
        <f t="shared" si="40"/>
        <v>20338205261</v>
      </c>
    </row>
    <row r="875" spans="1:7">
      <c r="A875" s="496">
        <f t="shared" si="41"/>
        <v>874</v>
      </c>
      <c r="B875" s="496" t="s">
        <v>961</v>
      </c>
      <c r="C875" s="495" t="s">
        <v>77</v>
      </c>
      <c r="D875" s="497" t="s">
        <v>78</v>
      </c>
      <c r="E875" s="496" t="str">
        <f t="shared" si="39"/>
        <v>07</v>
      </c>
      <c r="F875" s="496">
        <v>25717</v>
      </c>
      <c r="G875" s="496" t="str">
        <f t="shared" si="40"/>
        <v>20338309041</v>
      </c>
    </row>
    <row r="876" spans="1:7">
      <c r="A876" s="496">
        <f t="shared" si="41"/>
        <v>875</v>
      </c>
      <c r="B876" s="496" t="s">
        <v>962</v>
      </c>
      <c r="C876" s="495" t="s">
        <v>82</v>
      </c>
      <c r="D876" s="497" t="s">
        <v>83</v>
      </c>
      <c r="E876" s="496" t="str">
        <f t="shared" si="39"/>
        <v>08</v>
      </c>
      <c r="F876" s="496">
        <v>25718</v>
      </c>
      <c r="G876" s="496" t="str">
        <f t="shared" si="40"/>
        <v>20338352728</v>
      </c>
    </row>
    <row r="877" spans="1:7">
      <c r="A877" s="496">
        <f t="shared" si="41"/>
        <v>876</v>
      </c>
      <c r="B877" s="496" t="s">
        <v>963</v>
      </c>
      <c r="C877" s="495" t="s">
        <v>85</v>
      </c>
      <c r="D877" s="497" t="s">
        <v>86</v>
      </c>
      <c r="E877" s="496" t="str">
        <f t="shared" si="39"/>
        <v>09</v>
      </c>
      <c r="F877" s="496">
        <v>25719</v>
      </c>
      <c r="G877" s="496" t="str">
        <f t="shared" si="40"/>
        <v>20338405864</v>
      </c>
    </row>
    <row r="878" spans="1:7">
      <c r="A878" s="496">
        <f t="shared" si="41"/>
        <v>877</v>
      </c>
      <c r="B878" s="496" t="s">
        <v>964</v>
      </c>
      <c r="C878" s="495" t="s">
        <v>88</v>
      </c>
      <c r="D878" s="497" t="s">
        <v>89</v>
      </c>
      <c r="E878" s="496" t="str">
        <f t="shared" si="39"/>
        <v>11</v>
      </c>
      <c r="F878" s="496">
        <v>25720</v>
      </c>
      <c r="G878" s="496" t="str">
        <f t="shared" si="40"/>
        <v>20338426781</v>
      </c>
    </row>
    <row r="879" spans="1:7">
      <c r="A879" s="496">
        <f t="shared" si="41"/>
        <v>878</v>
      </c>
      <c r="B879" s="496" t="s">
        <v>965</v>
      </c>
      <c r="C879" s="495" t="s">
        <v>91</v>
      </c>
      <c r="D879" s="497" t="s">
        <v>92</v>
      </c>
      <c r="E879" s="496" t="str">
        <f t="shared" si="39"/>
        <v>12</v>
      </c>
      <c r="F879" s="496">
        <v>25724</v>
      </c>
      <c r="G879" s="496" t="str">
        <f t="shared" si="40"/>
        <v>20338570041</v>
      </c>
    </row>
    <row r="880" spans="1:7">
      <c r="A880" s="496">
        <f t="shared" si="41"/>
        <v>879</v>
      </c>
      <c r="B880" s="496" t="s">
        <v>966</v>
      </c>
      <c r="C880" s="495" t="s">
        <v>77</v>
      </c>
      <c r="D880" s="497" t="s">
        <v>78</v>
      </c>
      <c r="E880" s="496" t="str">
        <f t="shared" si="39"/>
        <v>07</v>
      </c>
      <c r="F880" s="496">
        <v>25717</v>
      </c>
      <c r="G880" s="496" t="str">
        <f t="shared" si="40"/>
        <v>20338598301</v>
      </c>
    </row>
    <row r="881" spans="1:7">
      <c r="A881" s="496">
        <f t="shared" si="41"/>
        <v>880</v>
      </c>
      <c r="B881" s="496" t="s">
        <v>967</v>
      </c>
      <c r="C881" s="495" t="s">
        <v>82</v>
      </c>
      <c r="D881" s="497" t="s">
        <v>83</v>
      </c>
      <c r="E881" s="496" t="str">
        <f t="shared" si="39"/>
        <v>08</v>
      </c>
      <c r="F881" s="496">
        <v>25718</v>
      </c>
      <c r="G881" s="496" t="str">
        <f t="shared" si="40"/>
        <v>20338646802</v>
      </c>
    </row>
    <row r="882" spans="1:7">
      <c r="A882" s="496">
        <f t="shared" si="41"/>
        <v>881</v>
      </c>
      <c r="B882" s="496" t="s">
        <v>968</v>
      </c>
      <c r="C882" s="495" t="s">
        <v>88</v>
      </c>
      <c r="D882" s="497" t="s">
        <v>89</v>
      </c>
      <c r="E882" s="496" t="str">
        <f t="shared" si="39"/>
        <v>11</v>
      </c>
      <c r="F882" s="496">
        <v>25720</v>
      </c>
      <c r="G882" s="496" t="str">
        <f t="shared" si="40"/>
        <v>20338846305</v>
      </c>
    </row>
    <row r="883" spans="1:7">
      <c r="A883" s="496">
        <f t="shared" si="41"/>
        <v>882</v>
      </c>
      <c r="B883" s="496" t="s">
        <v>969</v>
      </c>
      <c r="C883" s="495" t="s">
        <v>85</v>
      </c>
      <c r="D883" s="497" t="s">
        <v>86</v>
      </c>
      <c r="E883" s="496" t="str">
        <f t="shared" si="39"/>
        <v>09</v>
      </c>
      <c r="F883" s="496">
        <v>25719</v>
      </c>
      <c r="G883" s="496" t="str">
        <f t="shared" si="40"/>
        <v>20338974991</v>
      </c>
    </row>
    <row r="884" spans="1:7">
      <c r="A884" s="496">
        <f t="shared" si="41"/>
        <v>883</v>
      </c>
      <c r="B884" s="496" t="s">
        <v>970</v>
      </c>
      <c r="C884" s="495" t="s">
        <v>88</v>
      </c>
      <c r="D884" s="497" t="s">
        <v>89</v>
      </c>
      <c r="E884" s="496" t="str">
        <f t="shared" si="39"/>
        <v>11</v>
      </c>
      <c r="F884" s="496">
        <v>25720</v>
      </c>
      <c r="G884" s="496" t="str">
        <f t="shared" si="40"/>
        <v>20339489565</v>
      </c>
    </row>
    <row r="885" spans="1:7">
      <c r="A885" s="496">
        <f t="shared" si="41"/>
        <v>884</v>
      </c>
      <c r="B885" s="496" t="s">
        <v>971</v>
      </c>
      <c r="C885" s="495" t="s">
        <v>91</v>
      </c>
      <c r="D885" s="497" t="s">
        <v>92</v>
      </c>
      <c r="E885" s="496" t="str">
        <f t="shared" si="39"/>
        <v>12</v>
      </c>
      <c r="F885" s="496">
        <v>25724</v>
      </c>
      <c r="G885" s="496" t="str">
        <f t="shared" si="40"/>
        <v>20340319169</v>
      </c>
    </row>
    <row r="886" spans="1:7">
      <c r="A886" s="496">
        <f t="shared" si="41"/>
        <v>885</v>
      </c>
      <c r="B886" s="496" t="s">
        <v>972</v>
      </c>
      <c r="C886" s="495" t="s">
        <v>77</v>
      </c>
      <c r="D886" s="497" t="s">
        <v>78</v>
      </c>
      <c r="E886" s="496" t="str">
        <f t="shared" si="39"/>
        <v>07</v>
      </c>
      <c r="F886" s="496">
        <v>25717</v>
      </c>
      <c r="G886" s="496" t="str">
        <f t="shared" si="40"/>
        <v>20341137935</v>
      </c>
    </row>
    <row r="887" spans="1:7">
      <c r="A887" s="496">
        <f t="shared" si="41"/>
        <v>886</v>
      </c>
      <c r="B887" s="496" t="s">
        <v>973</v>
      </c>
      <c r="C887" s="495" t="s">
        <v>82</v>
      </c>
      <c r="D887" s="497" t="s">
        <v>83</v>
      </c>
      <c r="E887" s="496" t="str">
        <f t="shared" si="39"/>
        <v>08</v>
      </c>
      <c r="F887" s="496">
        <v>25718</v>
      </c>
      <c r="G887" s="496" t="str">
        <f t="shared" si="40"/>
        <v>20341843996</v>
      </c>
    </row>
    <row r="888" spans="1:7">
      <c r="A888" s="496">
        <f t="shared" si="41"/>
        <v>887</v>
      </c>
      <c r="B888" s="496" t="s">
        <v>974</v>
      </c>
      <c r="C888" s="495" t="s">
        <v>85</v>
      </c>
      <c r="D888" s="497" t="s">
        <v>86</v>
      </c>
      <c r="E888" s="496" t="str">
        <f t="shared" si="39"/>
        <v>09</v>
      </c>
      <c r="F888" s="496">
        <v>25719</v>
      </c>
      <c r="G888" s="496" t="str">
        <f t="shared" si="40"/>
        <v>20342020870</v>
      </c>
    </row>
    <row r="889" spans="1:7">
      <c r="A889" s="496">
        <f t="shared" si="41"/>
        <v>888</v>
      </c>
      <c r="B889" s="496" t="s">
        <v>975</v>
      </c>
      <c r="C889" s="495" t="s">
        <v>88</v>
      </c>
      <c r="D889" s="497" t="s">
        <v>89</v>
      </c>
      <c r="E889" s="496" t="str">
        <f t="shared" si="39"/>
        <v>11</v>
      </c>
      <c r="F889" s="496">
        <v>25720</v>
      </c>
      <c r="G889" s="496" t="str">
        <f t="shared" si="40"/>
        <v>20342347950</v>
      </c>
    </row>
    <row r="890" spans="1:7">
      <c r="A890" s="496">
        <f t="shared" si="41"/>
        <v>889</v>
      </c>
      <c r="B890" s="496" t="s">
        <v>976</v>
      </c>
      <c r="C890" s="495" t="s">
        <v>91</v>
      </c>
      <c r="D890" s="497" t="s">
        <v>92</v>
      </c>
      <c r="E890" s="496" t="str">
        <f t="shared" si="39"/>
        <v>12</v>
      </c>
      <c r="F890" s="496">
        <v>25724</v>
      </c>
      <c r="G890" s="496" t="str">
        <f t="shared" si="40"/>
        <v>20342660429</v>
      </c>
    </row>
    <row r="891" spans="1:7">
      <c r="A891" s="496">
        <f t="shared" si="41"/>
        <v>890</v>
      </c>
      <c r="B891" s="496" t="s">
        <v>977</v>
      </c>
      <c r="C891" s="495" t="s">
        <v>77</v>
      </c>
      <c r="D891" s="497" t="s">
        <v>78</v>
      </c>
      <c r="E891" s="496" t="str">
        <f t="shared" si="39"/>
        <v>07</v>
      </c>
      <c r="F891" s="496">
        <v>25717</v>
      </c>
      <c r="G891" s="496" t="str">
        <f t="shared" si="40"/>
        <v>20342762779</v>
      </c>
    </row>
    <row r="892" spans="1:7">
      <c r="A892" s="496">
        <f t="shared" si="41"/>
        <v>891</v>
      </c>
      <c r="B892" s="496" t="s">
        <v>978</v>
      </c>
      <c r="C892" s="495" t="s">
        <v>82</v>
      </c>
      <c r="D892" s="497" t="s">
        <v>83</v>
      </c>
      <c r="E892" s="496" t="str">
        <f t="shared" si="39"/>
        <v>08</v>
      </c>
      <c r="F892" s="496">
        <v>25718</v>
      </c>
      <c r="G892" s="496" t="str">
        <f t="shared" si="40"/>
        <v>20342868844</v>
      </c>
    </row>
    <row r="893" spans="1:7">
      <c r="A893" s="496">
        <f t="shared" si="41"/>
        <v>892</v>
      </c>
      <c r="B893" s="496" t="s">
        <v>979</v>
      </c>
      <c r="C893" s="495" t="s">
        <v>85</v>
      </c>
      <c r="D893" s="497" t="s">
        <v>86</v>
      </c>
      <c r="E893" s="496" t="str">
        <f t="shared" si="39"/>
        <v>09</v>
      </c>
      <c r="F893" s="496">
        <v>25719</v>
      </c>
      <c r="G893" s="496" t="str">
        <f t="shared" si="40"/>
        <v>20343443961</v>
      </c>
    </row>
    <row r="894" spans="1:7">
      <c r="A894" s="496">
        <f t="shared" si="41"/>
        <v>893</v>
      </c>
      <c r="B894" s="496" t="s">
        <v>980</v>
      </c>
      <c r="C894" s="495" t="s">
        <v>88</v>
      </c>
      <c r="D894" s="497" t="s">
        <v>89</v>
      </c>
      <c r="E894" s="496" t="str">
        <f t="shared" si="39"/>
        <v>11</v>
      </c>
      <c r="F894" s="496">
        <v>25720</v>
      </c>
      <c r="G894" s="496" t="str">
        <f t="shared" si="40"/>
        <v>20343758287</v>
      </c>
    </row>
    <row r="895" spans="1:7">
      <c r="A895" s="496">
        <f t="shared" si="41"/>
        <v>894</v>
      </c>
      <c r="B895" s="496" t="s">
        <v>981</v>
      </c>
      <c r="C895" s="495" t="s">
        <v>91</v>
      </c>
      <c r="D895" s="497" t="s">
        <v>92</v>
      </c>
      <c r="E895" s="496" t="str">
        <f t="shared" si="39"/>
        <v>12</v>
      </c>
      <c r="F895" s="496">
        <v>25724</v>
      </c>
      <c r="G895" s="496" t="str">
        <f t="shared" si="40"/>
        <v>20344769932</v>
      </c>
    </row>
    <row r="896" spans="1:7">
      <c r="A896" s="496">
        <f t="shared" si="41"/>
        <v>895</v>
      </c>
      <c r="B896" s="496" t="s">
        <v>982</v>
      </c>
      <c r="C896" s="495" t="s">
        <v>91</v>
      </c>
      <c r="D896" s="497" t="s">
        <v>92</v>
      </c>
      <c r="E896" s="496" t="str">
        <f t="shared" si="39"/>
        <v>12</v>
      </c>
      <c r="F896" s="496">
        <v>25724</v>
      </c>
      <c r="G896" s="496" t="str">
        <f t="shared" si="40"/>
        <v>20344877158</v>
      </c>
    </row>
    <row r="897" spans="1:7">
      <c r="A897" s="496">
        <f t="shared" si="41"/>
        <v>896</v>
      </c>
      <c r="B897" s="496" t="s">
        <v>983</v>
      </c>
      <c r="C897" s="495" t="s">
        <v>77</v>
      </c>
      <c r="D897" s="497" t="s">
        <v>78</v>
      </c>
      <c r="E897" s="496" t="str">
        <f t="shared" si="39"/>
        <v>07</v>
      </c>
      <c r="F897" s="496">
        <v>25717</v>
      </c>
      <c r="G897" s="496" t="str">
        <f t="shared" si="40"/>
        <v>20344966096</v>
      </c>
    </row>
    <row r="898" spans="1:7">
      <c r="A898" s="496">
        <f t="shared" si="41"/>
        <v>897</v>
      </c>
      <c r="B898" s="496" t="s">
        <v>984</v>
      </c>
      <c r="C898" s="495" t="s">
        <v>82</v>
      </c>
      <c r="D898" s="497" t="s">
        <v>83</v>
      </c>
      <c r="E898" s="496" t="str">
        <f t="shared" si="39"/>
        <v>08</v>
      </c>
      <c r="F898" s="496">
        <v>25718</v>
      </c>
      <c r="G898" s="496" t="str">
        <f t="shared" si="40"/>
        <v>20345446894</v>
      </c>
    </row>
    <row r="899" spans="1:7">
      <c r="A899" s="496">
        <f t="shared" si="41"/>
        <v>898</v>
      </c>
      <c r="B899" s="496" t="s">
        <v>985</v>
      </c>
      <c r="C899" s="495" t="s">
        <v>85</v>
      </c>
      <c r="D899" s="497" t="s">
        <v>86</v>
      </c>
      <c r="E899" s="496" t="str">
        <f t="shared" ref="E899:E962" si="42">IF(MID(D899,14,1)="@",MID(D899,12,2),"0"&amp;MID(D899,12,1))</f>
        <v>09</v>
      </c>
      <c r="F899" s="496">
        <v>25719</v>
      </c>
      <c r="G899" s="496" t="str">
        <f t="shared" ref="G899:G962" si="43">CONCATENATE(B899)</f>
        <v>20346669625</v>
      </c>
    </row>
    <row r="900" spans="1:7">
      <c r="A900" s="496">
        <f t="shared" ref="A900:A963" si="44">+A899+1</f>
        <v>899</v>
      </c>
      <c r="B900" s="496" t="s">
        <v>986</v>
      </c>
      <c r="C900" s="495" t="s">
        <v>77</v>
      </c>
      <c r="D900" s="497" t="s">
        <v>78</v>
      </c>
      <c r="E900" s="496" t="str">
        <f t="shared" si="42"/>
        <v>07</v>
      </c>
      <c r="F900" s="496">
        <v>25717</v>
      </c>
      <c r="G900" s="496" t="str">
        <f t="shared" si="43"/>
        <v>20346814731</v>
      </c>
    </row>
    <row r="901" spans="1:7">
      <c r="A901" s="496">
        <f t="shared" si="44"/>
        <v>900</v>
      </c>
      <c r="B901" s="496" t="s">
        <v>987</v>
      </c>
      <c r="C901" s="495" t="s">
        <v>88</v>
      </c>
      <c r="D901" s="497" t="s">
        <v>89</v>
      </c>
      <c r="E901" s="496" t="str">
        <f t="shared" si="42"/>
        <v>11</v>
      </c>
      <c r="F901" s="496">
        <v>25720</v>
      </c>
      <c r="G901" s="496" t="str">
        <f t="shared" si="43"/>
        <v>20346833280</v>
      </c>
    </row>
    <row r="902" spans="1:7">
      <c r="A902" s="496">
        <f t="shared" si="44"/>
        <v>901</v>
      </c>
      <c r="B902" s="496" t="s">
        <v>988</v>
      </c>
      <c r="C902" s="495" t="s">
        <v>91</v>
      </c>
      <c r="D902" s="497" t="s">
        <v>92</v>
      </c>
      <c r="E902" s="496" t="str">
        <f t="shared" si="42"/>
        <v>12</v>
      </c>
      <c r="F902" s="496">
        <v>25724</v>
      </c>
      <c r="G902" s="496" t="str">
        <f t="shared" si="43"/>
        <v>20346949318</v>
      </c>
    </row>
    <row r="903" spans="1:7">
      <c r="A903" s="496">
        <f t="shared" si="44"/>
        <v>902</v>
      </c>
      <c r="B903" s="496" t="s">
        <v>989</v>
      </c>
      <c r="C903" s="495" t="s">
        <v>82</v>
      </c>
      <c r="D903" s="497" t="s">
        <v>83</v>
      </c>
      <c r="E903" s="496" t="str">
        <f t="shared" si="42"/>
        <v>08</v>
      </c>
      <c r="F903" s="496">
        <v>25718</v>
      </c>
      <c r="G903" s="496" t="str">
        <f t="shared" si="43"/>
        <v>20347029697</v>
      </c>
    </row>
    <row r="904" spans="1:7">
      <c r="A904" s="496">
        <f t="shared" si="44"/>
        <v>903</v>
      </c>
      <c r="B904" s="496" t="s">
        <v>990</v>
      </c>
      <c r="C904" s="495" t="s">
        <v>77</v>
      </c>
      <c r="D904" s="497" t="s">
        <v>78</v>
      </c>
      <c r="E904" s="496" t="str">
        <f t="shared" si="42"/>
        <v>07</v>
      </c>
      <c r="F904" s="496">
        <v>25717</v>
      </c>
      <c r="G904" s="496" t="str">
        <f t="shared" si="43"/>
        <v>20347100316</v>
      </c>
    </row>
    <row r="905" spans="1:7">
      <c r="A905" s="496">
        <f t="shared" si="44"/>
        <v>904</v>
      </c>
      <c r="B905" s="496" t="s">
        <v>991</v>
      </c>
      <c r="C905" s="495" t="s">
        <v>82</v>
      </c>
      <c r="D905" s="497" t="s">
        <v>83</v>
      </c>
      <c r="E905" s="496" t="str">
        <f t="shared" si="42"/>
        <v>08</v>
      </c>
      <c r="F905" s="496">
        <v>25718</v>
      </c>
      <c r="G905" s="496" t="str">
        <f t="shared" si="43"/>
        <v>20347196917</v>
      </c>
    </row>
    <row r="906" spans="1:7">
      <c r="A906" s="496">
        <f t="shared" si="44"/>
        <v>905</v>
      </c>
      <c r="B906" s="496" t="s">
        <v>992</v>
      </c>
      <c r="C906" s="495" t="s">
        <v>85</v>
      </c>
      <c r="D906" s="497" t="s">
        <v>86</v>
      </c>
      <c r="E906" s="496" t="str">
        <f t="shared" si="42"/>
        <v>09</v>
      </c>
      <c r="F906" s="496">
        <v>25719</v>
      </c>
      <c r="G906" s="496" t="str">
        <f t="shared" si="43"/>
        <v>20347258611</v>
      </c>
    </row>
    <row r="907" spans="1:7">
      <c r="A907" s="496">
        <f t="shared" si="44"/>
        <v>906</v>
      </c>
      <c r="B907" s="496" t="s">
        <v>993</v>
      </c>
      <c r="C907" s="495" t="s">
        <v>88</v>
      </c>
      <c r="D907" s="497" t="s">
        <v>89</v>
      </c>
      <c r="E907" s="496" t="str">
        <f t="shared" si="42"/>
        <v>11</v>
      </c>
      <c r="F907" s="496">
        <v>25720</v>
      </c>
      <c r="G907" s="496" t="str">
        <f t="shared" si="43"/>
        <v>20347268683</v>
      </c>
    </row>
    <row r="908" spans="1:7">
      <c r="A908" s="496">
        <f t="shared" si="44"/>
        <v>907</v>
      </c>
      <c r="B908" s="496" t="s">
        <v>994</v>
      </c>
      <c r="C908" s="495" t="s">
        <v>91</v>
      </c>
      <c r="D908" s="497" t="s">
        <v>92</v>
      </c>
      <c r="E908" s="496" t="str">
        <f t="shared" si="42"/>
        <v>12</v>
      </c>
      <c r="F908" s="496">
        <v>25724</v>
      </c>
      <c r="G908" s="496" t="str">
        <f t="shared" si="43"/>
        <v>20347644502</v>
      </c>
    </row>
    <row r="909" spans="1:7">
      <c r="A909" s="496">
        <f t="shared" si="44"/>
        <v>908</v>
      </c>
      <c r="B909" s="496" t="s">
        <v>995</v>
      </c>
      <c r="C909" s="495" t="s">
        <v>77</v>
      </c>
      <c r="D909" s="497" t="s">
        <v>78</v>
      </c>
      <c r="E909" s="496" t="str">
        <f t="shared" si="42"/>
        <v>07</v>
      </c>
      <c r="F909" s="496">
        <v>25717</v>
      </c>
      <c r="G909" s="496" t="str">
        <f t="shared" si="43"/>
        <v>20348067053</v>
      </c>
    </row>
    <row r="910" spans="1:7">
      <c r="A910" s="496">
        <f t="shared" si="44"/>
        <v>909</v>
      </c>
      <c r="B910" s="496" t="s">
        <v>996</v>
      </c>
      <c r="C910" s="495" t="s">
        <v>82</v>
      </c>
      <c r="D910" s="497" t="s">
        <v>83</v>
      </c>
      <c r="E910" s="496" t="str">
        <f t="shared" si="42"/>
        <v>08</v>
      </c>
      <c r="F910" s="496">
        <v>25718</v>
      </c>
      <c r="G910" s="496" t="str">
        <f t="shared" si="43"/>
        <v>20348266684</v>
      </c>
    </row>
    <row r="911" spans="1:7">
      <c r="A911" s="496">
        <f t="shared" si="44"/>
        <v>910</v>
      </c>
      <c r="B911" s="496" t="s">
        <v>997</v>
      </c>
      <c r="C911" s="495" t="s">
        <v>85</v>
      </c>
      <c r="D911" s="497" t="s">
        <v>86</v>
      </c>
      <c r="E911" s="496" t="str">
        <f t="shared" si="42"/>
        <v>09</v>
      </c>
      <c r="F911" s="496">
        <v>25719</v>
      </c>
      <c r="G911" s="496" t="str">
        <f t="shared" si="43"/>
        <v>20348511824</v>
      </c>
    </row>
    <row r="912" spans="1:7">
      <c r="A912" s="496">
        <f t="shared" si="44"/>
        <v>911</v>
      </c>
      <c r="B912" s="496" t="s">
        <v>998</v>
      </c>
      <c r="C912" s="495" t="s">
        <v>88</v>
      </c>
      <c r="D912" s="497" t="s">
        <v>89</v>
      </c>
      <c r="E912" s="496" t="str">
        <f t="shared" si="42"/>
        <v>11</v>
      </c>
      <c r="F912" s="496">
        <v>25720</v>
      </c>
      <c r="G912" s="496" t="str">
        <f t="shared" si="43"/>
        <v>20348535685</v>
      </c>
    </row>
    <row r="913" spans="1:7">
      <c r="A913" s="496">
        <f t="shared" si="44"/>
        <v>912</v>
      </c>
      <c r="B913" s="496" t="s">
        <v>999</v>
      </c>
      <c r="C913" s="495" t="s">
        <v>91</v>
      </c>
      <c r="D913" s="497" t="s">
        <v>92</v>
      </c>
      <c r="E913" s="496" t="str">
        <f t="shared" si="42"/>
        <v>12</v>
      </c>
      <c r="F913" s="496">
        <v>25724</v>
      </c>
      <c r="G913" s="496" t="str">
        <f t="shared" si="43"/>
        <v>20348682980</v>
      </c>
    </row>
    <row r="914" spans="1:7">
      <c r="A914" s="496">
        <f t="shared" si="44"/>
        <v>913</v>
      </c>
      <c r="B914" s="496" t="s">
        <v>1000</v>
      </c>
      <c r="C914" s="495" t="s">
        <v>77</v>
      </c>
      <c r="D914" s="497" t="s">
        <v>78</v>
      </c>
      <c r="E914" s="496" t="str">
        <f t="shared" si="42"/>
        <v>07</v>
      </c>
      <c r="F914" s="496">
        <v>25717</v>
      </c>
      <c r="G914" s="496" t="str">
        <f t="shared" si="43"/>
        <v>20349304903</v>
      </c>
    </row>
    <row r="915" spans="1:7">
      <c r="A915" s="496">
        <f t="shared" si="44"/>
        <v>914</v>
      </c>
      <c r="B915" s="496" t="s">
        <v>1001</v>
      </c>
      <c r="C915" s="495" t="s">
        <v>82</v>
      </c>
      <c r="D915" s="497" t="s">
        <v>83</v>
      </c>
      <c r="E915" s="496" t="str">
        <f t="shared" si="42"/>
        <v>08</v>
      </c>
      <c r="F915" s="496">
        <v>25718</v>
      </c>
      <c r="G915" s="496" t="str">
        <f t="shared" si="43"/>
        <v>20349422850</v>
      </c>
    </row>
    <row r="916" spans="1:7">
      <c r="A916" s="496">
        <f t="shared" si="44"/>
        <v>915</v>
      </c>
      <c r="B916" s="496" t="s">
        <v>1002</v>
      </c>
      <c r="C916" s="495" t="s">
        <v>85</v>
      </c>
      <c r="D916" s="497" t="s">
        <v>86</v>
      </c>
      <c r="E916" s="496" t="str">
        <f t="shared" si="42"/>
        <v>09</v>
      </c>
      <c r="F916" s="496">
        <v>25719</v>
      </c>
      <c r="G916" s="496" t="str">
        <f t="shared" si="43"/>
        <v>20349792193</v>
      </c>
    </row>
    <row r="917" spans="1:7">
      <c r="A917" s="496">
        <f t="shared" si="44"/>
        <v>916</v>
      </c>
      <c r="B917" s="496" t="s">
        <v>1003</v>
      </c>
      <c r="C917" s="495" t="s">
        <v>88</v>
      </c>
      <c r="D917" s="497" t="s">
        <v>89</v>
      </c>
      <c r="E917" s="496" t="str">
        <f t="shared" si="42"/>
        <v>11</v>
      </c>
      <c r="F917" s="496">
        <v>25720</v>
      </c>
      <c r="G917" s="496" t="str">
        <f t="shared" si="43"/>
        <v>20356922311</v>
      </c>
    </row>
    <row r="918" spans="1:7">
      <c r="A918" s="496">
        <f t="shared" si="44"/>
        <v>917</v>
      </c>
      <c r="B918" s="496" t="s">
        <v>1004</v>
      </c>
      <c r="C918" s="495" t="s">
        <v>91</v>
      </c>
      <c r="D918" s="497" t="s">
        <v>92</v>
      </c>
      <c r="E918" s="496" t="str">
        <f t="shared" si="42"/>
        <v>12</v>
      </c>
      <c r="F918" s="496">
        <v>25724</v>
      </c>
      <c r="G918" s="496" t="str">
        <f t="shared" si="43"/>
        <v>20363394541</v>
      </c>
    </row>
    <row r="919" spans="1:7">
      <c r="A919" s="496">
        <f t="shared" si="44"/>
        <v>918</v>
      </c>
      <c r="B919" s="496" t="s">
        <v>1005</v>
      </c>
      <c r="C919" s="495" t="s">
        <v>77</v>
      </c>
      <c r="D919" s="497" t="s">
        <v>78</v>
      </c>
      <c r="E919" s="496" t="str">
        <f t="shared" si="42"/>
        <v>07</v>
      </c>
      <c r="F919" s="496">
        <v>25717</v>
      </c>
      <c r="G919" s="496" t="str">
        <f t="shared" si="43"/>
        <v>20367472694</v>
      </c>
    </row>
    <row r="920" spans="1:7">
      <c r="A920" s="496">
        <f t="shared" si="44"/>
        <v>919</v>
      </c>
      <c r="B920" s="496" t="s">
        <v>1006</v>
      </c>
      <c r="C920" s="495" t="s">
        <v>82</v>
      </c>
      <c r="D920" s="497" t="s">
        <v>83</v>
      </c>
      <c r="E920" s="496" t="str">
        <f t="shared" si="42"/>
        <v>08</v>
      </c>
      <c r="F920" s="496">
        <v>25718</v>
      </c>
      <c r="G920" s="496" t="str">
        <f t="shared" si="43"/>
        <v>20370038083</v>
      </c>
    </row>
    <row r="921" spans="1:7">
      <c r="A921" s="496">
        <f t="shared" si="44"/>
        <v>920</v>
      </c>
      <c r="B921" s="496" t="s">
        <v>1007</v>
      </c>
      <c r="C921" s="495" t="s">
        <v>85</v>
      </c>
      <c r="D921" s="497" t="s">
        <v>86</v>
      </c>
      <c r="E921" s="496" t="str">
        <f t="shared" si="42"/>
        <v>09</v>
      </c>
      <c r="F921" s="496">
        <v>25719</v>
      </c>
      <c r="G921" s="496" t="str">
        <f t="shared" si="43"/>
        <v>20370337668</v>
      </c>
    </row>
    <row r="922" spans="1:7">
      <c r="A922" s="496">
        <f t="shared" si="44"/>
        <v>921</v>
      </c>
      <c r="B922" s="496" t="s">
        <v>1008</v>
      </c>
      <c r="C922" s="495" t="s">
        <v>88</v>
      </c>
      <c r="D922" s="497" t="s">
        <v>89</v>
      </c>
      <c r="E922" s="496" t="str">
        <f t="shared" si="42"/>
        <v>11</v>
      </c>
      <c r="F922" s="496">
        <v>25720</v>
      </c>
      <c r="G922" s="496" t="str">
        <f t="shared" si="43"/>
        <v>20372399687</v>
      </c>
    </row>
    <row r="923" spans="1:7">
      <c r="A923" s="496">
        <f t="shared" si="44"/>
        <v>922</v>
      </c>
      <c r="B923" s="496" t="s">
        <v>1009</v>
      </c>
      <c r="C923" s="495" t="s">
        <v>91</v>
      </c>
      <c r="D923" s="497" t="s">
        <v>92</v>
      </c>
      <c r="E923" s="496" t="str">
        <f t="shared" si="42"/>
        <v>12</v>
      </c>
      <c r="F923" s="496">
        <v>25724</v>
      </c>
      <c r="G923" s="496" t="str">
        <f t="shared" si="43"/>
        <v>20372706288</v>
      </c>
    </row>
    <row r="924" spans="1:7">
      <c r="A924" s="496">
        <f t="shared" si="44"/>
        <v>923</v>
      </c>
      <c r="B924" s="496" t="s">
        <v>1010</v>
      </c>
      <c r="C924" s="495" t="s">
        <v>77</v>
      </c>
      <c r="D924" s="497" t="s">
        <v>78</v>
      </c>
      <c r="E924" s="496" t="str">
        <f t="shared" si="42"/>
        <v>07</v>
      </c>
      <c r="F924" s="496">
        <v>25717</v>
      </c>
      <c r="G924" s="496" t="str">
        <f t="shared" si="43"/>
        <v>20373573249</v>
      </c>
    </row>
    <row r="925" spans="1:7">
      <c r="A925" s="496">
        <f t="shared" si="44"/>
        <v>924</v>
      </c>
      <c r="B925" s="496" t="s">
        <v>1011</v>
      </c>
      <c r="C925" s="495" t="s">
        <v>82</v>
      </c>
      <c r="D925" s="497" t="s">
        <v>83</v>
      </c>
      <c r="E925" s="496" t="str">
        <f t="shared" si="42"/>
        <v>08</v>
      </c>
      <c r="F925" s="496">
        <v>25718</v>
      </c>
      <c r="G925" s="496" t="str">
        <f t="shared" si="43"/>
        <v>20373651223</v>
      </c>
    </row>
    <row r="926" spans="1:7">
      <c r="A926" s="496">
        <f t="shared" si="44"/>
        <v>925</v>
      </c>
      <c r="B926" s="496" t="s">
        <v>1012</v>
      </c>
      <c r="C926" s="495" t="s">
        <v>85</v>
      </c>
      <c r="D926" s="497" t="s">
        <v>86</v>
      </c>
      <c r="E926" s="496" t="str">
        <f t="shared" si="42"/>
        <v>09</v>
      </c>
      <c r="F926" s="496">
        <v>25719</v>
      </c>
      <c r="G926" s="496" t="str">
        <f t="shared" si="43"/>
        <v>20373697720</v>
      </c>
    </row>
    <row r="927" spans="1:7">
      <c r="A927" s="496">
        <f t="shared" si="44"/>
        <v>926</v>
      </c>
      <c r="B927" s="496" t="s">
        <v>1013</v>
      </c>
      <c r="C927" s="495" t="s">
        <v>88</v>
      </c>
      <c r="D927" s="497" t="s">
        <v>89</v>
      </c>
      <c r="E927" s="496" t="str">
        <f t="shared" si="42"/>
        <v>11</v>
      </c>
      <c r="F927" s="496">
        <v>25720</v>
      </c>
      <c r="G927" s="496" t="str">
        <f t="shared" si="43"/>
        <v>20373860736</v>
      </c>
    </row>
    <row r="928" spans="1:7">
      <c r="A928" s="496">
        <f t="shared" si="44"/>
        <v>927</v>
      </c>
      <c r="B928" s="496" t="s">
        <v>1014</v>
      </c>
      <c r="C928" s="495" t="s">
        <v>91</v>
      </c>
      <c r="D928" s="497" t="s">
        <v>92</v>
      </c>
      <c r="E928" s="496" t="str">
        <f t="shared" si="42"/>
        <v>12</v>
      </c>
      <c r="F928" s="496">
        <v>25724</v>
      </c>
      <c r="G928" s="496" t="str">
        <f t="shared" si="43"/>
        <v>20374041011</v>
      </c>
    </row>
    <row r="929" spans="1:7">
      <c r="A929" s="496">
        <f t="shared" si="44"/>
        <v>928</v>
      </c>
      <c r="B929" s="496" t="s">
        <v>1015</v>
      </c>
      <c r="C929" s="495" t="s">
        <v>77</v>
      </c>
      <c r="D929" s="497" t="s">
        <v>78</v>
      </c>
      <c r="E929" s="496" t="str">
        <f t="shared" si="42"/>
        <v>07</v>
      </c>
      <c r="F929" s="496">
        <v>25717</v>
      </c>
      <c r="G929" s="496" t="str">
        <f t="shared" si="43"/>
        <v>20374154304</v>
      </c>
    </row>
    <row r="930" spans="1:7">
      <c r="A930" s="496">
        <f t="shared" si="44"/>
        <v>929</v>
      </c>
      <c r="B930" s="496" t="s">
        <v>1016</v>
      </c>
      <c r="C930" s="495" t="s">
        <v>82</v>
      </c>
      <c r="D930" s="497" t="s">
        <v>83</v>
      </c>
      <c r="E930" s="496" t="str">
        <f t="shared" si="42"/>
        <v>08</v>
      </c>
      <c r="F930" s="496">
        <v>25718</v>
      </c>
      <c r="G930" s="496" t="str">
        <f t="shared" si="43"/>
        <v>20374412524</v>
      </c>
    </row>
    <row r="931" spans="1:7">
      <c r="A931" s="496">
        <f t="shared" si="44"/>
        <v>930</v>
      </c>
      <c r="B931" s="496" t="s">
        <v>1017</v>
      </c>
      <c r="C931" s="495" t="s">
        <v>85</v>
      </c>
      <c r="D931" s="497" t="s">
        <v>86</v>
      </c>
      <c r="E931" s="496" t="str">
        <f t="shared" si="42"/>
        <v>09</v>
      </c>
      <c r="F931" s="496">
        <v>25719</v>
      </c>
      <c r="G931" s="496" t="str">
        <f t="shared" si="43"/>
        <v>20375312868</v>
      </c>
    </row>
    <row r="932" spans="1:7">
      <c r="A932" s="496">
        <f t="shared" si="44"/>
        <v>931</v>
      </c>
      <c r="B932" s="496" t="s">
        <v>1018</v>
      </c>
      <c r="C932" s="495" t="s">
        <v>88</v>
      </c>
      <c r="D932" s="497" t="s">
        <v>89</v>
      </c>
      <c r="E932" s="496" t="str">
        <f t="shared" si="42"/>
        <v>11</v>
      </c>
      <c r="F932" s="496">
        <v>25720</v>
      </c>
      <c r="G932" s="496" t="str">
        <f t="shared" si="43"/>
        <v>20375361991</v>
      </c>
    </row>
    <row r="933" spans="1:7">
      <c r="A933" s="496">
        <f t="shared" si="44"/>
        <v>932</v>
      </c>
      <c r="B933" s="496" t="s">
        <v>1019</v>
      </c>
      <c r="C933" s="495" t="s">
        <v>91</v>
      </c>
      <c r="D933" s="497" t="s">
        <v>92</v>
      </c>
      <c r="E933" s="496" t="str">
        <f t="shared" si="42"/>
        <v>12</v>
      </c>
      <c r="F933" s="496">
        <v>25724</v>
      </c>
      <c r="G933" s="496" t="str">
        <f t="shared" si="43"/>
        <v>20375862779</v>
      </c>
    </row>
    <row r="934" spans="1:7">
      <c r="A934" s="496">
        <f t="shared" si="44"/>
        <v>933</v>
      </c>
      <c r="B934" s="496" t="s">
        <v>1020</v>
      </c>
      <c r="C934" s="495" t="s">
        <v>77</v>
      </c>
      <c r="D934" s="497" t="s">
        <v>78</v>
      </c>
      <c r="E934" s="496" t="str">
        <f t="shared" si="42"/>
        <v>07</v>
      </c>
      <c r="F934" s="496">
        <v>25717</v>
      </c>
      <c r="G934" s="496" t="str">
        <f t="shared" si="43"/>
        <v>20376181015</v>
      </c>
    </row>
    <row r="935" spans="1:7">
      <c r="A935" s="496">
        <f t="shared" si="44"/>
        <v>934</v>
      </c>
      <c r="B935" s="496" t="s">
        <v>1021</v>
      </c>
      <c r="C935" s="495" t="s">
        <v>82</v>
      </c>
      <c r="D935" s="497" t="s">
        <v>83</v>
      </c>
      <c r="E935" s="496" t="str">
        <f t="shared" si="42"/>
        <v>08</v>
      </c>
      <c r="F935" s="496">
        <v>25718</v>
      </c>
      <c r="G935" s="496" t="str">
        <f t="shared" si="43"/>
        <v>20376289215</v>
      </c>
    </row>
    <row r="936" spans="1:7">
      <c r="A936" s="496">
        <f t="shared" si="44"/>
        <v>935</v>
      </c>
      <c r="B936" s="496" t="s">
        <v>1022</v>
      </c>
      <c r="C936" s="495" t="s">
        <v>85</v>
      </c>
      <c r="D936" s="497" t="s">
        <v>86</v>
      </c>
      <c r="E936" s="496" t="str">
        <f t="shared" si="42"/>
        <v>09</v>
      </c>
      <c r="F936" s="496">
        <v>25719</v>
      </c>
      <c r="G936" s="496" t="str">
        <f t="shared" si="43"/>
        <v>20376641466</v>
      </c>
    </row>
    <row r="937" spans="1:7">
      <c r="A937" s="496">
        <f t="shared" si="44"/>
        <v>936</v>
      </c>
      <c r="B937" s="496" t="s">
        <v>1023</v>
      </c>
      <c r="C937" s="495" t="s">
        <v>88</v>
      </c>
      <c r="D937" s="497" t="s">
        <v>89</v>
      </c>
      <c r="E937" s="496" t="str">
        <f t="shared" si="42"/>
        <v>11</v>
      </c>
      <c r="F937" s="496">
        <v>25720</v>
      </c>
      <c r="G937" s="496" t="str">
        <f t="shared" si="43"/>
        <v>20376729126</v>
      </c>
    </row>
    <row r="938" spans="1:7">
      <c r="A938" s="496">
        <f t="shared" si="44"/>
        <v>937</v>
      </c>
      <c r="B938" s="496" t="s">
        <v>1024</v>
      </c>
      <c r="C938" s="495" t="s">
        <v>91</v>
      </c>
      <c r="D938" s="497" t="s">
        <v>92</v>
      </c>
      <c r="E938" s="496" t="str">
        <f t="shared" si="42"/>
        <v>12</v>
      </c>
      <c r="F938" s="496">
        <v>25724</v>
      </c>
      <c r="G938" s="496" t="str">
        <f t="shared" si="43"/>
        <v>20377294778</v>
      </c>
    </row>
    <row r="939" spans="1:7">
      <c r="A939" s="496">
        <f t="shared" si="44"/>
        <v>938</v>
      </c>
      <c r="B939" s="496" t="s">
        <v>1025</v>
      </c>
      <c r="C939" s="495" t="s">
        <v>77</v>
      </c>
      <c r="D939" s="497" t="s">
        <v>78</v>
      </c>
      <c r="E939" s="496" t="str">
        <f t="shared" si="42"/>
        <v>07</v>
      </c>
      <c r="F939" s="496">
        <v>25717</v>
      </c>
      <c r="G939" s="496" t="str">
        <f t="shared" si="43"/>
        <v>20377313071</v>
      </c>
    </row>
    <row r="940" spans="1:7">
      <c r="A940" s="496">
        <f t="shared" si="44"/>
        <v>939</v>
      </c>
      <c r="B940" s="496" t="s">
        <v>1026</v>
      </c>
      <c r="C940" s="495" t="s">
        <v>82</v>
      </c>
      <c r="D940" s="497" t="s">
        <v>83</v>
      </c>
      <c r="E940" s="496" t="str">
        <f t="shared" si="42"/>
        <v>08</v>
      </c>
      <c r="F940" s="496">
        <v>25718</v>
      </c>
      <c r="G940" s="496" t="str">
        <f t="shared" si="43"/>
        <v>20377339461</v>
      </c>
    </row>
    <row r="941" spans="1:7">
      <c r="A941" s="496">
        <f t="shared" si="44"/>
        <v>940</v>
      </c>
      <c r="B941" s="496" t="s">
        <v>1027</v>
      </c>
      <c r="C941" s="495" t="s">
        <v>85</v>
      </c>
      <c r="D941" s="497" t="s">
        <v>86</v>
      </c>
      <c r="E941" s="496" t="str">
        <f t="shared" si="42"/>
        <v>09</v>
      </c>
      <c r="F941" s="496">
        <v>25719</v>
      </c>
      <c r="G941" s="496" t="str">
        <f t="shared" si="43"/>
        <v>20377892918</v>
      </c>
    </row>
    <row r="942" spans="1:7">
      <c r="A942" s="496">
        <f t="shared" si="44"/>
        <v>941</v>
      </c>
      <c r="B942" s="496" t="s">
        <v>1028</v>
      </c>
      <c r="C942" s="495" t="s">
        <v>88</v>
      </c>
      <c r="D942" s="497" t="s">
        <v>89</v>
      </c>
      <c r="E942" s="496" t="str">
        <f t="shared" si="42"/>
        <v>11</v>
      </c>
      <c r="F942" s="496">
        <v>25720</v>
      </c>
      <c r="G942" s="496" t="str">
        <f t="shared" si="43"/>
        <v>20378092419</v>
      </c>
    </row>
    <row r="943" spans="1:7">
      <c r="A943" s="496">
        <f t="shared" si="44"/>
        <v>942</v>
      </c>
      <c r="B943" s="496" t="s">
        <v>1029</v>
      </c>
      <c r="C943" s="495" t="s">
        <v>91</v>
      </c>
      <c r="D943" s="497" t="s">
        <v>92</v>
      </c>
      <c r="E943" s="496" t="str">
        <f t="shared" si="42"/>
        <v>12</v>
      </c>
      <c r="F943" s="496">
        <v>25724</v>
      </c>
      <c r="G943" s="496" t="str">
        <f t="shared" si="43"/>
        <v>20378890161</v>
      </c>
    </row>
    <row r="944" spans="1:7">
      <c r="A944" s="496">
        <f t="shared" si="44"/>
        <v>943</v>
      </c>
      <c r="B944" s="496" t="s">
        <v>1030</v>
      </c>
      <c r="C944" s="495" t="s">
        <v>77</v>
      </c>
      <c r="D944" s="497" t="s">
        <v>78</v>
      </c>
      <c r="E944" s="496" t="str">
        <f t="shared" si="42"/>
        <v>07</v>
      </c>
      <c r="F944" s="496">
        <v>25717</v>
      </c>
      <c r="G944" s="496" t="str">
        <f t="shared" si="43"/>
        <v>20379085505</v>
      </c>
    </row>
    <row r="945" spans="1:7">
      <c r="A945" s="496">
        <f t="shared" si="44"/>
        <v>944</v>
      </c>
      <c r="B945" s="496" t="s">
        <v>1031</v>
      </c>
      <c r="C945" s="495" t="s">
        <v>82</v>
      </c>
      <c r="D945" s="497" t="s">
        <v>83</v>
      </c>
      <c r="E945" s="496" t="str">
        <f t="shared" si="42"/>
        <v>08</v>
      </c>
      <c r="F945" s="496">
        <v>25718</v>
      </c>
      <c r="G945" s="496" t="str">
        <f t="shared" si="43"/>
        <v>20380130336</v>
      </c>
    </row>
    <row r="946" spans="1:7">
      <c r="A946" s="496">
        <f t="shared" si="44"/>
        <v>945</v>
      </c>
      <c r="B946" s="496" t="s">
        <v>1032</v>
      </c>
      <c r="C946" s="495" t="s">
        <v>85</v>
      </c>
      <c r="D946" s="497" t="s">
        <v>86</v>
      </c>
      <c r="E946" s="496" t="str">
        <f t="shared" si="42"/>
        <v>09</v>
      </c>
      <c r="F946" s="496">
        <v>25719</v>
      </c>
      <c r="G946" s="496" t="str">
        <f t="shared" si="43"/>
        <v>20380336384</v>
      </c>
    </row>
    <row r="947" spans="1:7">
      <c r="A947" s="496">
        <f t="shared" si="44"/>
        <v>946</v>
      </c>
      <c r="B947" s="496" t="s">
        <v>1033</v>
      </c>
      <c r="C947" s="495" t="s">
        <v>85</v>
      </c>
      <c r="D947" s="497" t="s">
        <v>86</v>
      </c>
      <c r="E947" s="496" t="str">
        <f t="shared" si="42"/>
        <v>09</v>
      </c>
      <c r="F947" s="496">
        <v>25719</v>
      </c>
      <c r="G947" s="496" t="str">
        <f t="shared" si="43"/>
        <v>20380449405</v>
      </c>
    </row>
    <row r="948" spans="1:7">
      <c r="A948" s="496">
        <f t="shared" si="44"/>
        <v>947</v>
      </c>
      <c r="B948" s="496" t="s">
        <v>1034</v>
      </c>
      <c r="C948" s="495" t="s">
        <v>88</v>
      </c>
      <c r="D948" s="497" t="s">
        <v>89</v>
      </c>
      <c r="E948" s="496" t="str">
        <f t="shared" si="42"/>
        <v>11</v>
      </c>
      <c r="F948" s="496">
        <v>25720</v>
      </c>
      <c r="G948" s="496" t="str">
        <f t="shared" si="43"/>
        <v>20380626463</v>
      </c>
    </row>
    <row r="949" spans="1:7">
      <c r="A949" s="496">
        <f t="shared" si="44"/>
        <v>948</v>
      </c>
      <c r="B949" s="496" t="s">
        <v>1035</v>
      </c>
      <c r="C949" s="495" t="s">
        <v>91</v>
      </c>
      <c r="D949" s="497" t="s">
        <v>92</v>
      </c>
      <c r="E949" s="496" t="str">
        <f t="shared" si="42"/>
        <v>12</v>
      </c>
      <c r="F949" s="496">
        <v>25724</v>
      </c>
      <c r="G949" s="496" t="str">
        <f t="shared" si="43"/>
        <v>20380632943</v>
      </c>
    </row>
    <row r="950" spans="1:7">
      <c r="A950" s="496">
        <f t="shared" si="44"/>
        <v>949</v>
      </c>
      <c r="B950" s="496" t="s">
        <v>1036</v>
      </c>
      <c r="C950" s="495" t="s">
        <v>77</v>
      </c>
      <c r="D950" s="497" t="s">
        <v>78</v>
      </c>
      <c r="E950" s="496" t="str">
        <f t="shared" si="42"/>
        <v>07</v>
      </c>
      <c r="F950" s="496">
        <v>25717</v>
      </c>
      <c r="G950" s="496" t="str">
        <f t="shared" si="43"/>
        <v>20381034071</v>
      </c>
    </row>
    <row r="951" spans="1:7">
      <c r="A951" s="496">
        <f t="shared" si="44"/>
        <v>950</v>
      </c>
      <c r="B951" s="496" t="s">
        <v>1037</v>
      </c>
      <c r="C951" s="495" t="s">
        <v>82</v>
      </c>
      <c r="D951" s="497" t="s">
        <v>83</v>
      </c>
      <c r="E951" s="496" t="str">
        <f t="shared" si="42"/>
        <v>08</v>
      </c>
      <c r="F951" s="496">
        <v>25718</v>
      </c>
      <c r="G951" s="496" t="str">
        <f t="shared" si="43"/>
        <v>20381379648</v>
      </c>
    </row>
    <row r="952" spans="1:7">
      <c r="A952" s="496">
        <f t="shared" si="44"/>
        <v>951</v>
      </c>
      <c r="B952" s="496" t="s">
        <v>1038</v>
      </c>
      <c r="C952" s="495" t="s">
        <v>85</v>
      </c>
      <c r="D952" s="497" t="s">
        <v>86</v>
      </c>
      <c r="E952" s="496" t="str">
        <f t="shared" si="42"/>
        <v>09</v>
      </c>
      <c r="F952" s="496">
        <v>25719</v>
      </c>
      <c r="G952" s="496" t="str">
        <f t="shared" si="43"/>
        <v>20381396909</v>
      </c>
    </row>
    <row r="953" spans="1:7">
      <c r="A953" s="496">
        <f t="shared" si="44"/>
        <v>952</v>
      </c>
      <c r="B953" s="496" t="s">
        <v>1039</v>
      </c>
      <c r="C953" s="495" t="s">
        <v>88</v>
      </c>
      <c r="D953" s="497" t="s">
        <v>89</v>
      </c>
      <c r="E953" s="496" t="str">
        <f t="shared" si="42"/>
        <v>11</v>
      </c>
      <c r="F953" s="496">
        <v>25720</v>
      </c>
      <c r="G953" s="496" t="str">
        <f t="shared" si="43"/>
        <v>20381450377</v>
      </c>
    </row>
    <row r="954" spans="1:7">
      <c r="A954" s="496">
        <f t="shared" si="44"/>
        <v>953</v>
      </c>
      <c r="B954" s="496" t="s">
        <v>1040</v>
      </c>
      <c r="C954" s="495" t="s">
        <v>91</v>
      </c>
      <c r="D954" s="497" t="s">
        <v>92</v>
      </c>
      <c r="E954" s="496" t="str">
        <f t="shared" si="42"/>
        <v>12</v>
      </c>
      <c r="F954" s="496">
        <v>25724</v>
      </c>
      <c r="G954" s="496" t="str">
        <f t="shared" si="43"/>
        <v>20382056681</v>
      </c>
    </row>
    <row r="955" spans="1:7">
      <c r="A955" s="496">
        <f t="shared" si="44"/>
        <v>954</v>
      </c>
      <c r="B955" s="496" t="s">
        <v>1041</v>
      </c>
      <c r="C955" s="495" t="s">
        <v>77</v>
      </c>
      <c r="D955" s="497" t="s">
        <v>78</v>
      </c>
      <c r="E955" s="496" t="str">
        <f t="shared" si="42"/>
        <v>07</v>
      </c>
      <c r="F955" s="496">
        <v>25717</v>
      </c>
      <c r="G955" s="496" t="str">
        <f t="shared" si="43"/>
        <v>20382346921</v>
      </c>
    </row>
    <row r="956" spans="1:7">
      <c r="A956" s="496">
        <f t="shared" si="44"/>
        <v>955</v>
      </c>
      <c r="B956" s="496" t="s">
        <v>1042</v>
      </c>
      <c r="C956" s="495" t="s">
        <v>82</v>
      </c>
      <c r="D956" s="497" t="s">
        <v>83</v>
      </c>
      <c r="E956" s="496" t="str">
        <f t="shared" si="42"/>
        <v>08</v>
      </c>
      <c r="F956" s="496">
        <v>25718</v>
      </c>
      <c r="G956" s="496" t="str">
        <f t="shared" si="43"/>
        <v>20382506040</v>
      </c>
    </row>
    <row r="957" spans="1:7">
      <c r="A957" s="496">
        <f t="shared" si="44"/>
        <v>956</v>
      </c>
      <c r="B957" s="496" t="s">
        <v>1043</v>
      </c>
      <c r="C957" s="495" t="s">
        <v>85</v>
      </c>
      <c r="D957" s="497" t="s">
        <v>86</v>
      </c>
      <c r="E957" s="496" t="str">
        <f t="shared" si="42"/>
        <v>09</v>
      </c>
      <c r="F957" s="496">
        <v>25719</v>
      </c>
      <c r="G957" s="496" t="str">
        <f t="shared" si="43"/>
        <v>20382631294</v>
      </c>
    </row>
    <row r="958" spans="1:7">
      <c r="A958" s="496">
        <f t="shared" si="44"/>
        <v>957</v>
      </c>
      <c r="B958" s="496" t="s">
        <v>1044</v>
      </c>
      <c r="C958" s="495" t="s">
        <v>88</v>
      </c>
      <c r="D958" s="497" t="s">
        <v>89</v>
      </c>
      <c r="E958" s="496" t="str">
        <f t="shared" si="42"/>
        <v>11</v>
      </c>
      <c r="F958" s="496">
        <v>25720</v>
      </c>
      <c r="G958" s="496" t="str">
        <f t="shared" si="43"/>
        <v>20382748132</v>
      </c>
    </row>
    <row r="959" spans="1:7">
      <c r="A959" s="496">
        <f t="shared" si="44"/>
        <v>958</v>
      </c>
      <c r="B959" s="496" t="s">
        <v>1045</v>
      </c>
      <c r="C959" s="495" t="s">
        <v>91</v>
      </c>
      <c r="D959" s="497" t="s">
        <v>92</v>
      </c>
      <c r="E959" s="496" t="str">
        <f t="shared" si="42"/>
        <v>12</v>
      </c>
      <c r="F959" s="496">
        <v>25724</v>
      </c>
      <c r="G959" s="496" t="str">
        <f t="shared" si="43"/>
        <v>20382856539</v>
      </c>
    </row>
    <row r="960" spans="1:7">
      <c r="A960" s="496">
        <f t="shared" si="44"/>
        <v>959</v>
      </c>
      <c r="B960" s="496" t="s">
        <v>1046</v>
      </c>
      <c r="C960" s="495" t="s">
        <v>88</v>
      </c>
      <c r="D960" s="497" t="s">
        <v>89</v>
      </c>
      <c r="E960" s="496" t="str">
        <f t="shared" si="42"/>
        <v>11</v>
      </c>
      <c r="F960" s="496">
        <v>25720</v>
      </c>
      <c r="G960" s="496" t="str">
        <f t="shared" si="43"/>
        <v>20383045267</v>
      </c>
    </row>
    <row r="961" spans="1:7">
      <c r="A961" s="496">
        <f t="shared" si="44"/>
        <v>960</v>
      </c>
      <c r="B961" s="496" t="s">
        <v>1047</v>
      </c>
      <c r="C961" s="495" t="s">
        <v>77</v>
      </c>
      <c r="D961" s="497" t="s">
        <v>78</v>
      </c>
      <c r="E961" s="496" t="str">
        <f t="shared" si="42"/>
        <v>07</v>
      </c>
      <c r="F961" s="496">
        <v>25717</v>
      </c>
      <c r="G961" s="496" t="str">
        <f t="shared" si="43"/>
        <v>20383161330</v>
      </c>
    </row>
    <row r="962" spans="1:7">
      <c r="A962" s="496">
        <f t="shared" si="44"/>
        <v>961</v>
      </c>
      <c r="B962" s="496" t="s">
        <v>1048</v>
      </c>
      <c r="C962" s="495" t="s">
        <v>82</v>
      </c>
      <c r="D962" s="497" t="s">
        <v>83</v>
      </c>
      <c r="E962" s="496" t="str">
        <f t="shared" si="42"/>
        <v>08</v>
      </c>
      <c r="F962" s="496">
        <v>25718</v>
      </c>
      <c r="G962" s="496" t="str">
        <f t="shared" si="43"/>
        <v>20383929050</v>
      </c>
    </row>
    <row r="963" spans="1:7">
      <c r="A963" s="496">
        <f t="shared" si="44"/>
        <v>962</v>
      </c>
      <c r="B963" s="496" t="s">
        <v>1049</v>
      </c>
      <c r="C963" s="495" t="s">
        <v>91</v>
      </c>
      <c r="D963" s="497" t="s">
        <v>92</v>
      </c>
      <c r="E963" s="496" t="str">
        <f t="shared" ref="E963:E1026" si="45">IF(MID(D963,14,1)="@",MID(D963,12,2),"0"&amp;MID(D963,12,1))</f>
        <v>12</v>
      </c>
      <c r="F963" s="496">
        <v>25724</v>
      </c>
      <c r="G963" s="496" t="str">
        <f t="shared" ref="G963:G1026" si="46">CONCATENATE(B963)</f>
        <v>20384083995</v>
      </c>
    </row>
    <row r="964" spans="1:7">
      <c r="A964" s="496">
        <f t="shared" ref="A964:A1027" si="47">+A963+1</f>
        <v>963</v>
      </c>
      <c r="B964" s="496" t="s">
        <v>1050</v>
      </c>
      <c r="C964" s="495" t="s">
        <v>85</v>
      </c>
      <c r="D964" s="497" t="s">
        <v>86</v>
      </c>
      <c r="E964" s="496" t="str">
        <f t="shared" si="45"/>
        <v>09</v>
      </c>
      <c r="F964" s="496">
        <v>25719</v>
      </c>
      <c r="G964" s="496" t="str">
        <f t="shared" si="46"/>
        <v>20384377719</v>
      </c>
    </row>
    <row r="965" spans="1:7">
      <c r="A965" s="496">
        <f t="shared" si="47"/>
        <v>964</v>
      </c>
      <c r="B965" s="496" t="s">
        <v>1051</v>
      </c>
      <c r="C965" s="495" t="s">
        <v>88</v>
      </c>
      <c r="D965" s="497" t="s">
        <v>89</v>
      </c>
      <c r="E965" s="496" t="str">
        <f t="shared" si="45"/>
        <v>11</v>
      </c>
      <c r="F965" s="496">
        <v>25720</v>
      </c>
      <c r="G965" s="496" t="str">
        <f t="shared" si="46"/>
        <v>20384537007</v>
      </c>
    </row>
    <row r="966" spans="1:7">
      <c r="A966" s="496">
        <f t="shared" si="47"/>
        <v>965</v>
      </c>
      <c r="B966" s="496" t="s">
        <v>1052</v>
      </c>
      <c r="C966" s="495" t="s">
        <v>91</v>
      </c>
      <c r="D966" s="497" t="s">
        <v>92</v>
      </c>
      <c r="E966" s="496" t="str">
        <f t="shared" si="45"/>
        <v>12</v>
      </c>
      <c r="F966" s="496">
        <v>25724</v>
      </c>
      <c r="G966" s="496" t="str">
        <f t="shared" si="46"/>
        <v>20385353406</v>
      </c>
    </row>
    <row r="967" spans="1:7">
      <c r="A967" s="496">
        <f t="shared" si="47"/>
        <v>966</v>
      </c>
      <c r="B967" s="496" t="s">
        <v>1053</v>
      </c>
      <c r="C967" s="495" t="s">
        <v>77</v>
      </c>
      <c r="D967" s="497" t="s">
        <v>78</v>
      </c>
      <c r="E967" s="496" t="str">
        <f t="shared" si="45"/>
        <v>07</v>
      </c>
      <c r="F967" s="496">
        <v>25717</v>
      </c>
      <c r="G967" s="496" t="str">
        <f t="shared" si="46"/>
        <v>20386303003</v>
      </c>
    </row>
    <row r="968" spans="1:7">
      <c r="A968" s="496">
        <f t="shared" si="47"/>
        <v>967</v>
      </c>
      <c r="B968" s="496" t="s">
        <v>1054</v>
      </c>
      <c r="C968" s="495" t="s">
        <v>82</v>
      </c>
      <c r="D968" s="497" t="s">
        <v>83</v>
      </c>
      <c r="E968" s="496" t="str">
        <f t="shared" si="45"/>
        <v>08</v>
      </c>
      <c r="F968" s="496">
        <v>25718</v>
      </c>
      <c r="G968" s="496" t="str">
        <f t="shared" si="46"/>
        <v>20386367664</v>
      </c>
    </row>
    <row r="969" spans="1:7">
      <c r="A969" s="496">
        <f t="shared" si="47"/>
        <v>968</v>
      </c>
      <c r="B969" s="496" t="s">
        <v>1055</v>
      </c>
      <c r="C969" s="495" t="s">
        <v>85</v>
      </c>
      <c r="D969" s="497" t="s">
        <v>86</v>
      </c>
      <c r="E969" s="496" t="str">
        <f t="shared" si="45"/>
        <v>09</v>
      </c>
      <c r="F969" s="496">
        <v>25719</v>
      </c>
      <c r="G969" s="496" t="str">
        <f t="shared" si="46"/>
        <v>20386636070</v>
      </c>
    </row>
    <row r="970" spans="1:7">
      <c r="A970" s="496">
        <f t="shared" si="47"/>
        <v>969</v>
      </c>
      <c r="B970" s="496" t="s">
        <v>1056</v>
      </c>
      <c r="C970" s="495" t="s">
        <v>88</v>
      </c>
      <c r="D970" s="497" t="s">
        <v>89</v>
      </c>
      <c r="E970" s="496" t="str">
        <f t="shared" si="45"/>
        <v>11</v>
      </c>
      <c r="F970" s="496">
        <v>25720</v>
      </c>
      <c r="G970" s="496" t="str">
        <f t="shared" si="46"/>
        <v>20386688207</v>
      </c>
    </row>
    <row r="971" spans="1:7">
      <c r="A971" s="496">
        <f t="shared" si="47"/>
        <v>970</v>
      </c>
      <c r="B971" s="496" t="s">
        <v>1057</v>
      </c>
      <c r="C971" s="495" t="s">
        <v>91</v>
      </c>
      <c r="D971" s="497" t="s">
        <v>92</v>
      </c>
      <c r="E971" s="496" t="str">
        <f t="shared" si="45"/>
        <v>12</v>
      </c>
      <c r="F971" s="496">
        <v>25724</v>
      </c>
      <c r="G971" s="496" t="str">
        <f t="shared" si="46"/>
        <v>20386825042</v>
      </c>
    </row>
    <row r="972" spans="1:7">
      <c r="A972" s="496">
        <f t="shared" si="47"/>
        <v>971</v>
      </c>
      <c r="B972" s="496" t="s">
        <v>1058</v>
      </c>
      <c r="C972" s="495" t="s">
        <v>77</v>
      </c>
      <c r="D972" s="497" t="s">
        <v>78</v>
      </c>
      <c r="E972" s="496" t="str">
        <f t="shared" si="45"/>
        <v>07</v>
      </c>
      <c r="F972" s="496">
        <v>25717</v>
      </c>
      <c r="G972" s="496" t="str">
        <f t="shared" si="46"/>
        <v>20387297481</v>
      </c>
    </row>
    <row r="973" spans="1:7">
      <c r="A973" s="496">
        <f t="shared" si="47"/>
        <v>972</v>
      </c>
      <c r="B973" s="496" t="s">
        <v>1059</v>
      </c>
      <c r="C973" s="495" t="s">
        <v>82</v>
      </c>
      <c r="D973" s="497" t="s">
        <v>83</v>
      </c>
      <c r="E973" s="496" t="str">
        <f t="shared" si="45"/>
        <v>08</v>
      </c>
      <c r="F973" s="496">
        <v>25718</v>
      </c>
      <c r="G973" s="496" t="str">
        <f t="shared" si="46"/>
        <v>20388101971</v>
      </c>
    </row>
    <row r="974" spans="1:7">
      <c r="A974" s="496">
        <f t="shared" si="47"/>
        <v>973</v>
      </c>
      <c r="B974" s="496" t="s">
        <v>1060</v>
      </c>
      <c r="C974" s="495" t="s">
        <v>85</v>
      </c>
      <c r="D974" s="497" t="s">
        <v>86</v>
      </c>
      <c r="E974" s="496" t="str">
        <f t="shared" si="45"/>
        <v>09</v>
      </c>
      <c r="F974" s="496">
        <v>25719</v>
      </c>
      <c r="G974" s="496" t="str">
        <f t="shared" si="46"/>
        <v>20388203111</v>
      </c>
    </row>
    <row r="975" spans="1:7">
      <c r="A975" s="496">
        <f t="shared" si="47"/>
        <v>974</v>
      </c>
      <c r="B975" s="496" t="s">
        <v>1061</v>
      </c>
      <c r="C975" s="495" t="s">
        <v>88</v>
      </c>
      <c r="D975" s="497" t="s">
        <v>89</v>
      </c>
      <c r="E975" s="496" t="str">
        <f t="shared" si="45"/>
        <v>11</v>
      </c>
      <c r="F975" s="496">
        <v>25720</v>
      </c>
      <c r="G975" s="496" t="str">
        <f t="shared" si="46"/>
        <v>20388724278</v>
      </c>
    </row>
    <row r="976" spans="1:7">
      <c r="A976" s="496">
        <f t="shared" si="47"/>
        <v>975</v>
      </c>
      <c r="B976" s="496" t="s">
        <v>1062</v>
      </c>
      <c r="C976" s="495" t="s">
        <v>91</v>
      </c>
      <c r="D976" s="497" t="s">
        <v>92</v>
      </c>
      <c r="E976" s="496" t="str">
        <f t="shared" si="45"/>
        <v>12</v>
      </c>
      <c r="F976" s="496">
        <v>25724</v>
      </c>
      <c r="G976" s="496" t="str">
        <f t="shared" si="46"/>
        <v>20388738228</v>
      </c>
    </row>
    <row r="977" spans="1:7">
      <c r="A977" s="496">
        <f t="shared" si="47"/>
        <v>976</v>
      </c>
      <c r="B977" s="496" t="s">
        <v>1063</v>
      </c>
      <c r="C977" s="495" t="s">
        <v>77</v>
      </c>
      <c r="D977" s="497" t="s">
        <v>78</v>
      </c>
      <c r="E977" s="496" t="str">
        <f t="shared" si="45"/>
        <v>07</v>
      </c>
      <c r="F977" s="496">
        <v>25717</v>
      </c>
      <c r="G977" s="496" t="str">
        <f t="shared" si="46"/>
        <v>20388829452</v>
      </c>
    </row>
    <row r="978" spans="1:7">
      <c r="A978" s="496">
        <f t="shared" si="47"/>
        <v>977</v>
      </c>
      <c r="B978" s="496" t="s">
        <v>1064</v>
      </c>
      <c r="C978" s="495" t="s">
        <v>82</v>
      </c>
      <c r="D978" s="497" t="s">
        <v>83</v>
      </c>
      <c r="E978" s="496" t="str">
        <f t="shared" si="45"/>
        <v>08</v>
      </c>
      <c r="F978" s="496">
        <v>25718</v>
      </c>
      <c r="G978" s="496" t="str">
        <f t="shared" si="46"/>
        <v>20388853752</v>
      </c>
    </row>
    <row r="979" spans="1:7">
      <c r="A979" s="496">
        <f t="shared" si="47"/>
        <v>978</v>
      </c>
      <c r="B979" s="496" t="s">
        <v>1065</v>
      </c>
      <c r="C979" s="495" t="s">
        <v>77</v>
      </c>
      <c r="D979" s="497" t="s">
        <v>78</v>
      </c>
      <c r="E979" s="496" t="str">
        <f t="shared" si="45"/>
        <v>07</v>
      </c>
      <c r="F979" s="496">
        <v>25717</v>
      </c>
      <c r="G979" s="496" t="str">
        <f t="shared" si="46"/>
        <v>20389230724</v>
      </c>
    </row>
    <row r="980" spans="1:7">
      <c r="A980" s="496">
        <f t="shared" si="47"/>
        <v>979</v>
      </c>
      <c r="B980" s="496" t="s">
        <v>1066</v>
      </c>
      <c r="C980" s="495" t="s">
        <v>85</v>
      </c>
      <c r="D980" s="497" t="s">
        <v>86</v>
      </c>
      <c r="E980" s="496" t="str">
        <f t="shared" si="45"/>
        <v>09</v>
      </c>
      <c r="F980" s="496">
        <v>25719</v>
      </c>
      <c r="G980" s="496" t="str">
        <f t="shared" si="46"/>
        <v>20389748669</v>
      </c>
    </row>
    <row r="981" spans="1:7">
      <c r="A981" s="496">
        <f t="shared" si="47"/>
        <v>980</v>
      </c>
      <c r="B981" s="496" t="s">
        <v>1067</v>
      </c>
      <c r="C981" s="495" t="s">
        <v>88</v>
      </c>
      <c r="D981" s="497" t="s">
        <v>89</v>
      </c>
      <c r="E981" s="496" t="str">
        <f t="shared" si="45"/>
        <v>11</v>
      </c>
      <c r="F981" s="496">
        <v>25720</v>
      </c>
      <c r="G981" s="496" t="str">
        <f t="shared" si="46"/>
        <v>20390552794</v>
      </c>
    </row>
    <row r="982" spans="1:7">
      <c r="A982" s="496">
        <f t="shared" si="47"/>
        <v>981</v>
      </c>
      <c r="B982" s="496" t="s">
        <v>1068</v>
      </c>
      <c r="C982" s="495" t="s">
        <v>91</v>
      </c>
      <c r="D982" s="497" t="s">
        <v>92</v>
      </c>
      <c r="E982" s="496" t="str">
        <f t="shared" si="45"/>
        <v>12</v>
      </c>
      <c r="F982" s="496">
        <v>25724</v>
      </c>
      <c r="G982" s="496" t="str">
        <f t="shared" si="46"/>
        <v>20390670649</v>
      </c>
    </row>
    <row r="983" spans="1:7">
      <c r="A983" s="496">
        <f t="shared" si="47"/>
        <v>982</v>
      </c>
      <c r="B983" s="496" t="s">
        <v>1069</v>
      </c>
      <c r="C983" s="495" t="s">
        <v>82</v>
      </c>
      <c r="D983" s="497" t="s">
        <v>83</v>
      </c>
      <c r="E983" s="496" t="str">
        <f t="shared" si="45"/>
        <v>08</v>
      </c>
      <c r="F983" s="496">
        <v>25718</v>
      </c>
      <c r="G983" s="496" t="str">
        <f t="shared" si="46"/>
        <v>20390989467</v>
      </c>
    </row>
    <row r="984" spans="1:7">
      <c r="A984" s="496">
        <f t="shared" si="47"/>
        <v>983</v>
      </c>
      <c r="B984" s="496" t="s">
        <v>1070</v>
      </c>
      <c r="C984" s="495" t="s">
        <v>77</v>
      </c>
      <c r="D984" s="497" t="s">
        <v>78</v>
      </c>
      <c r="E984" s="496" t="str">
        <f t="shared" si="45"/>
        <v>07</v>
      </c>
      <c r="F984" s="496">
        <v>25717</v>
      </c>
      <c r="G984" s="496" t="str">
        <f t="shared" si="46"/>
        <v>20391166855</v>
      </c>
    </row>
    <row r="985" spans="1:7">
      <c r="A985" s="496">
        <f t="shared" si="47"/>
        <v>984</v>
      </c>
      <c r="B985" s="496" t="s">
        <v>1071</v>
      </c>
      <c r="C985" s="495" t="s">
        <v>82</v>
      </c>
      <c r="D985" s="497" t="s">
        <v>83</v>
      </c>
      <c r="E985" s="496" t="str">
        <f t="shared" si="45"/>
        <v>08</v>
      </c>
      <c r="F985" s="496">
        <v>25718</v>
      </c>
      <c r="G985" s="496" t="str">
        <f t="shared" si="46"/>
        <v>20391198897</v>
      </c>
    </row>
    <row r="986" spans="1:7">
      <c r="A986" s="496">
        <f t="shared" si="47"/>
        <v>985</v>
      </c>
      <c r="B986" s="496" t="s">
        <v>1072</v>
      </c>
      <c r="C986" s="495" t="s">
        <v>85</v>
      </c>
      <c r="D986" s="497" t="s">
        <v>86</v>
      </c>
      <c r="E986" s="496" t="str">
        <f t="shared" si="45"/>
        <v>09</v>
      </c>
      <c r="F986" s="496">
        <v>25719</v>
      </c>
      <c r="G986" s="496" t="str">
        <f t="shared" si="46"/>
        <v>20391720623</v>
      </c>
    </row>
    <row r="987" spans="1:7">
      <c r="A987" s="496">
        <f t="shared" si="47"/>
        <v>986</v>
      </c>
      <c r="B987" s="496" t="s">
        <v>1073</v>
      </c>
      <c r="C987" s="495" t="s">
        <v>88</v>
      </c>
      <c r="D987" s="497" t="s">
        <v>89</v>
      </c>
      <c r="E987" s="496" t="str">
        <f t="shared" si="45"/>
        <v>11</v>
      </c>
      <c r="F987" s="496">
        <v>25720</v>
      </c>
      <c r="G987" s="496" t="str">
        <f t="shared" si="46"/>
        <v>20392064550</v>
      </c>
    </row>
    <row r="988" spans="1:7">
      <c r="A988" s="496">
        <f t="shared" si="47"/>
        <v>987</v>
      </c>
      <c r="B988" s="496" t="s">
        <v>1074</v>
      </c>
      <c r="C988" s="495" t="s">
        <v>85</v>
      </c>
      <c r="D988" s="497" t="s">
        <v>86</v>
      </c>
      <c r="E988" s="496" t="str">
        <f t="shared" si="45"/>
        <v>09</v>
      </c>
      <c r="F988" s="496">
        <v>25719</v>
      </c>
      <c r="G988" s="496" t="str">
        <f t="shared" si="46"/>
        <v>20392709194</v>
      </c>
    </row>
    <row r="989" spans="1:7">
      <c r="A989" s="496">
        <f t="shared" si="47"/>
        <v>988</v>
      </c>
      <c r="B989" s="496" t="s">
        <v>1075</v>
      </c>
      <c r="C989" s="495" t="s">
        <v>91</v>
      </c>
      <c r="D989" s="497" t="s">
        <v>92</v>
      </c>
      <c r="E989" s="496" t="str">
        <f t="shared" si="45"/>
        <v>12</v>
      </c>
      <c r="F989" s="496">
        <v>25724</v>
      </c>
      <c r="G989" s="496" t="str">
        <f t="shared" si="46"/>
        <v>20392810316</v>
      </c>
    </row>
    <row r="990" spans="1:7">
      <c r="A990" s="496">
        <f t="shared" si="47"/>
        <v>989</v>
      </c>
      <c r="B990" s="496" t="s">
        <v>1076</v>
      </c>
      <c r="C990" s="495" t="s">
        <v>77</v>
      </c>
      <c r="D990" s="497" t="s">
        <v>78</v>
      </c>
      <c r="E990" s="496" t="str">
        <f t="shared" si="45"/>
        <v>07</v>
      </c>
      <c r="F990" s="496">
        <v>25717</v>
      </c>
      <c r="G990" s="496" t="str">
        <f t="shared" si="46"/>
        <v>20392913476</v>
      </c>
    </row>
    <row r="991" spans="1:7">
      <c r="A991" s="496">
        <f t="shared" si="47"/>
        <v>990</v>
      </c>
      <c r="B991" s="496" t="s">
        <v>1077</v>
      </c>
      <c r="C991" s="495" t="s">
        <v>82</v>
      </c>
      <c r="D991" s="497" t="s">
        <v>83</v>
      </c>
      <c r="E991" s="496" t="str">
        <f t="shared" si="45"/>
        <v>08</v>
      </c>
      <c r="F991" s="496">
        <v>25718</v>
      </c>
      <c r="G991" s="496" t="str">
        <f t="shared" si="46"/>
        <v>20399239801</v>
      </c>
    </row>
    <row r="992" spans="1:7">
      <c r="A992" s="496">
        <f t="shared" si="47"/>
        <v>991</v>
      </c>
      <c r="B992" s="496" t="s">
        <v>1078</v>
      </c>
      <c r="C992" s="495" t="s">
        <v>85</v>
      </c>
      <c r="D992" s="497" t="s">
        <v>86</v>
      </c>
      <c r="E992" s="496" t="str">
        <f t="shared" si="45"/>
        <v>09</v>
      </c>
      <c r="F992" s="496">
        <v>25719</v>
      </c>
      <c r="G992" s="496" t="str">
        <f t="shared" si="46"/>
        <v>20406288359</v>
      </c>
    </row>
    <row r="993" spans="1:7">
      <c r="A993" s="496">
        <f t="shared" si="47"/>
        <v>992</v>
      </c>
      <c r="B993" s="496" t="s">
        <v>1079</v>
      </c>
      <c r="C993" s="495" t="s">
        <v>88</v>
      </c>
      <c r="D993" s="497" t="s">
        <v>89</v>
      </c>
      <c r="E993" s="496" t="str">
        <f t="shared" si="45"/>
        <v>11</v>
      </c>
      <c r="F993" s="496">
        <v>25720</v>
      </c>
      <c r="G993" s="496" t="str">
        <f t="shared" si="46"/>
        <v>20408914397</v>
      </c>
    </row>
    <row r="994" spans="1:7">
      <c r="A994" s="496">
        <f t="shared" si="47"/>
        <v>993</v>
      </c>
      <c r="B994" s="496" t="s">
        <v>1080</v>
      </c>
      <c r="C994" s="495" t="s">
        <v>91</v>
      </c>
      <c r="D994" s="497" t="s">
        <v>92</v>
      </c>
      <c r="E994" s="496" t="str">
        <f t="shared" si="45"/>
        <v>12</v>
      </c>
      <c r="F994" s="496">
        <v>25724</v>
      </c>
      <c r="G994" s="496" t="str">
        <f t="shared" si="46"/>
        <v>20410065364</v>
      </c>
    </row>
    <row r="995" spans="1:7">
      <c r="A995" s="496">
        <f t="shared" si="47"/>
        <v>994</v>
      </c>
      <c r="B995" s="496" t="s">
        <v>1081</v>
      </c>
      <c r="C995" s="495" t="s">
        <v>77</v>
      </c>
      <c r="D995" s="497" t="s">
        <v>78</v>
      </c>
      <c r="E995" s="496" t="str">
        <f t="shared" si="45"/>
        <v>07</v>
      </c>
      <c r="F995" s="496">
        <v>25717</v>
      </c>
      <c r="G995" s="496" t="str">
        <f t="shared" si="46"/>
        <v>20411808972</v>
      </c>
    </row>
    <row r="996" spans="1:7">
      <c r="A996" s="496">
        <f t="shared" si="47"/>
        <v>995</v>
      </c>
      <c r="B996" s="496" t="s">
        <v>1082</v>
      </c>
      <c r="C996" s="495" t="s">
        <v>82</v>
      </c>
      <c r="D996" s="497" t="s">
        <v>83</v>
      </c>
      <c r="E996" s="496" t="str">
        <f t="shared" si="45"/>
        <v>08</v>
      </c>
      <c r="F996" s="496">
        <v>25718</v>
      </c>
      <c r="G996" s="496" t="str">
        <f t="shared" si="46"/>
        <v>20413940568</v>
      </c>
    </row>
    <row r="997" spans="1:7">
      <c r="A997" s="496">
        <f t="shared" si="47"/>
        <v>996</v>
      </c>
      <c r="B997" s="496" t="s">
        <v>1083</v>
      </c>
      <c r="C997" s="495" t="s">
        <v>85</v>
      </c>
      <c r="D997" s="497" t="s">
        <v>86</v>
      </c>
      <c r="E997" s="496" t="str">
        <f t="shared" si="45"/>
        <v>09</v>
      </c>
      <c r="F997" s="496">
        <v>25719</v>
      </c>
      <c r="G997" s="496" t="str">
        <f t="shared" si="46"/>
        <v>20414127046</v>
      </c>
    </row>
    <row r="998" spans="1:7">
      <c r="A998" s="496">
        <f t="shared" si="47"/>
        <v>997</v>
      </c>
      <c r="B998" s="496" t="s">
        <v>1084</v>
      </c>
      <c r="C998" s="495" t="s">
        <v>88</v>
      </c>
      <c r="D998" s="497" t="s">
        <v>89</v>
      </c>
      <c r="E998" s="496" t="str">
        <f t="shared" si="45"/>
        <v>11</v>
      </c>
      <c r="F998" s="496">
        <v>25720</v>
      </c>
      <c r="G998" s="496" t="str">
        <f t="shared" si="46"/>
        <v>20414407677</v>
      </c>
    </row>
    <row r="999" spans="1:7">
      <c r="A999" s="496">
        <f t="shared" si="47"/>
        <v>998</v>
      </c>
      <c r="B999" s="496" t="s">
        <v>1085</v>
      </c>
      <c r="C999" s="495" t="s">
        <v>91</v>
      </c>
      <c r="D999" s="497" t="s">
        <v>92</v>
      </c>
      <c r="E999" s="496" t="str">
        <f t="shared" si="45"/>
        <v>12</v>
      </c>
      <c r="F999" s="496">
        <v>25724</v>
      </c>
      <c r="G999" s="496" t="str">
        <f t="shared" si="46"/>
        <v>20414548491</v>
      </c>
    </row>
    <row r="1000" spans="1:7">
      <c r="A1000" s="496">
        <f t="shared" si="47"/>
        <v>999</v>
      </c>
      <c r="B1000" s="496" t="s">
        <v>1086</v>
      </c>
      <c r="C1000" s="495" t="s">
        <v>88</v>
      </c>
      <c r="D1000" s="497" t="s">
        <v>89</v>
      </c>
      <c r="E1000" s="496" t="str">
        <f t="shared" si="45"/>
        <v>11</v>
      </c>
      <c r="F1000" s="496">
        <v>25720</v>
      </c>
      <c r="G1000" s="496" t="str">
        <f t="shared" si="46"/>
        <v>20414671773</v>
      </c>
    </row>
    <row r="1001" spans="1:7">
      <c r="A1001" s="496">
        <f t="shared" si="47"/>
        <v>1000</v>
      </c>
      <c r="B1001" s="496" t="s">
        <v>1087</v>
      </c>
      <c r="C1001" s="495" t="s">
        <v>77</v>
      </c>
      <c r="D1001" s="497" t="s">
        <v>78</v>
      </c>
      <c r="E1001" s="496" t="str">
        <f t="shared" si="45"/>
        <v>07</v>
      </c>
      <c r="F1001" s="496">
        <v>25717</v>
      </c>
      <c r="G1001" s="496" t="str">
        <f t="shared" si="46"/>
        <v>20414679162</v>
      </c>
    </row>
    <row r="1002" spans="1:7">
      <c r="A1002" s="496">
        <f t="shared" si="47"/>
        <v>1001</v>
      </c>
      <c r="B1002" s="496" t="s">
        <v>1088</v>
      </c>
      <c r="C1002" s="495" t="s">
        <v>91</v>
      </c>
      <c r="D1002" s="497" t="s">
        <v>92</v>
      </c>
      <c r="E1002" s="496" t="str">
        <f t="shared" si="45"/>
        <v>12</v>
      </c>
      <c r="F1002" s="496">
        <v>25724</v>
      </c>
      <c r="G1002" s="496" t="str">
        <f t="shared" si="46"/>
        <v>20414989277</v>
      </c>
    </row>
    <row r="1003" spans="1:7">
      <c r="A1003" s="496">
        <f t="shared" si="47"/>
        <v>1002</v>
      </c>
      <c r="B1003" s="496" t="s">
        <v>1089</v>
      </c>
      <c r="C1003" s="495" t="s">
        <v>82</v>
      </c>
      <c r="D1003" s="497" t="s">
        <v>83</v>
      </c>
      <c r="E1003" s="496" t="str">
        <f t="shared" si="45"/>
        <v>08</v>
      </c>
      <c r="F1003" s="496">
        <v>25718</v>
      </c>
      <c r="G1003" s="496" t="str">
        <f t="shared" si="46"/>
        <v>20415077565</v>
      </c>
    </row>
    <row r="1004" spans="1:7">
      <c r="A1004" s="496">
        <f t="shared" si="47"/>
        <v>1003</v>
      </c>
      <c r="B1004" s="496" t="s">
        <v>1090</v>
      </c>
      <c r="C1004" s="495" t="s">
        <v>85</v>
      </c>
      <c r="D1004" s="497" t="s">
        <v>86</v>
      </c>
      <c r="E1004" s="496" t="str">
        <f t="shared" si="45"/>
        <v>09</v>
      </c>
      <c r="F1004" s="496">
        <v>25719</v>
      </c>
      <c r="G1004" s="496" t="str">
        <f t="shared" si="46"/>
        <v>20415090316</v>
      </c>
    </row>
    <row r="1005" spans="1:7">
      <c r="A1005" s="496">
        <f t="shared" si="47"/>
        <v>1004</v>
      </c>
      <c r="B1005" s="496" t="s">
        <v>1091</v>
      </c>
      <c r="C1005" s="495" t="s">
        <v>88</v>
      </c>
      <c r="D1005" s="497" t="s">
        <v>89</v>
      </c>
      <c r="E1005" s="496" t="str">
        <f t="shared" si="45"/>
        <v>11</v>
      </c>
      <c r="F1005" s="496">
        <v>25720</v>
      </c>
      <c r="G1005" s="496" t="str">
        <f t="shared" si="46"/>
        <v>20416162299</v>
      </c>
    </row>
    <row r="1006" spans="1:7">
      <c r="A1006" s="496">
        <f t="shared" si="47"/>
        <v>1005</v>
      </c>
      <c r="B1006" s="496" t="s">
        <v>1092</v>
      </c>
      <c r="C1006" s="495" t="s">
        <v>91</v>
      </c>
      <c r="D1006" s="497" t="s">
        <v>92</v>
      </c>
      <c r="E1006" s="496" t="str">
        <f t="shared" si="45"/>
        <v>12</v>
      </c>
      <c r="F1006" s="496">
        <v>25724</v>
      </c>
      <c r="G1006" s="496" t="str">
        <f t="shared" si="46"/>
        <v>20416191809</v>
      </c>
    </row>
    <row r="1007" spans="1:7">
      <c r="A1007" s="496">
        <f t="shared" si="47"/>
        <v>1006</v>
      </c>
      <c r="B1007" s="496" t="s">
        <v>1093</v>
      </c>
      <c r="C1007" s="495" t="s">
        <v>77</v>
      </c>
      <c r="D1007" s="497" t="s">
        <v>78</v>
      </c>
      <c r="E1007" s="496" t="str">
        <f t="shared" si="45"/>
        <v>07</v>
      </c>
      <c r="F1007" s="496">
        <v>25717</v>
      </c>
      <c r="G1007" s="496" t="str">
        <f t="shared" si="46"/>
        <v>20416976440</v>
      </c>
    </row>
    <row r="1008" spans="1:7">
      <c r="A1008" s="496">
        <f t="shared" si="47"/>
        <v>1007</v>
      </c>
      <c r="B1008" s="496" t="s">
        <v>1094</v>
      </c>
      <c r="C1008" s="495" t="s">
        <v>77</v>
      </c>
      <c r="D1008" s="497" t="s">
        <v>78</v>
      </c>
      <c r="E1008" s="496" t="str">
        <f t="shared" si="45"/>
        <v>07</v>
      </c>
      <c r="F1008" s="496">
        <v>25717</v>
      </c>
      <c r="G1008" s="496" t="str">
        <f t="shared" si="46"/>
        <v>20417378911</v>
      </c>
    </row>
    <row r="1009" spans="1:7">
      <c r="A1009" s="496">
        <f t="shared" si="47"/>
        <v>1008</v>
      </c>
      <c r="B1009" s="496" t="s">
        <v>1095</v>
      </c>
      <c r="C1009" s="495" t="s">
        <v>82</v>
      </c>
      <c r="D1009" s="497" t="s">
        <v>83</v>
      </c>
      <c r="E1009" s="496" t="str">
        <f t="shared" si="45"/>
        <v>08</v>
      </c>
      <c r="F1009" s="496">
        <v>25718</v>
      </c>
      <c r="G1009" s="496" t="str">
        <f t="shared" si="46"/>
        <v>20417573705</v>
      </c>
    </row>
    <row r="1010" spans="1:7">
      <c r="A1010" s="496">
        <f t="shared" si="47"/>
        <v>1009</v>
      </c>
      <c r="B1010" s="496" t="s">
        <v>1096</v>
      </c>
      <c r="C1010" s="495" t="s">
        <v>82</v>
      </c>
      <c r="D1010" s="497" t="s">
        <v>83</v>
      </c>
      <c r="E1010" s="496" t="str">
        <f t="shared" si="45"/>
        <v>08</v>
      </c>
      <c r="F1010" s="496">
        <v>25718</v>
      </c>
      <c r="G1010" s="496" t="str">
        <f t="shared" si="46"/>
        <v>20417926632</v>
      </c>
    </row>
    <row r="1011" spans="1:7">
      <c r="A1011" s="496">
        <f t="shared" si="47"/>
        <v>1010</v>
      </c>
      <c r="B1011" s="496" t="s">
        <v>1097</v>
      </c>
      <c r="C1011" s="495" t="s">
        <v>85</v>
      </c>
      <c r="D1011" s="497" t="s">
        <v>86</v>
      </c>
      <c r="E1011" s="496" t="str">
        <f t="shared" si="45"/>
        <v>09</v>
      </c>
      <c r="F1011" s="496">
        <v>25719</v>
      </c>
      <c r="G1011" s="496" t="str">
        <f t="shared" si="46"/>
        <v>20418108151</v>
      </c>
    </row>
    <row r="1012" spans="1:7">
      <c r="A1012" s="496">
        <f t="shared" si="47"/>
        <v>1011</v>
      </c>
      <c r="B1012" s="496" t="s">
        <v>1098</v>
      </c>
      <c r="C1012" s="495" t="s">
        <v>88</v>
      </c>
      <c r="D1012" s="497" t="s">
        <v>89</v>
      </c>
      <c r="E1012" s="496" t="str">
        <f t="shared" si="45"/>
        <v>11</v>
      </c>
      <c r="F1012" s="496">
        <v>25720</v>
      </c>
      <c r="G1012" s="496" t="str">
        <f t="shared" si="46"/>
        <v>20418118629</v>
      </c>
    </row>
    <row r="1013" spans="1:7">
      <c r="A1013" s="496">
        <f t="shared" si="47"/>
        <v>1012</v>
      </c>
      <c r="B1013" s="496" t="s">
        <v>1099</v>
      </c>
      <c r="C1013" s="495" t="s">
        <v>91</v>
      </c>
      <c r="D1013" s="497" t="s">
        <v>92</v>
      </c>
      <c r="E1013" s="496" t="str">
        <f t="shared" si="45"/>
        <v>12</v>
      </c>
      <c r="F1013" s="496">
        <v>25724</v>
      </c>
      <c r="G1013" s="496" t="str">
        <f t="shared" si="46"/>
        <v>20418140551</v>
      </c>
    </row>
    <row r="1014" spans="1:7">
      <c r="A1014" s="496">
        <f t="shared" si="47"/>
        <v>1013</v>
      </c>
      <c r="B1014" s="496" t="s">
        <v>1100</v>
      </c>
      <c r="C1014" s="495" t="s">
        <v>77</v>
      </c>
      <c r="D1014" s="497" t="s">
        <v>78</v>
      </c>
      <c r="E1014" s="496" t="str">
        <f t="shared" si="45"/>
        <v>07</v>
      </c>
      <c r="F1014" s="496">
        <v>25717</v>
      </c>
      <c r="G1014" s="496" t="str">
        <f t="shared" si="46"/>
        <v>20418217104</v>
      </c>
    </row>
    <row r="1015" spans="1:7">
      <c r="A1015" s="496">
        <f t="shared" si="47"/>
        <v>1014</v>
      </c>
      <c r="B1015" s="496" t="s">
        <v>1101</v>
      </c>
      <c r="C1015" s="495" t="s">
        <v>85</v>
      </c>
      <c r="D1015" s="497" t="s">
        <v>86</v>
      </c>
      <c r="E1015" s="496" t="str">
        <f t="shared" si="45"/>
        <v>09</v>
      </c>
      <c r="F1015" s="496">
        <v>25719</v>
      </c>
      <c r="G1015" s="496" t="str">
        <f t="shared" si="46"/>
        <v>20418453177</v>
      </c>
    </row>
    <row r="1016" spans="1:7">
      <c r="A1016" s="496">
        <f t="shared" si="47"/>
        <v>1015</v>
      </c>
      <c r="B1016" s="496" t="s">
        <v>1102</v>
      </c>
      <c r="C1016" s="495" t="s">
        <v>82</v>
      </c>
      <c r="D1016" s="497" t="s">
        <v>83</v>
      </c>
      <c r="E1016" s="496" t="str">
        <f t="shared" si="45"/>
        <v>08</v>
      </c>
      <c r="F1016" s="496">
        <v>25718</v>
      </c>
      <c r="G1016" s="496" t="str">
        <f t="shared" si="46"/>
        <v>20418835886</v>
      </c>
    </row>
    <row r="1017" spans="1:7">
      <c r="A1017" s="496">
        <f t="shared" si="47"/>
        <v>1016</v>
      </c>
      <c r="B1017" s="496" t="s">
        <v>1103</v>
      </c>
      <c r="C1017" s="495" t="s">
        <v>85</v>
      </c>
      <c r="D1017" s="497" t="s">
        <v>86</v>
      </c>
      <c r="E1017" s="496" t="str">
        <f t="shared" si="45"/>
        <v>09</v>
      </c>
      <c r="F1017" s="496">
        <v>25719</v>
      </c>
      <c r="G1017" s="496" t="str">
        <f t="shared" si="46"/>
        <v>20419020606</v>
      </c>
    </row>
    <row r="1018" spans="1:7">
      <c r="A1018" s="496">
        <f t="shared" si="47"/>
        <v>1017</v>
      </c>
      <c r="B1018" s="496" t="s">
        <v>1104</v>
      </c>
      <c r="C1018" s="495" t="s">
        <v>88</v>
      </c>
      <c r="D1018" s="497" t="s">
        <v>89</v>
      </c>
      <c r="E1018" s="496" t="str">
        <f t="shared" si="45"/>
        <v>11</v>
      </c>
      <c r="F1018" s="496">
        <v>25720</v>
      </c>
      <c r="G1018" s="496" t="str">
        <f t="shared" si="46"/>
        <v>20419195317</v>
      </c>
    </row>
    <row r="1019" spans="1:7">
      <c r="A1019" s="496">
        <f t="shared" si="47"/>
        <v>1018</v>
      </c>
      <c r="B1019" s="496" t="s">
        <v>1105</v>
      </c>
      <c r="C1019" s="495" t="s">
        <v>91</v>
      </c>
      <c r="D1019" s="497" t="s">
        <v>92</v>
      </c>
      <c r="E1019" s="496" t="str">
        <f t="shared" si="45"/>
        <v>12</v>
      </c>
      <c r="F1019" s="496">
        <v>25724</v>
      </c>
      <c r="G1019" s="496" t="str">
        <f t="shared" si="46"/>
        <v>20419269701</v>
      </c>
    </row>
    <row r="1020" spans="1:7">
      <c r="A1020" s="496">
        <f t="shared" si="47"/>
        <v>1019</v>
      </c>
      <c r="B1020" s="496" t="s">
        <v>1106</v>
      </c>
      <c r="C1020" s="495" t="s">
        <v>77</v>
      </c>
      <c r="D1020" s="497" t="s">
        <v>78</v>
      </c>
      <c r="E1020" s="496" t="str">
        <f t="shared" si="45"/>
        <v>07</v>
      </c>
      <c r="F1020" s="496">
        <v>25717</v>
      </c>
      <c r="G1020" s="496" t="str">
        <f t="shared" si="46"/>
        <v>20419323170</v>
      </c>
    </row>
    <row r="1021" spans="1:7">
      <c r="A1021" s="496">
        <f t="shared" si="47"/>
        <v>1020</v>
      </c>
      <c r="B1021" s="496" t="s">
        <v>1107</v>
      </c>
      <c r="C1021" s="495" t="s">
        <v>82</v>
      </c>
      <c r="D1021" s="497" t="s">
        <v>83</v>
      </c>
      <c r="E1021" s="496" t="str">
        <f t="shared" si="45"/>
        <v>08</v>
      </c>
      <c r="F1021" s="496">
        <v>25718</v>
      </c>
      <c r="G1021" s="496" t="str">
        <f t="shared" si="46"/>
        <v>20419451259</v>
      </c>
    </row>
    <row r="1022" spans="1:7">
      <c r="A1022" s="496">
        <f t="shared" si="47"/>
        <v>1021</v>
      </c>
      <c r="B1022" s="496" t="s">
        <v>1108</v>
      </c>
      <c r="C1022" s="495" t="s">
        <v>85</v>
      </c>
      <c r="D1022" s="497" t="s">
        <v>86</v>
      </c>
      <c r="E1022" s="496" t="str">
        <f t="shared" si="45"/>
        <v>09</v>
      </c>
      <c r="F1022" s="496">
        <v>25719</v>
      </c>
      <c r="G1022" s="496" t="str">
        <f t="shared" si="46"/>
        <v>20419772217</v>
      </c>
    </row>
    <row r="1023" spans="1:7">
      <c r="A1023" s="496">
        <f t="shared" si="47"/>
        <v>1022</v>
      </c>
      <c r="B1023" s="496" t="s">
        <v>1109</v>
      </c>
      <c r="C1023" s="495" t="s">
        <v>88</v>
      </c>
      <c r="D1023" s="497" t="s">
        <v>89</v>
      </c>
      <c r="E1023" s="496" t="str">
        <f t="shared" si="45"/>
        <v>11</v>
      </c>
      <c r="F1023" s="496">
        <v>25720</v>
      </c>
      <c r="G1023" s="496" t="str">
        <f t="shared" si="46"/>
        <v>20419908305</v>
      </c>
    </row>
    <row r="1024" spans="1:7">
      <c r="A1024" s="496">
        <f t="shared" si="47"/>
        <v>1023</v>
      </c>
      <c r="B1024" s="496" t="s">
        <v>1110</v>
      </c>
      <c r="C1024" s="495" t="s">
        <v>91</v>
      </c>
      <c r="D1024" s="497" t="s">
        <v>92</v>
      </c>
      <c r="E1024" s="496" t="str">
        <f t="shared" si="45"/>
        <v>12</v>
      </c>
      <c r="F1024" s="496">
        <v>25724</v>
      </c>
      <c r="G1024" s="496" t="str">
        <f t="shared" si="46"/>
        <v>20419960561</v>
      </c>
    </row>
    <row r="1025" spans="1:7">
      <c r="A1025" s="496">
        <f t="shared" si="47"/>
        <v>1024</v>
      </c>
      <c r="B1025" s="496" t="s">
        <v>1111</v>
      </c>
      <c r="C1025" s="495" t="s">
        <v>77</v>
      </c>
      <c r="D1025" s="497" t="s">
        <v>78</v>
      </c>
      <c r="E1025" s="496" t="str">
        <f t="shared" si="45"/>
        <v>07</v>
      </c>
      <c r="F1025" s="496">
        <v>25717</v>
      </c>
      <c r="G1025" s="496" t="str">
        <f t="shared" si="46"/>
        <v>20420680717</v>
      </c>
    </row>
    <row r="1026" spans="1:7">
      <c r="A1026" s="496">
        <f t="shared" si="47"/>
        <v>1025</v>
      </c>
      <c r="B1026" s="496" t="s">
        <v>1112</v>
      </c>
      <c r="C1026" s="495" t="s">
        <v>82</v>
      </c>
      <c r="D1026" s="497" t="s">
        <v>83</v>
      </c>
      <c r="E1026" s="496" t="str">
        <f t="shared" si="45"/>
        <v>08</v>
      </c>
      <c r="F1026" s="496">
        <v>25718</v>
      </c>
      <c r="G1026" s="496" t="str">
        <f t="shared" si="46"/>
        <v>20421526258</v>
      </c>
    </row>
    <row r="1027" spans="1:7">
      <c r="A1027" s="496">
        <f t="shared" si="47"/>
        <v>1026</v>
      </c>
      <c r="B1027" s="496" t="s">
        <v>1113</v>
      </c>
      <c r="C1027" s="495" t="s">
        <v>85</v>
      </c>
      <c r="D1027" s="497" t="s">
        <v>86</v>
      </c>
      <c r="E1027" s="496" t="str">
        <f t="shared" ref="E1027:E1090" si="48">IF(MID(D1027,14,1)="@",MID(D1027,12,2),"0"&amp;MID(D1027,12,1))</f>
        <v>09</v>
      </c>
      <c r="F1027" s="496">
        <v>25719</v>
      </c>
      <c r="G1027" s="496" t="str">
        <f t="shared" ref="G1027:G1090" si="49">CONCATENATE(B1027)</f>
        <v>20421772968</v>
      </c>
    </row>
    <row r="1028" spans="1:7">
      <c r="A1028" s="496">
        <f t="shared" ref="A1028:A1091" si="50">+A1027+1</f>
        <v>1027</v>
      </c>
      <c r="B1028" s="496" t="s">
        <v>1114</v>
      </c>
      <c r="C1028" s="495" t="s">
        <v>88</v>
      </c>
      <c r="D1028" s="497" t="s">
        <v>89</v>
      </c>
      <c r="E1028" s="496" t="str">
        <f t="shared" si="48"/>
        <v>11</v>
      </c>
      <c r="F1028" s="496">
        <v>25720</v>
      </c>
      <c r="G1028" s="496" t="str">
        <f t="shared" si="49"/>
        <v>20422023802</v>
      </c>
    </row>
    <row r="1029" spans="1:7">
      <c r="A1029" s="496">
        <f t="shared" si="50"/>
        <v>1028</v>
      </c>
      <c r="B1029" s="496" t="s">
        <v>1115</v>
      </c>
      <c r="C1029" s="495" t="s">
        <v>91</v>
      </c>
      <c r="D1029" s="497" t="s">
        <v>92</v>
      </c>
      <c r="E1029" s="496" t="str">
        <f t="shared" si="48"/>
        <v>12</v>
      </c>
      <c r="F1029" s="496">
        <v>25724</v>
      </c>
      <c r="G1029" s="496" t="str">
        <f t="shared" si="49"/>
        <v>20422102770</v>
      </c>
    </row>
    <row r="1030" spans="1:7">
      <c r="A1030" s="496">
        <f t="shared" si="50"/>
        <v>1029</v>
      </c>
      <c r="B1030" s="496" t="s">
        <v>1116</v>
      </c>
      <c r="C1030" s="495" t="s">
        <v>77</v>
      </c>
      <c r="D1030" s="497" t="s">
        <v>78</v>
      </c>
      <c r="E1030" s="496" t="str">
        <f t="shared" si="48"/>
        <v>07</v>
      </c>
      <c r="F1030" s="496">
        <v>25717</v>
      </c>
      <c r="G1030" s="496" t="str">
        <f t="shared" si="49"/>
        <v>20422107224</v>
      </c>
    </row>
    <row r="1031" spans="1:7">
      <c r="A1031" s="496">
        <f t="shared" si="50"/>
        <v>1030</v>
      </c>
      <c r="B1031" s="496" t="s">
        <v>1117</v>
      </c>
      <c r="C1031" s="495" t="s">
        <v>82</v>
      </c>
      <c r="D1031" s="497" t="s">
        <v>83</v>
      </c>
      <c r="E1031" s="496" t="str">
        <f t="shared" si="48"/>
        <v>08</v>
      </c>
      <c r="F1031" s="496">
        <v>25718</v>
      </c>
      <c r="G1031" s="496" t="str">
        <f t="shared" si="49"/>
        <v>20422488198</v>
      </c>
    </row>
    <row r="1032" spans="1:7">
      <c r="A1032" s="496">
        <f t="shared" si="50"/>
        <v>1031</v>
      </c>
      <c r="B1032" s="496" t="s">
        <v>1118</v>
      </c>
      <c r="C1032" s="495" t="s">
        <v>85</v>
      </c>
      <c r="D1032" s="497" t="s">
        <v>86</v>
      </c>
      <c r="E1032" s="496" t="str">
        <f t="shared" si="48"/>
        <v>09</v>
      </c>
      <c r="F1032" s="496">
        <v>25719</v>
      </c>
      <c r="G1032" s="496" t="str">
        <f t="shared" si="49"/>
        <v>20422626175</v>
      </c>
    </row>
    <row r="1033" spans="1:7">
      <c r="A1033" s="496">
        <f t="shared" si="50"/>
        <v>1032</v>
      </c>
      <c r="B1033" s="496" t="s">
        <v>1119</v>
      </c>
      <c r="C1033" s="495" t="s">
        <v>88</v>
      </c>
      <c r="D1033" s="497" t="s">
        <v>89</v>
      </c>
      <c r="E1033" s="496" t="str">
        <f t="shared" si="48"/>
        <v>11</v>
      </c>
      <c r="F1033" s="496">
        <v>25720</v>
      </c>
      <c r="G1033" s="496" t="str">
        <f t="shared" si="49"/>
        <v>20423264617</v>
      </c>
    </row>
    <row r="1034" spans="1:7">
      <c r="A1034" s="496">
        <f t="shared" si="50"/>
        <v>1033</v>
      </c>
      <c r="B1034" s="496" t="s">
        <v>1120</v>
      </c>
      <c r="C1034" s="495" t="s">
        <v>91</v>
      </c>
      <c r="D1034" s="497" t="s">
        <v>92</v>
      </c>
      <c r="E1034" s="496" t="str">
        <f t="shared" si="48"/>
        <v>12</v>
      </c>
      <c r="F1034" s="496">
        <v>25724</v>
      </c>
      <c r="G1034" s="496" t="str">
        <f t="shared" si="49"/>
        <v>20423637405</v>
      </c>
    </row>
    <row r="1035" spans="1:7">
      <c r="A1035" s="496">
        <f t="shared" si="50"/>
        <v>1034</v>
      </c>
      <c r="B1035" s="496" t="s">
        <v>1121</v>
      </c>
      <c r="C1035" s="495" t="s">
        <v>77</v>
      </c>
      <c r="D1035" s="497" t="s">
        <v>78</v>
      </c>
      <c r="E1035" s="496" t="str">
        <f t="shared" si="48"/>
        <v>07</v>
      </c>
      <c r="F1035" s="496">
        <v>25717</v>
      </c>
      <c r="G1035" s="496" t="str">
        <f t="shared" si="49"/>
        <v>20423925028</v>
      </c>
    </row>
    <row r="1036" spans="1:7">
      <c r="A1036" s="496">
        <f t="shared" si="50"/>
        <v>1035</v>
      </c>
      <c r="B1036" s="496" t="s">
        <v>1122</v>
      </c>
      <c r="C1036" s="495" t="s">
        <v>82</v>
      </c>
      <c r="D1036" s="497" t="s">
        <v>83</v>
      </c>
      <c r="E1036" s="496" t="str">
        <f t="shared" si="48"/>
        <v>08</v>
      </c>
      <c r="F1036" s="496">
        <v>25718</v>
      </c>
      <c r="G1036" s="496" t="str">
        <f t="shared" si="49"/>
        <v>20424044203</v>
      </c>
    </row>
    <row r="1037" spans="1:7">
      <c r="A1037" s="496">
        <f t="shared" si="50"/>
        <v>1036</v>
      </c>
      <c r="B1037" s="496" t="s">
        <v>1123</v>
      </c>
      <c r="C1037" s="495" t="s">
        <v>85</v>
      </c>
      <c r="D1037" s="497" t="s">
        <v>86</v>
      </c>
      <c r="E1037" s="496" t="str">
        <f t="shared" si="48"/>
        <v>09</v>
      </c>
      <c r="F1037" s="496">
        <v>25719</v>
      </c>
      <c r="G1037" s="496" t="str">
        <f t="shared" si="49"/>
        <v>20424721400</v>
      </c>
    </row>
    <row r="1038" spans="1:7">
      <c r="A1038" s="496">
        <f t="shared" si="50"/>
        <v>1037</v>
      </c>
      <c r="B1038" s="496" t="s">
        <v>1124</v>
      </c>
      <c r="C1038" s="495" t="s">
        <v>88</v>
      </c>
      <c r="D1038" s="497" t="s">
        <v>89</v>
      </c>
      <c r="E1038" s="496" t="str">
        <f t="shared" si="48"/>
        <v>11</v>
      </c>
      <c r="F1038" s="496">
        <v>25720</v>
      </c>
      <c r="G1038" s="496" t="str">
        <f t="shared" si="49"/>
        <v>20425123115</v>
      </c>
    </row>
    <row r="1039" spans="1:7">
      <c r="A1039" s="496">
        <f t="shared" si="50"/>
        <v>1038</v>
      </c>
      <c r="B1039" s="496" t="s">
        <v>1125</v>
      </c>
      <c r="C1039" s="495" t="s">
        <v>91</v>
      </c>
      <c r="D1039" s="497" t="s">
        <v>92</v>
      </c>
      <c r="E1039" s="496" t="str">
        <f t="shared" si="48"/>
        <v>12</v>
      </c>
      <c r="F1039" s="496">
        <v>25724</v>
      </c>
      <c r="G1039" s="496" t="str">
        <f t="shared" si="49"/>
        <v>20425252608</v>
      </c>
    </row>
    <row r="1040" spans="1:7">
      <c r="A1040" s="496">
        <f t="shared" si="50"/>
        <v>1039</v>
      </c>
      <c r="B1040" s="496" t="s">
        <v>1126</v>
      </c>
      <c r="C1040" s="495" t="s">
        <v>77</v>
      </c>
      <c r="D1040" s="497" t="s">
        <v>78</v>
      </c>
      <c r="E1040" s="496" t="str">
        <f t="shared" si="48"/>
        <v>07</v>
      </c>
      <c r="F1040" s="496">
        <v>25717</v>
      </c>
      <c r="G1040" s="496" t="str">
        <f t="shared" si="49"/>
        <v>20425481038</v>
      </c>
    </row>
    <row r="1041" spans="1:7">
      <c r="A1041" s="496">
        <f t="shared" si="50"/>
        <v>1040</v>
      </c>
      <c r="B1041" s="496" t="s">
        <v>1127</v>
      </c>
      <c r="C1041" s="495" t="s">
        <v>82</v>
      </c>
      <c r="D1041" s="497" t="s">
        <v>83</v>
      </c>
      <c r="E1041" s="496" t="str">
        <f t="shared" si="48"/>
        <v>08</v>
      </c>
      <c r="F1041" s="496">
        <v>25718</v>
      </c>
      <c r="G1041" s="496" t="str">
        <f t="shared" si="49"/>
        <v>20425802870</v>
      </c>
    </row>
    <row r="1042" spans="1:7">
      <c r="A1042" s="496">
        <f t="shared" si="50"/>
        <v>1041</v>
      </c>
      <c r="B1042" s="496" t="s">
        <v>1128</v>
      </c>
      <c r="C1042" s="495" t="s">
        <v>85</v>
      </c>
      <c r="D1042" s="497" t="s">
        <v>86</v>
      </c>
      <c r="E1042" s="496" t="str">
        <f t="shared" si="48"/>
        <v>09</v>
      </c>
      <c r="F1042" s="496">
        <v>25719</v>
      </c>
      <c r="G1042" s="496" t="str">
        <f t="shared" si="49"/>
        <v>20427311296</v>
      </c>
    </row>
    <row r="1043" spans="1:7">
      <c r="A1043" s="496">
        <f t="shared" si="50"/>
        <v>1042</v>
      </c>
      <c r="B1043" s="496" t="s">
        <v>1129</v>
      </c>
      <c r="C1043" s="495" t="s">
        <v>88</v>
      </c>
      <c r="D1043" s="497" t="s">
        <v>89</v>
      </c>
      <c r="E1043" s="496" t="str">
        <f t="shared" si="48"/>
        <v>11</v>
      </c>
      <c r="F1043" s="496">
        <v>25720</v>
      </c>
      <c r="G1043" s="496" t="str">
        <f t="shared" si="49"/>
        <v>20427312187</v>
      </c>
    </row>
    <row r="1044" spans="1:7">
      <c r="A1044" s="496">
        <f t="shared" si="50"/>
        <v>1043</v>
      </c>
      <c r="B1044" s="496" t="s">
        <v>1130</v>
      </c>
      <c r="C1044" s="495" t="s">
        <v>91</v>
      </c>
      <c r="D1044" s="497" t="s">
        <v>92</v>
      </c>
      <c r="E1044" s="496" t="str">
        <f t="shared" si="48"/>
        <v>12</v>
      </c>
      <c r="F1044" s="496">
        <v>25724</v>
      </c>
      <c r="G1044" s="496" t="str">
        <f t="shared" si="49"/>
        <v>20427481370</v>
      </c>
    </row>
    <row r="1045" spans="1:7">
      <c r="A1045" s="496">
        <f t="shared" si="50"/>
        <v>1044</v>
      </c>
      <c r="B1045" s="496" t="s">
        <v>1131</v>
      </c>
      <c r="C1045" s="495" t="s">
        <v>77</v>
      </c>
      <c r="D1045" s="497" t="s">
        <v>78</v>
      </c>
      <c r="E1045" s="496" t="str">
        <f t="shared" si="48"/>
        <v>07</v>
      </c>
      <c r="F1045" s="496">
        <v>25717</v>
      </c>
      <c r="G1045" s="496" t="str">
        <f t="shared" si="49"/>
        <v>20427497888</v>
      </c>
    </row>
    <row r="1046" spans="1:7">
      <c r="A1046" s="496">
        <f t="shared" si="50"/>
        <v>1045</v>
      </c>
      <c r="B1046" s="496" t="s">
        <v>1132</v>
      </c>
      <c r="C1046" s="495" t="s">
        <v>82</v>
      </c>
      <c r="D1046" s="497" t="s">
        <v>83</v>
      </c>
      <c r="E1046" s="496" t="str">
        <f t="shared" si="48"/>
        <v>08</v>
      </c>
      <c r="F1046" s="496">
        <v>25718</v>
      </c>
      <c r="G1046" s="496" t="str">
        <f t="shared" si="49"/>
        <v>20427801625</v>
      </c>
    </row>
    <row r="1047" spans="1:7">
      <c r="A1047" s="496">
        <f t="shared" si="50"/>
        <v>1046</v>
      </c>
      <c r="B1047" s="496" t="s">
        <v>1133</v>
      </c>
      <c r="C1047" s="495" t="s">
        <v>85</v>
      </c>
      <c r="D1047" s="497" t="s">
        <v>86</v>
      </c>
      <c r="E1047" s="496" t="str">
        <f t="shared" si="48"/>
        <v>09</v>
      </c>
      <c r="F1047" s="496">
        <v>25719</v>
      </c>
      <c r="G1047" s="496" t="str">
        <f t="shared" si="49"/>
        <v>20427862331</v>
      </c>
    </row>
    <row r="1048" spans="1:7">
      <c r="A1048" s="496">
        <f t="shared" si="50"/>
        <v>1047</v>
      </c>
      <c r="B1048" s="496" t="s">
        <v>1134</v>
      </c>
      <c r="C1048" s="495" t="s">
        <v>88</v>
      </c>
      <c r="D1048" s="497" t="s">
        <v>89</v>
      </c>
      <c r="E1048" s="496" t="str">
        <f t="shared" si="48"/>
        <v>11</v>
      </c>
      <c r="F1048" s="496">
        <v>25720</v>
      </c>
      <c r="G1048" s="496" t="str">
        <f t="shared" si="49"/>
        <v>20427896740</v>
      </c>
    </row>
    <row r="1049" spans="1:7">
      <c r="A1049" s="496">
        <f t="shared" si="50"/>
        <v>1048</v>
      </c>
      <c r="B1049" s="496" t="s">
        <v>1135</v>
      </c>
      <c r="C1049" s="495" t="s">
        <v>91</v>
      </c>
      <c r="D1049" s="497" t="s">
        <v>92</v>
      </c>
      <c r="E1049" s="496" t="str">
        <f t="shared" si="48"/>
        <v>12</v>
      </c>
      <c r="F1049" s="496">
        <v>25724</v>
      </c>
      <c r="G1049" s="496" t="str">
        <f t="shared" si="49"/>
        <v>20427919111</v>
      </c>
    </row>
    <row r="1050" spans="1:7">
      <c r="A1050" s="496">
        <f t="shared" si="50"/>
        <v>1049</v>
      </c>
      <c r="B1050" s="496" t="s">
        <v>1136</v>
      </c>
      <c r="C1050" s="495" t="s">
        <v>77</v>
      </c>
      <c r="D1050" s="497" t="s">
        <v>78</v>
      </c>
      <c r="E1050" s="496" t="str">
        <f t="shared" si="48"/>
        <v>07</v>
      </c>
      <c r="F1050" s="496">
        <v>25717</v>
      </c>
      <c r="G1050" s="496" t="str">
        <f t="shared" si="49"/>
        <v>20427994911</v>
      </c>
    </row>
    <row r="1051" spans="1:7">
      <c r="A1051" s="496">
        <f t="shared" si="50"/>
        <v>1050</v>
      </c>
      <c r="B1051" s="496" t="s">
        <v>1137</v>
      </c>
      <c r="C1051" s="495" t="s">
        <v>82</v>
      </c>
      <c r="D1051" s="497" t="s">
        <v>83</v>
      </c>
      <c r="E1051" s="496" t="str">
        <f t="shared" si="48"/>
        <v>08</v>
      </c>
      <c r="F1051" s="496">
        <v>25718</v>
      </c>
      <c r="G1051" s="496" t="str">
        <f t="shared" si="49"/>
        <v>20428500475</v>
      </c>
    </row>
    <row r="1052" spans="1:7">
      <c r="A1052" s="496">
        <f t="shared" si="50"/>
        <v>1051</v>
      </c>
      <c r="B1052" s="496" t="s">
        <v>1138</v>
      </c>
      <c r="C1052" s="495" t="s">
        <v>85</v>
      </c>
      <c r="D1052" s="497" t="s">
        <v>86</v>
      </c>
      <c r="E1052" s="496" t="str">
        <f t="shared" si="48"/>
        <v>09</v>
      </c>
      <c r="F1052" s="496">
        <v>25719</v>
      </c>
      <c r="G1052" s="496" t="str">
        <f t="shared" si="49"/>
        <v>20429050546</v>
      </c>
    </row>
    <row r="1053" spans="1:7">
      <c r="A1053" s="496">
        <f t="shared" si="50"/>
        <v>1052</v>
      </c>
      <c r="B1053" s="496" t="s">
        <v>1139</v>
      </c>
      <c r="C1053" s="495" t="s">
        <v>88</v>
      </c>
      <c r="D1053" s="497" t="s">
        <v>89</v>
      </c>
      <c r="E1053" s="496" t="str">
        <f t="shared" si="48"/>
        <v>11</v>
      </c>
      <c r="F1053" s="496">
        <v>25720</v>
      </c>
      <c r="G1053" s="496" t="str">
        <f t="shared" si="49"/>
        <v>20429634882</v>
      </c>
    </row>
    <row r="1054" spans="1:7">
      <c r="A1054" s="496">
        <f t="shared" si="50"/>
        <v>1053</v>
      </c>
      <c r="B1054" s="496" t="s">
        <v>1140</v>
      </c>
      <c r="C1054" s="495" t="s">
        <v>88</v>
      </c>
      <c r="D1054" s="497" t="s">
        <v>89</v>
      </c>
      <c r="E1054" s="496" t="str">
        <f t="shared" si="48"/>
        <v>11</v>
      </c>
      <c r="F1054" s="496">
        <v>25720</v>
      </c>
      <c r="G1054" s="496" t="str">
        <f t="shared" si="49"/>
        <v>20430500521</v>
      </c>
    </row>
    <row r="1055" spans="1:7">
      <c r="A1055" s="496">
        <f t="shared" si="50"/>
        <v>1054</v>
      </c>
      <c r="B1055" s="496" t="s">
        <v>1141</v>
      </c>
      <c r="C1055" s="495" t="s">
        <v>91</v>
      </c>
      <c r="D1055" s="497" t="s">
        <v>92</v>
      </c>
      <c r="E1055" s="496" t="str">
        <f t="shared" si="48"/>
        <v>12</v>
      </c>
      <c r="F1055" s="496">
        <v>25724</v>
      </c>
      <c r="G1055" s="496" t="str">
        <f t="shared" si="49"/>
        <v>20430725441</v>
      </c>
    </row>
    <row r="1056" spans="1:7">
      <c r="A1056" s="496">
        <f t="shared" si="50"/>
        <v>1055</v>
      </c>
      <c r="B1056" s="496" t="s">
        <v>1142</v>
      </c>
      <c r="C1056" s="495" t="s">
        <v>77</v>
      </c>
      <c r="D1056" s="497" t="s">
        <v>78</v>
      </c>
      <c r="E1056" s="496" t="str">
        <f t="shared" si="48"/>
        <v>07</v>
      </c>
      <c r="F1056" s="496">
        <v>25717</v>
      </c>
      <c r="G1056" s="496" t="str">
        <f t="shared" si="49"/>
        <v>20430772873</v>
      </c>
    </row>
    <row r="1057" spans="1:7">
      <c r="A1057" s="496">
        <f t="shared" si="50"/>
        <v>1056</v>
      </c>
      <c r="B1057" s="496" t="s">
        <v>1143</v>
      </c>
      <c r="C1057" s="495" t="s">
        <v>82</v>
      </c>
      <c r="D1057" s="497" t="s">
        <v>83</v>
      </c>
      <c r="E1057" s="496" t="str">
        <f t="shared" si="48"/>
        <v>08</v>
      </c>
      <c r="F1057" s="496">
        <v>25718</v>
      </c>
      <c r="G1057" s="496" t="str">
        <f t="shared" si="49"/>
        <v>20431534046</v>
      </c>
    </row>
    <row r="1058" spans="1:7">
      <c r="A1058" s="496">
        <f t="shared" si="50"/>
        <v>1057</v>
      </c>
      <c r="B1058" s="496" t="s">
        <v>1144</v>
      </c>
      <c r="C1058" s="495" t="s">
        <v>91</v>
      </c>
      <c r="D1058" s="497" t="s">
        <v>92</v>
      </c>
      <c r="E1058" s="496" t="str">
        <f t="shared" si="48"/>
        <v>12</v>
      </c>
      <c r="F1058" s="496">
        <v>25724</v>
      </c>
      <c r="G1058" s="496" t="str">
        <f t="shared" si="49"/>
        <v>20431871808</v>
      </c>
    </row>
    <row r="1059" spans="1:7">
      <c r="A1059" s="496">
        <f t="shared" si="50"/>
        <v>1058</v>
      </c>
      <c r="B1059" s="496" t="s">
        <v>1145</v>
      </c>
      <c r="C1059" s="495" t="s">
        <v>85</v>
      </c>
      <c r="D1059" s="497" t="s">
        <v>86</v>
      </c>
      <c r="E1059" s="496" t="str">
        <f t="shared" si="48"/>
        <v>09</v>
      </c>
      <c r="F1059" s="496">
        <v>25719</v>
      </c>
      <c r="G1059" s="496" t="str">
        <f t="shared" si="49"/>
        <v>20431991960</v>
      </c>
    </row>
    <row r="1060" spans="1:7">
      <c r="A1060" s="496">
        <f t="shared" si="50"/>
        <v>1059</v>
      </c>
      <c r="B1060" s="496" t="s">
        <v>1146</v>
      </c>
      <c r="C1060" s="495" t="s">
        <v>88</v>
      </c>
      <c r="D1060" s="497" t="s">
        <v>89</v>
      </c>
      <c r="E1060" s="496" t="str">
        <f t="shared" si="48"/>
        <v>11</v>
      </c>
      <c r="F1060" s="496">
        <v>25720</v>
      </c>
      <c r="G1060" s="496" t="str">
        <f t="shared" si="49"/>
        <v>20432592961</v>
      </c>
    </row>
    <row r="1061" spans="1:7">
      <c r="A1061" s="496">
        <f t="shared" si="50"/>
        <v>1060</v>
      </c>
      <c r="B1061" s="496" t="s">
        <v>1147</v>
      </c>
      <c r="C1061" s="495" t="s">
        <v>91</v>
      </c>
      <c r="D1061" s="497" t="s">
        <v>92</v>
      </c>
      <c r="E1061" s="496" t="str">
        <f t="shared" si="48"/>
        <v>12</v>
      </c>
      <c r="F1061" s="496">
        <v>25724</v>
      </c>
      <c r="G1061" s="496" t="str">
        <f t="shared" si="49"/>
        <v>20432747833</v>
      </c>
    </row>
    <row r="1062" spans="1:7">
      <c r="A1062" s="496">
        <f t="shared" si="50"/>
        <v>1061</v>
      </c>
      <c r="B1062" s="496" t="s">
        <v>1148</v>
      </c>
      <c r="C1062" s="495" t="s">
        <v>77</v>
      </c>
      <c r="D1062" s="497" t="s">
        <v>78</v>
      </c>
      <c r="E1062" s="496" t="str">
        <f t="shared" si="48"/>
        <v>07</v>
      </c>
      <c r="F1062" s="496">
        <v>25717</v>
      </c>
      <c r="G1062" s="496" t="str">
        <f t="shared" si="49"/>
        <v>20433359870</v>
      </c>
    </row>
    <row r="1063" spans="1:7">
      <c r="A1063" s="496">
        <f t="shared" si="50"/>
        <v>1062</v>
      </c>
      <c r="B1063" s="496" t="s">
        <v>1149</v>
      </c>
      <c r="C1063" s="495" t="s">
        <v>82</v>
      </c>
      <c r="D1063" s="497" t="s">
        <v>83</v>
      </c>
      <c r="E1063" s="496" t="str">
        <f t="shared" si="48"/>
        <v>08</v>
      </c>
      <c r="F1063" s="496">
        <v>25718</v>
      </c>
      <c r="G1063" s="496" t="str">
        <f t="shared" si="49"/>
        <v>20433469039</v>
      </c>
    </row>
    <row r="1064" spans="1:7">
      <c r="A1064" s="496">
        <f t="shared" si="50"/>
        <v>1063</v>
      </c>
      <c r="B1064" s="496" t="s">
        <v>1150</v>
      </c>
      <c r="C1064" s="495" t="s">
        <v>85</v>
      </c>
      <c r="D1064" s="497" t="s">
        <v>86</v>
      </c>
      <c r="E1064" s="496" t="str">
        <f t="shared" si="48"/>
        <v>09</v>
      </c>
      <c r="F1064" s="496">
        <v>25719</v>
      </c>
      <c r="G1064" s="496" t="str">
        <f t="shared" si="49"/>
        <v>20433661495</v>
      </c>
    </row>
    <row r="1065" spans="1:7">
      <c r="A1065" s="496">
        <f t="shared" si="50"/>
        <v>1064</v>
      </c>
      <c r="B1065" s="496" t="s">
        <v>1151</v>
      </c>
      <c r="C1065" s="495" t="s">
        <v>88</v>
      </c>
      <c r="D1065" s="497" t="s">
        <v>89</v>
      </c>
      <c r="E1065" s="496" t="str">
        <f t="shared" si="48"/>
        <v>11</v>
      </c>
      <c r="F1065" s="496">
        <v>25720</v>
      </c>
      <c r="G1065" s="496" t="str">
        <f t="shared" si="49"/>
        <v>20434384410</v>
      </c>
    </row>
    <row r="1066" spans="1:7">
      <c r="A1066" s="496">
        <f t="shared" si="50"/>
        <v>1065</v>
      </c>
      <c r="B1066" s="496" t="s">
        <v>1152</v>
      </c>
      <c r="C1066" s="495" t="s">
        <v>91</v>
      </c>
      <c r="D1066" s="497" t="s">
        <v>92</v>
      </c>
      <c r="E1066" s="496" t="str">
        <f t="shared" si="48"/>
        <v>12</v>
      </c>
      <c r="F1066" s="496">
        <v>25724</v>
      </c>
      <c r="G1066" s="496" t="str">
        <f t="shared" si="49"/>
        <v>20440256474</v>
      </c>
    </row>
    <row r="1067" spans="1:7">
      <c r="A1067" s="496">
        <f t="shared" si="50"/>
        <v>1066</v>
      </c>
      <c r="B1067" s="496" t="s">
        <v>1153</v>
      </c>
      <c r="C1067" s="495" t="s">
        <v>77</v>
      </c>
      <c r="D1067" s="497" t="s">
        <v>78</v>
      </c>
      <c r="E1067" s="496" t="str">
        <f t="shared" si="48"/>
        <v>07</v>
      </c>
      <c r="F1067" s="496">
        <v>25717</v>
      </c>
      <c r="G1067" s="496" t="str">
        <f t="shared" si="49"/>
        <v>20440815716</v>
      </c>
    </row>
    <row r="1068" spans="1:7">
      <c r="A1068" s="496">
        <f t="shared" si="50"/>
        <v>1067</v>
      </c>
      <c r="B1068" s="496" t="s">
        <v>1154</v>
      </c>
      <c r="C1068" s="495" t="s">
        <v>77</v>
      </c>
      <c r="D1068" s="497" t="s">
        <v>78</v>
      </c>
      <c r="E1068" s="496" t="str">
        <f t="shared" si="48"/>
        <v>07</v>
      </c>
      <c r="F1068" s="496">
        <v>25717</v>
      </c>
      <c r="G1068" s="496" t="str">
        <f t="shared" si="49"/>
        <v>20441938846</v>
      </c>
    </row>
    <row r="1069" spans="1:7">
      <c r="A1069" s="496">
        <f t="shared" si="50"/>
        <v>1068</v>
      </c>
      <c r="B1069" s="496" t="s">
        <v>1155</v>
      </c>
      <c r="C1069" s="495" t="s">
        <v>82</v>
      </c>
      <c r="D1069" s="497" t="s">
        <v>83</v>
      </c>
      <c r="E1069" s="496" t="str">
        <f t="shared" si="48"/>
        <v>08</v>
      </c>
      <c r="F1069" s="496">
        <v>25718</v>
      </c>
      <c r="G1069" s="496" t="str">
        <f t="shared" si="49"/>
        <v>20447466547</v>
      </c>
    </row>
    <row r="1070" spans="1:7">
      <c r="A1070" s="496">
        <f t="shared" si="50"/>
        <v>1069</v>
      </c>
      <c r="B1070" s="496" t="s">
        <v>1156</v>
      </c>
      <c r="C1070" s="495" t="s">
        <v>85</v>
      </c>
      <c r="D1070" s="497" t="s">
        <v>86</v>
      </c>
      <c r="E1070" s="496" t="str">
        <f t="shared" si="48"/>
        <v>09</v>
      </c>
      <c r="F1070" s="496">
        <v>25719</v>
      </c>
      <c r="G1070" s="496" t="str">
        <f t="shared" si="49"/>
        <v>20447543631</v>
      </c>
    </row>
    <row r="1071" spans="1:7">
      <c r="A1071" s="496">
        <f t="shared" si="50"/>
        <v>1070</v>
      </c>
      <c r="B1071" s="496" t="s">
        <v>1157</v>
      </c>
      <c r="C1071" s="495" t="s">
        <v>82</v>
      </c>
      <c r="D1071" s="497" t="s">
        <v>83</v>
      </c>
      <c r="E1071" s="496" t="str">
        <f t="shared" si="48"/>
        <v>08</v>
      </c>
      <c r="F1071" s="496">
        <v>25718</v>
      </c>
      <c r="G1071" s="496" t="str">
        <f t="shared" si="49"/>
        <v>20451770099</v>
      </c>
    </row>
    <row r="1072" spans="1:7">
      <c r="A1072" s="496">
        <f t="shared" si="50"/>
        <v>1071</v>
      </c>
      <c r="B1072" s="496" t="s">
        <v>1158</v>
      </c>
      <c r="C1072" s="495" t="s">
        <v>88</v>
      </c>
      <c r="D1072" s="497" t="s">
        <v>89</v>
      </c>
      <c r="E1072" s="496" t="str">
        <f t="shared" si="48"/>
        <v>11</v>
      </c>
      <c r="F1072" s="496">
        <v>25720</v>
      </c>
      <c r="G1072" s="496" t="str">
        <f t="shared" si="49"/>
        <v>20451779711</v>
      </c>
    </row>
    <row r="1073" spans="1:7">
      <c r="A1073" s="496">
        <f t="shared" si="50"/>
        <v>1072</v>
      </c>
      <c r="B1073" s="496" t="s">
        <v>1159</v>
      </c>
      <c r="C1073" s="495" t="s">
        <v>91</v>
      </c>
      <c r="D1073" s="497" t="s">
        <v>92</v>
      </c>
      <c r="E1073" s="496" t="str">
        <f t="shared" si="48"/>
        <v>12</v>
      </c>
      <c r="F1073" s="496">
        <v>25724</v>
      </c>
      <c r="G1073" s="496" t="str">
        <f t="shared" si="49"/>
        <v>20452239818</v>
      </c>
    </row>
    <row r="1074" spans="1:7">
      <c r="A1074" s="496">
        <f t="shared" si="50"/>
        <v>1073</v>
      </c>
      <c r="B1074" s="496" t="s">
        <v>1160</v>
      </c>
      <c r="C1074" s="495" t="s">
        <v>77</v>
      </c>
      <c r="D1074" s="497" t="s">
        <v>78</v>
      </c>
      <c r="E1074" s="496" t="str">
        <f t="shared" si="48"/>
        <v>07</v>
      </c>
      <c r="F1074" s="496">
        <v>25717</v>
      </c>
      <c r="G1074" s="496" t="str">
        <f t="shared" si="49"/>
        <v>20452927625</v>
      </c>
    </row>
    <row r="1075" spans="1:7">
      <c r="A1075" s="496">
        <f t="shared" si="50"/>
        <v>1074</v>
      </c>
      <c r="B1075" s="496" t="s">
        <v>1161</v>
      </c>
      <c r="C1075" s="495" t="s">
        <v>85</v>
      </c>
      <c r="D1075" s="497" t="s">
        <v>86</v>
      </c>
      <c r="E1075" s="496" t="str">
        <f t="shared" si="48"/>
        <v>09</v>
      </c>
      <c r="F1075" s="496">
        <v>25719</v>
      </c>
      <c r="G1075" s="496" t="str">
        <f t="shared" si="49"/>
        <v>20454073143</v>
      </c>
    </row>
    <row r="1076" spans="1:7">
      <c r="A1076" s="496">
        <f t="shared" si="50"/>
        <v>1075</v>
      </c>
      <c r="B1076" s="496" t="s">
        <v>1162</v>
      </c>
      <c r="C1076" s="495" t="s">
        <v>82</v>
      </c>
      <c r="D1076" s="497" t="s">
        <v>83</v>
      </c>
      <c r="E1076" s="496" t="str">
        <f t="shared" si="48"/>
        <v>08</v>
      </c>
      <c r="F1076" s="496">
        <v>25718</v>
      </c>
      <c r="G1076" s="496" t="str">
        <f t="shared" si="49"/>
        <v>20454509707</v>
      </c>
    </row>
    <row r="1077" spans="1:7">
      <c r="A1077" s="496">
        <f t="shared" si="50"/>
        <v>1076</v>
      </c>
      <c r="B1077" s="496" t="s">
        <v>1163</v>
      </c>
      <c r="C1077" s="495" t="s">
        <v>85</v>
      </c>
      <c r="D1077" s="497" t="s">
        <v>86</v>
      </c>
      <c r="E1077" s="496" t="str">
        <f t="shared" si="48"/>
        <v>09</v>
      </c>
      <c r="F1077" s="496">
        <v>25719</v>
      </c>
      <c r="G1077" s="496" t="str">
        <f t="shared" si="49"/>
        <v>20454531036</v>
      </c>
    </row>
    <row r="1078" spans="1:7">
      <c r="A1078" s="496">
        <f t="shared" si="50"/>
        <v>1077</v>
      </c>
      <c r="B1078" s="496" t="s">
        <v>1164</v>
      </c>
      <c r="C1078" s="495" t="s">
        <v>88</v>
      </c>
      <c r="D1078" s="497" t="s">
        <v>89</v>
      </c>
      <c r="E1078" s="496" t="str">
        <f t="shared" si="48"/>
        <v>11</v>
      </c>
      <c r="F1078" s="496">
        <v>25720</v>
      </c>
      <c r="G1078" s="496" t="str">
        <f t="shared" si="49"/>
        <v>20455072540</v>
      </c>
    </row>
    <row r="1079" spans="1:7">
      <c r="A1079" s="496">
        <f t="shared" si="50"/>
        <v>1078</v>
      </c>
      <c r="B1079" s="496" t="s">
        <v>1165</v>
      </c>
      <c r="C1079" s="495" t="s">
        <v>91</v>
      </c>
      <c r="D1079" s="497" t="s">
        <v>92</v>
      </c>
      <c r="E1079" s="496" t="str">
        <f t="shared" si="48"/>
        <v>12</v>
      </c>
      <c r="F1079" s="496">
        <v>25724</v>
      </c>
      <c r="G1079" s="496" t="str">
        <f t="shared" si="49"/>
        <v>20456527770</v>
      </c>
    </row>
    <row r="1080" spans="1:7">
      <c r="A1080" s="496">
        <f t="shared" si="50"/>
        <v>1079</v>
      </c>
      <c r="B1080" s="496" t="s">
        <v>1166</v>
      </c>
      <c r="C1080" s="495" t="s">
        <v>77</v>
      </c>
      <c r="D1080" s="497" t="s">
        <v>78</v>
      </c>
      <c r="E1080" s="496" t="str">
        <f t="shared" si="48"/>
        <v>07</v>
      </c>
      <c r="F1080" s="496">
        <v>25717</v>
      </c>
      <c r="G1080" s="496" t="str">
        <f t="shared" si="49"/>
        <v>20457362294</v>
      </c>
    </row>
    <row r="1081" spans="1:7">
      <c r="A1081" s="496">
        <f t="shared" si="50"/>
        <v>1080</v>
      </c>
      <c r="B1081" s="496" t="s">
        <v>1167</v>
      </c>
      <c r="C1081" s="495" t="s">
        <v>82</v>
      </c>
      <c r="D1081" s="497" t="s">
        <v>83</v>
      </c>
      <c r="E1081" s="496" t="str">
        <f t="shared" si="48"/>
        <v>08</v>
      </c>
      <c r="F1081" s="496">
        <v>25718</v>
      </c>
      <c r="G1081" s="496" t="str">
        <f t="shared" si="49"/>
        <v>20458002372</v>
      </c>
    </row>
    <row r="1082" spans="1:7">
      <c r="A1082" s="496">
        <f t="shared" si="50"/>
        <v>1081</v>
      </c>
      <c r="B1082" s="496" t="s">
        <v>1168</v>
      </c>
      <c r="C1082" s="495" t="s">
        <v>85</v>
      </c>
      <c r="D1082" s="497" t="s">
        <v>86</v>
      </c>
      <c r="E1082" s="496" t="str">
        <f t="shared" si="48"/>
        <v>09</v>
      </c>
      <c r="F1082" s="496">
        <v>25719</v>
      </c>
      <c r="G1082" s="496" t="str">
        <f t="shared" si="49"/>
        <v>20458068471</v>
      </c>
    </row>
    <row r="1083" spans="1:7">
      <c r="A1083" s="496">
        <f t="shared" si="50"/>
        <v>1082</v>
      </c>
      <c r="B1083" s="496" t="s">
        <v>1169</v>
      </c>
      <c r="C1083" s="495" t="s">
        <v>88</v>
      </c>
      <c r="D1083" s="497" t="s">
        <v>89</v>
      </c>
      <c r="E1083" s="496" t="str">
        <f t="shared" si="48"/>
        <v>11</v>
      </c>
      <c r="F1083" s="496">
        <v>25720</v>
      </c>
      <c r="G1083" s="496" t="str">
        <f t="shared" si="49"/>
        <v>20458534382</v>
      </c>
    </row>
    <row r="1084" spans="1:7">
      <c r="A1084" s="496">
        <f t="shared" si="50"/>
        <v>1083</v>
      </c>
      <c r="B1084" s="496" t="s">
        <v>1170</v>
      </c>
      <c r="C1084" s="495" t="s">
        <v>91</v>
      </c>
      <c r="D1084" s="497" t="s">
        <v>92</v>
      </c>
      <c r="E1084" s="496" t="str">
        <f t="shared" si="48"/>
        <v>12</v>
      </c>
      <c r="F1084" s="496">
        <v>25724</v>
      </c>
      <c r="G1084" s="496" t="str">
        <f t="shared" si="49"/>
        <v>20458733741</v>
      </c>
    </row>
    <row r="1085" spans="1:7">
      <c r="A1085" s="496">
        <f t="shared" si="50"/>
        <v>1084</v>
      </c>
      <c r="B1085" s="496" t="s">
        <v>1171</v>
      </c>
      <c r="C1085" s="495" t="s">
        <v>77</v>
      </c>
      <c r="D1085" s="497" t="s">
        <v>78</v>
      </c>
      <c r="E1085" s="496" t="str">
        <f t="shared" si="48"/>
        <v>07</v>
      </c>
      <c r="F1085" s="496">
        <v>25717</v>
      </c>
      <c r="G1085" s="496" t="str">
        <f t="shared" si="49"/>
        <v>20458805165</v>
      </c>
    </row>
    <row r="1086" spans="1:7">
      <c r="A1086" s="496">
        <f t="shared" si="50"/>
        <v>1085</v>
      </c>
      <c r="B1086" s="496" t="s">
        <v>1172</v>
      </c>
      <c r="C1086" s="495" t="s">
        <v>82</v>
      </c>
      <c r="D1086" s="497" t="s">
        <v>83</v>
      </c>
      <c r="E1086" s="496" t="str">
        <f t="shared" si="48"/>
        <v>08</v>
      </c>
      <c r="F1086" s="496">
        <v>25718</v>
      </c>
      <c r="G1086" s="496" t="str">
        <f t="shared" si="49"/>
        <v>20459821652</v>
      </c>
    </row>
    <row r="1087" spans="1:7">
      <c r="A1087" s="496">
        <f t="shared" si="50"/>
        <v>1086</v>
      </c>
      <c r="B1087" s="496" t="s">
        <v>1173</v>
      </c>
      <c r="C1087" s="495" t="s">
        <v>85</v>
      </c>
      <c r="D1087" s="497" t="s">
        <v>86</v>
      </c>
      <c r="E1087" s="496" t="str">
        <f t="shared" si="48"/>
        <v>09</v>
      </c>
      <c r="F1087" s="496">
        <v>25719</v>
      </c>
      <c r="G1087" s="496" t="str">
        <f t="shared" si="49"/>
        <v>20460352674</v>
      </c>
    </row>
    <row r="1088" spans="1:7">
      <c r="A1088" s="496">
        <f t="shared" si="50"/>
        <v>1087</v>
      </c>
      <c r="B1088" s="496" t="s">
        <v>1174</v>
      </c>
      <c r="C1088" s="495" t="s">
        <v>88</v>
      </c>
      <c r="D1088" s="497" t="s">
        <v>89</v>
      </c>
      <c r="E1088" s="496" t="str">
        <f t="shared" si="48"/>
        <v>11</v>
      </c>
      <c r="F1088" s="496">
        <v>25720</v>
      </c>
      <c r="G1088" s="496" t="str">
        <f t="shared" si="49"/>
        <v>20461642706</v>
      </c>
    </row>
    <row r="1089" spans="1:7">
      <c r="A1089" s="496">
        <f t="shared" si="50"/>
        <v>1088</v>
      </c>
      <c r="B1089" s="496" t="s">
        <v>1175</v>
      </c>
      <c r="C1089" s="495" t="s">
        <v>91</v>
      </c>
      <c r="D1089" s="497" t="s">
        <v>92</v>
      </c>
      <c r="E1089" s="496" t="str">
        <f t="shared" si="48"/>
        <v>12</v>
      </c>
      <c r="F1089" s="496">
        <v>25724</v>
      </c>
      <c r="G1089" s="496" t="str">
        <f t="shared" si="49"/>
        <v>20462262087</v>
      </c>
    </row>
    <row r="1090" spans="1:7">
      <c r="A1090" s="496">
        <f t="shared" si="50"/>
        <v>1089</v>
      </c>
      <c r="B1090" s="496" t="s">
        <v>1176</v>
      </c>
      <c r="C1090" s="495" t="s">
        <v>77</v>
      </c>
      <c r="D1090" s="497" t="s">
        <v>78</v>
      </c>
      <c r="E1090" s="496" t="str">
        <f t="shared" si="48"/>
        <v>07</v>
      </c>
      <c r="F1090" s="496">
        <v>25717</v>
      </c>
      <c r="G1090" s="496" t="str">
        <f t="shared" si="49"/>
        <v>20462527137</v>
      </c>
    </row>
    <row r="1091" spans="1:7">
      <c r="A1091" s="496">
        <f t="shared" si="50"/>
        <v>1090</v>
      </c>
      <c r="B1091" s="496" t="s">
        <v>1177</v>
      </c>
      <c r="C1091" s="495" t="s">
        <v>82</v>
      </c>
      <c r="D1091" s="497" t="s">
        <v>83</v>
      </c>
      <c r="E1091" s="496" t="str">
        <f t="shared" ref="E1091:E1154" si="51">IF(MID(D1091,14,1)="@",MID(D1091,12,2),"0"&amp;MID(D1091,12,1))</f>
        <v>08</v>
      </c>
      <c r="F1091" s="496">
        <v>25718</v>
      </c>
      <c r="G1091" s="496" t="str">
        <f t="shared" ref="G1091:G1154" si="52">CONCATENATE(B1091)</f>
        <v>20462604735</v>
      </c>
    </row>
    <row r="1092" spans="1:7">
      <c r="A1092" s="496">
        <f t="shared" ref="A1092:A1155" si="53">+A1091+1</f>
        <v>1091</v>
      </c>
      <c r="B1092" s="496" t="s">
        <v>1178</v>
      </c>
      <c r="C1092" s="495" t="s">
        <v>85</v>
      </c>
      <c r="D1092" s="497" t="s">
        <v>86</v>
      </c>
      <c r="E1092" s="496" t="str">
        <f t="shared" si="51"/>
        <v>09</v>
      </c>
      <c r="F1092" s="496">
        <v>25719</v>
      </c>
      <c r="G1092" s="496" t="str">
        <f t="shared" si="52"/>
        <v>20462793791</v>
      </c>
    </row>
    <row r="1093" spans="1:7">
      <c r="A1093" s="496">
        <f t="shared" si="53"/>
        <v>1092</v>
      </c>
      <c r="B1093" s="496" t="s">
        <v>1179</v>
      </c>
      <c r="C1093" s="495" t="s">
        <v>88</v>
      </c>
      <c r="D1093" s="497" t="s">
        <v>89</v>
      </c>
      <c r="E1093" s="496" t="str">
        <f t="shared" si="51"/>
        <v>11</v>
      </c>
      <c r="F1093" s="496">
        <v>25720</v>
      </c>
      <c r="G1093" s="496" t="str">
        <f t="shared" si="52"/>
        <v>20465557754</v>
      </c>
    </row>
    <row r="1094" spans="1:7">
      <c r="A1094" s="496">
        <f t="shared" si="53"/>
        <v>1093</v>
      </c>
      <c r="B1094" s="496" t="s">
        <v>1180</v>
      </c>
      <c r="C1094" s="495" t="s">
        <v>91</v>
      </c>
      <c r="D1094" s="497" t="s">
        <v>92</v>
      </c>
      <c r="E1094" s="496" t="str">
        <f t="shared" si="51"/>
        <v>12</v>
      </c>
      <c r="F1094" s="496">
        <v>25724</v>
      </c>
      <c r="G1094" s="496" t="str">
        <f t="shared" si="52"/>
        <v>20466241734</v>
      </c>
    </row>
    <row r="1095" spans="1:7">
      <c r="A1095" s="496">
        <f t="shared" si="53"/>
        <v>1094</v>
      </c>
      <c r="B1095" s="496" t="s">
        <v>1181</v>
      </c>
      <c r="C1095" s="495" t="s">
        <v>88</v>
      </c>
      <c r="D1095" s="497" t="s">
        <v>89</v>
      </c>
      <c r="E1095" s="496" t="str">
        <f t="shared" si="51"/>
        <v>11</v>
      </c>
      <c r="F1095" s="496">
        <v>25720</v>
      </c>
      <c r="G1095" s="496" t="str">
        <f t="shared" si="52"/>
        <v>20466327612</v>
      </c>
    </row>
    <row r="1096" spans="1:7">
      <c r="A1096" s="496">
        <f t="shared" si="53"/>
        <v>1095</v>
      </c>
      <c r="B1096" s="496" t="s">
        <v>1182</v>
      </c>
      <c r="C1096" s="495" t="s">
        <v>91</v>
      </c>
      <c r="D1096" s="497" t="s">
        <v>92</v>
      </c>
      <c r="E1096" s="496" t="str">
        <f t="shared" si="51"/>
        <v>12</v>
      </c>
      <c r="F1096" s="496">
        <v>25724</v>
      </c>
      <c r="G1096" s="496" t="str">
        <f t="shared" si="52"/>
        <v>20467675436</v>
      </c>
    </row>
    <row r="1097" spans="1:7">
      <c r="A1097" s="496">
        <f t="shared" si="53"/>
        <v>1096</v>
      </c>
      <c r="B1097" s="496" t="s">
        <v>1183</v>
      </c>
      <c r="C1097" s="495" t="s">
        <v>77</v>
      </c>
      <c r="D1097" s="497" t="s">
        <v>78</v>
      </c>
      <c r="E1097" s="496" t="str">
        <f t="shared" si="51"/>
        <v>07</v>
      </c>
      <c r="F1097" s="496">
        <v>25717</v>
      </c>
      <c r="G1097" s="496" t="str">
        <f t="shared" si="52"/>
        <v>20467682726</v>
      </c>
    </row>
    <row r="1098" spans="1:7">
      <c r="A1098" s="496">
        <f t="shared" si="53"/>
        <v>1097</v>
      </c>
      <c r="B1098" s="496" t="s">
        <v>1184</v>
      </c>
      <c r="C1098" s="495" t="s">
        <v>82</v>
      </c>
      <c r="D1098" s="497" t="s">
        <v>83</v>
      </c>
      <c r="E1098" s="496" t="str">
        <f t="shared" si="51"/>
        <v>08</v>
      </c>
      <c r="F1098" s="496">
        <v>25718</v>
      </c>
      <c r="G1098" s="496" t="str">
        <f t="shared" si="52"/>
        <v>20467737300</v>
      </c>
    </row>
    <row r="1099" spans="1:7">
      <c r="A1099" s="496">
        <f t="shared" si="53"/>
        <v>1098</v>
      </c>
      <c r="B1099" s="496" t="s">
        <v>1185</v>
      </c>
      <c r="C1099" s="495" t="s">
        <v>85</v>
      </c>
      <c r="D1099" s="497" t="s">
        <v>86</v>
      </c>
      <c r="E1099" s="496" t="str">
        <f t="shared" si="51"/>
        <v>09</v>
      </c>
      <c r="F1099" s="496">
        <v>25719</v>
      </c>
      <c r="G1099" s="496" t="str">
        <f t="shared" si="52"/>
        <v>20468451451</v>
      </c>
    </row>
    <row r="1100" spans="1:7">
      <c r="A1100" s="496">
        <f t="shared" si="53"/>
        <v>1099</v>
      </c>
      <c r="B1100" s="496" t="s">
        <v>1186</v>
      </c>
      <c r="C1100" s="495" t="s">
        <v>88</v>
      </c>
      <c r="D1100" s="497" t="s">
        <v>89</v>
      </c>
      <c r="E1100" s="496" t="str">
        <f t="shared" si="51"/>
        <v>11</v>
      </c>
      <c r="F1100" s="496">
        <v>25720</v>
      </c>
      <c r="G1100" s="496" t="str">
        <f t="shared" si="52"/>
        <v>20468985757</v>
      </c>
    </row>
    <row r="1101" spans="1:7">
      <c r="A1101" s="496">
        <f t="shared" si="53"/>
        <v>1100</v>
      </c>
      <c r="B1101" s="496" t="s">
        <v>1187</v>
      </c>
      <c r="C1101" s="495" t="s">
        <v>91</v>
      </c>
      <c r="D1101" s="497" t="s">
        <v>92</v>
      </c>
      <c r="E1101" s="496" t="str">
        <f t="shared" si="51"/>
        <v>12</v>
      </c>
      <c r="F1101" s="496">
        <v>25724</v>
      </c>
      <c r="G1101" s="496" t="str">
        <f t="shared" si="52"/>
        <v>20469317855</v>
      </c>
    </row>
    <row r="1102" spans="1:7">
      <c r="A1102" s="496">
        <f t="shared" si="53"/>
        <v>1101</v>
      </c>
      <c r="B1102" s="496" t="s">
        <v>1188</v>
      </c>
      <c r="C1102" s="495" t="s">
        <v>77</v>
      </c>
      <c r="D1102" s="497" t="s">
        <v>78</v>
      </c>
      <c r="E1102" s="496" t="str">
        <f t="shared" si="51"/>
        <v>07</v>
      </c>
      <c r="F1102" s="496">
        <v>25717</v>
      </c>
      <c r="G1102" s="496" t="str">
        <f t="shared" si="52"/>
        <v>20469748597</v>
      </c>
    </row>
    <row r="1103" spans="1:7">
      <c r="A1103" s="496">
        <f t="shared" si="53"/>
        <v>1102</v>
      </c>
      <c r="B1103" s="496" t="s">
        <v>1189</v>
      </c>
      <c r="C1103" s="495" t="s">
        <v>82</v>
      </c>
      <c r="D1103" s="497" t="s">
        <v>83</v>
      </c>
      <c r="E1103" s="496" t="str">
        <f t="shared" si="51"/>
        <v>08</v>
      </c>
      <c r="F1103" s="496">
        <v>25718</v>
      </c>
      <c r="G1103" s="496" t="str">
        <f t="shared" si="52"/>
        <v>20469820531</v>
      </c>
    </row>
    <row r="1104" spans="1:7">
      <c r="A1104" s="496">
        <f t="shared" si="53"/>
        <v>1103</v>
      </c>
      <c r="B1104" s="496" t="s">
        <v>1190</v>
      </c>
      <c r="C1104" s="495" t="s">
        <v>85</v>
      </c>
      <c r="D1104" s="497" t="s">
        <v>86</v>
      </c>
      <c r="E1104" s="496" t="str">
        <f t="shared" si="51"/>
        <v>09</v>
      </c>
      <c r="F1104" s="496">
        <v>25719</v>
      </c>
      <c r="G1104" s="496" t="str">
        <f t="shared" si="52"/>
        <v>20470531968</v>
      </c>
    </row>
    <row r="1105" spans="1:7">
      <c r="A1105" s="496">
        <f t="shared" si="53"/>
        <v>1104</v>
      </c>
      <c r="B1105" s="496" t="s">
        <v>1191</v>
      </c>
      <c r="C1105" s="495" t="s">
        <v>88</v>
      </c>
      <c r="D1105" s="497" t="s">
        <v>89</v>
      </c>
      <c r="E1105" s="496" t="str">
        <f t="shared" si="51"/>
        <v>11</v>
      </c>
      <c r="F1105" s="496">
        <v>25720</v>
      </c>
      <c r="G1105" s="496" t="str">
        <f t="shared" si="52"/>
        <v>20470700662</v>
      </c>
    </row>
    <row r="1106" spans="1:7">
      <c r="A1106" s="496">
        <f t="shared" si="53"/>
        <v>1105</v>
      </c>
      <c r="B1106" s="496" t="s">
        <v>1192</v>
      </c>
      <c r="C1106" s="495" t="s">
        <v>91</v>
      </c>
      <c r="D1106" s="497" t="s">
        <v>92</v>
      </c>
      <c r="E1106" s="496" t="str">
        <f t="shared" si="51"/>
        <v>12</v>
      </c>
      <c r="F1106" s="496">
        <v>25724</v>
      </c>
      <c r="G1106" s="496" t="str">
        <f t="shared" si="52"/>
        <v>20471514064</v>
      </c>
    </row>
    <row r="1107" spans="1:7">
      <c r="A1107" s="496">
        <f t="shared" si="53"/>
        <v>1106</v>
      </c>
      <c r="B1107" s="496" t="s">
        <v>1193</v>
      </c>
      <c r="C1107" s="495" t="s">
        <v>77</v>
      </c>
      <c r="D1107" s="497" t="s">
        <v>78</v>
      </c>
      <c r="E1107" s="496" t="str">
        <f t="shared" si="51"/>
        <v>07</v>
      </c>
      <c r="F1107" s="496">
        <v>25717</v>
      </c>
      <c r="G1107" s="496" t="str">
        <f t="shared" si="52"/>
        <v>20471786811</v>
      </c>
    </row>
    <row r="1108" spans="1:7">
      <c r="A1108" s="496">
        <f t="shared" si="53"/>
        <v>1107</v>
      </c>
      <c r="B1108" s="496" t="s">
        <v>1194</v>
      </c>
      <c r="C1108" s="495" t="s">
        <v>82</v>
      </c>
      <c r="D1108" s="497" t="s">
        <v>83</v>
      </c>
      <c r="E1108" s="496" t="str">
        <f t="shared" si="51"/>
        <v>08</v>
      </c>
      <c r="F1108" s="496">
        <v>25718</v>
      </c>
      <c r="G1108" s="496" t="str">
        <f t="shared" si="52"/>
        <v>20471850099</v>
      </c>
    </row>
    <row r="1109" spans="1:7">
      <c r="A1109" s="496">
        <f t="shared" si="53"/>
        <v>1108</v>
      </c>
      <c r="B1109" s="496" t="s">
        <v>1195</v>
      </c>
      <c r="C1109" s="495" t="s">
        <v>77</v>
      </c>
      <c r="D1109" s="497" t="s">
        <v>78</v>
      </c>
      <c r="E1109" s="496" t="str">
        <f t="shared" si="51"/>
        <v>07</v>
      </c>
      <c r="F1109" s="496">
        <v>25717</v>
      </c>
      <c r="G1109" s="496" t="str">
        <f t="shared" si="52"/>
        <v>20472390521</v>
      </c>
    </row>
    <row r="1110" spans="1:7">
      <c r="A1110" s="496">
        <f t="shared" si="53"/>
        <v>1109</v>
      </c>
      <c r="B1110" s="496" t="s">
        <v>1196</v>
      </c>
      <c r="C1110" s="495" t="s">
        <v>85</v>
      </c>
      <c r="D1110" s="497" t="s">
        <v>86</v>
      </c>
      <c r="E1110" s="496" t="str">
        <f t="shared" si="51"/>
        <v>09</v>
      </c>
      <c r="F1110" s="496">
        <v>25719</v>
      </c>
      <c r="G1110" s="496" t="str">
        <f t="shared" si="52"/>
        <v>20472498305</v>
      </c>
    </row>
    <row r="1111" spans="1:7">
      <c r="A1111" s="496">
        <f t="shared" si="53"/>
        <v>1110</v>
      </c>
      <c r="B1111" s="496" t="s">
        <v>1197</v>
      </c>
      <c r="C1111" s="495" t="s">
        <v>88</v>
      </c>
      <c r="D1111" s="497" t="s">
        <v>89</v>
      </c>
      <c r="E1111" s="496" t="str">
        <f t="shared" si="51"/>
        <v>11</v>
      </c>
      <c r="F1111" s="496">
        <v>25720</v>
      </c>
      <c r="G1111" s="496" t="str">
        <f t="shared" si="52"/>
        <v>20473159644</v>
      </c>
    </row>
    <row r="1112" spans="1:7">
      <c r="A1112" s="496">
        <f t="shared" si="53"/>
        <v>1111</v>
      </c>
      <c r="B1112" s="496" t="s">
        <v>1198</v>
      </c>
      <c r="C1112" s="495" t="s">
        <v>82</v>
      </c>
      <c r="D1112" s="497" t="s">
        <v>83</v>
      </c>
      <c r="E1112" s="496" t="str">
        <f t="shared" si="51"/>
        <v>08</v>
      </c>
      <c r="F1112" s="496">
        <v>25718</v>
      </c>
      <c r="G1112" s="496" t="str">
        <f t="shared" si="52"/>
        <v>20473806186</v>
      </c>
    </row>
    <row r="1113" spans="1:7">
      <c r="A1113" s="496">
        <f t="shared" si="53"/>
        <v>1112</v>
      </c>
      <c r="B1113" s="496" t="s">
        <v>1199</v>
      </c>
      <c r="C1113" s="495" t="s">
        <v>91</v>
      </c>
      <c r="D1113" s="497" t="s">
        <v>92</v>
      </c>
      <c r="E1113" s="496" t="str">
        <f t="shared" si="51"/>
        <v>12</v>
      </c>
      <c r="F1113" s="496">
        <v>25724</v>
      </c>
      <c r="G1113" s="496" t="str">
        <f t="shared" si="52"/>
        <v>20473938929</v>
      </c>
    </row>
    <row r="1114" spans="1:7">
      <c r="A1114" s="496">
        <f t="shared" si="53"/>
        <v>1113</v>
      </c>
      <c r="B1114" s="496" t="s">
        <v>1200</v>
      </c>
      <c r="C1114" s="495" t="s">
        <v>77</v>
      </c>
      <c r="D1114" s="497" t="s">
        <v>78</v>
      </c>
      <c r="E1114" s="496" t="str">
        <f t="shared" si="51"/>
        <v>07</v>
      </c>
      <c r="F1114" s="496">
        <v>25717</v>
      </c>
      <c r="G1114" s="496" t="str">
        <f t="shared" si="52"/>
        <v>20474053351</v>
      </c>
    </row>
    <row r="1115" spans="1:7">
      <c r="A1115" s="496">
        <f t="shared" si="53"/>
        <v>1114</v>
      </c>
      <c r="B1115" s="496" t="s">
        <v>1201</v>
      </c>
      <c r="C1115" s="495" t="s">
        <v>82</v>
      </c>
      <c r="D1115" s="497" t="s">
        <v>83</v>
      </c>
      <c r="E1115" s="496" t="str">
        <f t="shared" si="51"/>
        <v>08</v>
      </c>
      <c r="F1115" s="496">
        <v>25718</v>
      </c>
      <c r="G1115" s="496" t="str">
        <f t="shared" si="52"/>
        <v>20474529291</v>
      </c>
    </row>
    <row r="1116" spans="1:7">
      <c r="A1116" s="496">
        <f t="shared" si="53"/>
        <v>1115</v>
      </c>
      <c r="B1116" s="496" t="s">
        <v>1202</v>
      </c>
      <c r="C1116" s="495" t="s">
        <v>85</v>
      </c>
      <c r="D1116" s="497" t="s">
        <v>86</v>
      </c>
      <c r="E1116" s="496" t="str">
        <f t="shared" si="51"/>
        <v>09</v>
      </c>
      <c r="F1116" s="496">
        <v>25719</v>
      </c>
      <c r="G1116" s="496" t="str">
        <f t="shared" si="52"/>
        <v>20475309899</v>
      </c>
    </row>
    <row r="1117" spans="1:7">
      <c r="A1117" s="496">
        <f t="shared" si="53"/>
        <v>1116</v>
      </c>
      <c r="B1117" s="496" t="s">
        <v>1203</v>
      </c>
      <c r="C1117" s="495" t="s">
        <v>88</v>
      </c>
      <c r="D1117" s="497" t="s">
        <v>89</v>
      </c>
      <c r="E1117" s="496" t="str">
        <f t="shared" si="51"/>
        <v>11</v>
      </c>
      <c r="F1117" s="496">
        <v>25720</v>
      </c>
      <c r="G1117" s="496" t="str">
        <f t="shared" si="52"/>
        <v>20476099928</v>
      </c>
    </row>
    <row r="1118" spans="1:7">
      <c r="A1118" s="496">
        <f t="shared" si="53"/>
        <v>1117</v>
      </c>
      <c r="B1118" s="496" t="s">
        <v>1204</v>
      </c>
      <c r="C1118" s="495" t="s">
        <v>91</v>
      </c>
      <c r="D1118" s="497" t="s">
        <v>92</v>
      </c>
      <c r="E1118" s="496" t="str">
        <f t="shared" si="51"/>
        <v>12</v>
      </c>
      <c r="F1118" s="496">
        <v>25724</v>
      </c>
      <c r="G1118" s="496" t="str">
        <f t="shared" si="52"/>
        <v>20476247030</v>
      </c>
    </row>
    <row r="1119" spans="1:7">
      <c r="A1119" s="496">
        <f t="shared" si="53"/>
        <v>1118</v>
      </c>
      <c r="B1119" s="496" t="s">
        <v>1205</v>
      </c>
      <c r="C1119" s="495" t="s">
        <v>77</v>
      </c>
      <c r="D1119" s="497" t="s">
        <v>78</v>
      </c>
      <c r="E1119" s="496" t="str">
        <f t="shared" si="51"/>
        <v>07</v>
      </c>
      <c r="F1119" s="496">
        <v>25717</v>
      </c>
      <c r="G1119" s="496" t="str">
        <f t="shared" si="52"/>
        <v>20476260303</v>
      </c>
    </row>
    <row r="1120" spans="1:7">
      <c r="A1120" s="496">
        <f t="shared" si="53"/>
        <v>1119</v>
      </c>
      <c r="B1120" s="496" t="s">
        <v>1206</v>
      </c>
      <c r="C1120" s="495" t="s">
        <v>85</v>
      </c>
      <c r="D1120" s="497" t="s">
        <v>86</v>
      </c>
      <c r="E1120" s="496" t="str">
        <f t="shared" si="51"/>
        <v>09</v>
      </c>
      <c r="F1120" s="496">
        <v>25719</v>
      </c>
      <c r="G1120" s="496" t="str">
        <f t="shared" si="52"/>
        <v>20477912355</v>
      </c>
    </row>
    <row r="1121" spans="1:7">
      <c r="A1121" s="496">
        <f t="shared" si="53"/>
        <v>1120</v>
      </c>
      <c r="B1121" s="496" t="s">
        <v>1207</v>
      </c>
      <c r="C1121" s="495" t="s">
        <v>82</v>
      </c>
      <c r="D1121" s="497" t="s">
        <v>83</v>
      </c>
      <c r="E1121" s="496" t="str">
        <f t="shared" si="51"/>
        <v>08</v>
      </c>
      <c r="F1121" s="496">
        <v>25718</v>
      </c>
      <c r="G1121" s="496" t="str">
        <f t="shared" si="52"/>
        <v>20478012498</v>
      </c>
    </row>
    <row r="1122" spans="1:7">
      <c r="A1122" s="496">
        <f t="shared" si="53"/>
        <v>1121</v>
      </c>
      <c r="B1122" s="496" t="s">
        <v>1208</v>
      </c>
      <c r="C1122" s="495" t="s">
        <v>85</v>
      </c>
      <c r="D1122" s="497" t="s">
        <v>86</v>
      </c>
      <c r="E1122" s="496" t="str">
        <f t="shared" si="51"/>
        <v>09</v>
      </c>
      <c r="F1122" s="496">
        <v>25719</v>
      </c>
      <c r="G1122" s="496" t="str">
        <f t="shared" si="52"/>
        <v>20482262725</v>
      </c>
    </row>
    <row r="1123" spans="1:7">
      <c r="A1123" s="496">
        <f t="shared" si="53"/>
        <v>1122</v>
      </c>
      <c r="B1123" s="496" t="s">
        <v>1209</v>
      </c>
      <c r="C1123" s="495" t="s">
        <v>88</v>
      </c>
      <c r="D1123" s="497" t="s">
        <v>89</v>
      </c>
      <c r="E1123" s="496" t="str">
        <f t="shared" si="51"/>
        <v>11</v>
      </c>
      <c r="F1123" s="496">
        <v>25720</v>
      </c>
      <c r="G1123" s="496" t="str">
        <f t="shared" si="52"/>
        <v>20483894814</v>
      </c>
    </row>
    <row r="1124" spans="1:7">
      <c r="A1124" s="496">
        <f t="shared" si="53"/>
        <v>1123</v>
      </c>
      <c r="B1124" s="496" t="s">
        <v>1210</v>
      </c>
      <c r="C1124" s="495" t="s">
        <v>91</v>
      </c>
      <c r="D1124" s="497" t="s">
        <v>92</v>
      </c>
      <c r="E1124" s="496" t="str">
        <f t="shared" si="51"/>
        <v>12</v>
      </c>
      <c r="F1124" s="496">
        <v>25724</v>
      </c>
      <c r="G1124" s="496" t="str">
        <f t="shared" si="52"/>
        <v>20483957590</v>
      </c>
    </row>
    <row r="1125" spans="1:7">
      <c r="A1125" s="496">
        <f t="shared" si="53"/>
        <v>1124</v>
      </c>
      <c r="B1125" s="496" t="s">
        <v>1211</v>
      </c>
      <c r="C1125" s="495" t="s">
        <v>77</v>
      </c>
      <c r="D1125" s="497" t="s">
        <v>78</v>
      </c>
      <c r="E1125" s="496" t="str">
        <f t="shared" si="51"/>
        <v>07</v>
      </c>
      <c r="F1125" s="496">
        <v>25717</v>
      </c>
      <c r="G1125" s="496" t="str">
        <f t="shared" si="52"/>
        <v>20484002216</v>
      </c>
    </row>
    <row r="1126" spans="1:7">
      <c r="A1126" s="496">
        <f t="shared" si="53"/>
        <v>1125</v>
      </c>
      <c r="B1126" s="496" t="s">
        <v>1212</v>
      </c>
      <c r="C1126" s="495" t="s">
        <v>82</v>
      </c>
      <c r="D1126" s="497" t="s">
        <v>83</v>
      </c>
      <c r="E1126" s="496" t="str">
        <f t="shared" si="51"/>
        <v>08</v>
      </c>
      <c r="F1126" s="496">
        <v>25718</v>
      </c>
      <c r="G1126" s="496" t="str">
        <f t="shared" si="52"/>
        <v>20484294756</v>
      </c>
    </row>
    <row r="1127" spans="1:7">
      <c r="A1127" s="496">
        <f t="shared" si="53"/>
        <v>1126</v>
      </c>
      <c r="B1127" s="496" t="s">
        <v>1213</v>
      </c>
      <c r="C1127" s="495" t="s">
        <v>85</v>
      </c>
      <c r="D1127" s="497" t="s">
        <v>86</v>
      </c>
      <c r="E1127" s="496" t="str">
        <f t="shared" si="51"/>
        <v>09</v>
      </c>
      <c r="F1127" s="496">
        <v>25719</v>
      </c>
      <c r="G1127" s="496" t="str">
        <f t="shared" si="52"/>
        <v>20491964660</v>
      </c>
    </row>
    <row r="1128" spans="1:7">
      <c r="A1128" s="496">
        <f t="shared" si="53"/>
        <v>1127</v>
      </c>
      <c r="B1128" s="496" t="s">
        <v>1214</v>
      </c>
      <c r="C1128" s="495" t="s">
        <v>88</v>
      </c>
      <c r="D1128" s="497" t="s">
        <v>89</v>
      </c>
      <c r="E1128" s="496" t="str">
        <f t="shared" si="51"/>
        <v>11</v>
      </c>
      <c r="F1128" s="496">
        <v>25720</v>
      </c>
      <c r="G1128" s="496" t="str">
        <f t="shared" si="52"/>
        <v>20491984776</v>
      </c>
    </row>
    <row r="1129" spans="1:7">
      <c r="A1129" s="496">
        <f t="shared" si="53"/>
        <v>1128</v>
      </c>
      <c r="B1129" s="496" t="s">
        <v>1215</v>
      </c>
      <c r="C1129" s="495" t="s">
        <v>91</v>
      </c>
      <c r="D1129" s="497" t="s">
        <v>92</v>
      </c>
      <c r="E1129" s="496" t="str">
        <f t="shared" si="51"/>
        <v>12</v>
      </c>
      <c r="F1129" s="496">
        <v>25724</v>
      </c>
      <c r="G1129" s="496" t="str">
        <f t="shared" si="52"/>
        <v>20492050742</v>
      </c>
    </row>
    <row r="1130" spans="1:7">
      <c r="A1130" s="496">
        <f t="shared" si="53"/>
        <v>1129</v>
      </c>
      <c r="B1130" s="496" t="s">
        <v>1216</v>
      </c>
      <c r="C1130" s="495" t="s">
        <v>77</v>
      </c>
      <c r="D1130" s="497" t="s">
        <v>78</v>
      </c>
      <c r="E1130" s="496" t="str">
        <f t="shared" si="51"/>
        <v>07</v>
      </c>
      <c r="F1130" s="496">
        <v>25717</v>
      </c>
      <c r="G1130" s="496" t="str">
        <f t="shared" si="52"/>
        <v>20492092313</v>
      </c>
    </row>
    <row r="1131" spans="1:7">
      <c r="A1131" s="496">
        <f t="shared" si="53"/>
        <v>1130</v>
      </c>
      <c r="B1131" s="496" t="s">
        <v>1217</v>
      </c>
      <c r="C1131" s="495" t="s">
        <v>88</v>
      </c>
      <c r="D1131" s="497" t="s">
        <v>89</v>
      </c>
      <c r="E1131" s="496" t="str">
        <f t="shared" si="51"/>
        <v>11</v>
      </c>
      <c r="F1131" s="496">
        <v>25720</v>
      </c>
      <c r="G1131" s="496" t="str">
        <f t="shared" si="52"/>
        <v>20492185087</v>
      </c>
    </row>
    <row r="1132" spans="1:7">
      <c r="A1132" s="496">
        <f t="shared" si="53"/>
        <v>1131</v>
      </c>
      <c r="B1132" s="496" t="s">
        <v>1218</v>
      </c>
      <c r="C1132" s="495" t="s">
        <v>82</v>
      </c>
      <c r="D1132" s="497" t="s">
        <v>83</v>
      </c>
      <c r="E1132" s="496" t="str">
        <f t="shared" si="51"/>
        <v>08</v>
      </c>
      <c r="F1132" s="496">
        <v>25718</v>
      </c>
      <c r="G1132" s="496" t="str">
        <f t="shared" si="52"/>
        <v>20492321011</v>
      </c>
    </row>
    <row r="1133" spans="1:7">
      <c r="A1133" s="496">
        <f t="shared" si="53"/>
        <v>1132</v>
      </c>
      <c r="B1133" s="496" t="s">
        <v>1219</v>
      </c>
      <c r="C1133" s="495" t="s">
        <v>91</v>
      </c>
      <c r="D1133" s="497" t="s">
        <v>92</v>
      </c>
      <c r="E1133" s="496" t="str">
        <f t="shared" si="51"/>
        <v>12</v>
      </c>
      <c r="F1133" s="496">
        <v>25724</v>
      </c>
      <c r="G1133" s="496" t="str">
        <f t="shared" si="52"/>
        <v>20492333701</v>
      </c>
    </row>
    <row r="1134" spans="1:7">
      <c r="A1134" s="496">
        <f t="shared" si="53"/>
        <v>1133</v>
      </c>
      <c r="B1134" s="496" t="s">
        <v>1220</v>
      </c>
      <c r="C1134" s="495" t="s">
        <v>85</v>
      </c>
      <c r="D1134" s="497" t="s">
        <v>86</v>
      </c>
      <c r="E1134" s="496" t="str">
        <f t="shared" si="51"/>
        <v>09</v>
      </c>
      <c r="F1134" s="496">
        <v>25719</v>
      </c>
      <c r="G1134" s="496" t="str">
        <f t="shared" si="52"/>
        <v>20492392031</v>
      </c>
    </row>
    <row r="1135" spans="1:7">
      <c r="A1135" s="496">
        <f t="shared" si="53"/>
        <v>1134</v>
      </c>
      <c r="B1135" s="496" t="s">
        <v>1221</v>
      </c>
      <c r="C1135" s="495" t="s">
        <v>88</v>
      </c>
      <c r="D1135" s="497" t="s">
        <v>89</v>
      </c>
      <c r="E1135" s="496" t="str">
        <f t="shared" si="51"/>
        <v>11</v>
      </c>
      <c r="F1135" s="496">
        <v>25720</v>
      </c>
      <c r="G1135" s="496" t="str">
        <f t="shared" si="52"/>
        <v>20492404901</v>
      </c>
    </row>
    <row r="1136" spans="1:7">
      <c r="A1136" s="496">
        <f t="shared" si="53"/>
        <v>1135</v>
      </c>
      <c r="B1136" s="496" t="s">
        <v>1222</v>
      </c>
      <c r="C1136" s="495" t="s">
        <v>91</v>
      </c>
      <c r="D1136" s="497" t="s">
        <v>92</v>
      </c>
      <c r="E1136" s="496" t="str">
        <f t="shared" si="51"/>
        <v>12</v>
      </c>
      <c r="F1136" s="496">
        <v>25724</v>
      </c>
      <c r="G1136" s="496" t="str">
        <f t="shared" si="52"/>
        <v>20492418952</v>
      </c>
    </row>
    <row r="1137" spans="1:7">
      <c r="A1137" s="496">
        <f t="shared" si="53"/>
        <v>1136</v>
      </c>
      <c r="B1137" s="496" t="s">
        <v>1223</v>
      </c>
      <c r="C1137" s="495" t="s">
        <v>77</v>
      </c>
      <c r="D1137" s="497" t="s">
        <v>78</v>
      </c>
      <c r="E1137" s="496" t="str">
        <f t="shared" si="51"/>
        <v>07</v>
      </c>
      <c r="F1137" s="496">
        <v>25717</v>
      </c>
      <c r="G1137" s="496" t="str">
        <f t="shared" si="52"/>
        <v>20492516024</v>
      </c>
    </row>
    <row r="1138" spans="1:7">
      <c r="A1138" s="496">
        <f t="shared" si="53"/>
        <v>1137</v>
      </c>
      <c r="B1138" s="496" t="s">
        <v>1224</v>
      </c>
      <c r="C1138" s="495" t="s">
        <v>77</v>
      </c>
      <c r="D1138" s="497" t="s">
        <v>78</v>
      </c>
      <c r="E1138" s="496" t="str">
        <f t="shared" si="51"/>
        <v>07</v>
      </c>
      <c r="F1138" s="496">
        <v>25717</v>
      </c>
      <c r="G1138" s="496" t="str">
        <f t="shared" si="52"/>
        <v>20492946541</v>
      </c>
    </row>
    <row r="1139" spans="1:7">
      <c r="A1139" s="496">
        <f t="shared" si="53"/>
        <v>1138</v>
      </c>
      <c r="B1139" s="496" t="s">
        <v>1225</v>
      </c>
      <c r="C1139" s="495" t="s">
        <v>82</v>
      </c>
      <c r="D1139" s="497" t="s">
        <v>83</v>
      </c>
      <c r="E1139" s="496" t="str">
        <f t="shared" si="51"/>
        <v>08</v>
      </c>
      <c r="F1139" s="496">
        <v>25718</v>
      </c>
      <c r="G1139" s="496" t="str">
        <f t="shared" si="52"/>
        <v>20493040643</v>
      </c>
    </row>
    <row r="1140" spans="1:7">
      <c r="A1140" s="496">
        <f t="shared" si="53"/>
        <v>1139</v>
      </c>
      <c r="B1140" s="496" t="s">
        <v>1226</v>
      </c>
      <c r="C1140" s="495" t="s">
        <v>82</v>
      </c>
      <c r="D1140" s="497" t="s">
        <v>83</v>
      </c>
      <c r="E1140" s="496" t="str">
        <f t="shared" si="51"/>
        <v>08</v>
      </c>
      <c r="F1140" s="496">
        <v>25718</v>
      </c>
      <c r="G1140" s="496" t="str">
        <f t="shared" si="52"/>
        <v>20495330126</v>
      </c>
    </row>
    <row r="1141" spans="1:7">
      <c r="A1141" s="496">
        <f t="shared" si="53"/>
        <v>1140</v>
      </c>
      <c r="B1141" s="496" t="s">
        <v>1227</v>
      </c>
      <c r="C1141" s="495" t="s">
        <v>85</v>
      </c>
      <c r="D1141" s="497" t="s">
        <v>86</v>
      </c>
      <c r="E1141" s="496" t="str">
        <f t="shared" si="51"/>
        <v>09</v>
      </c>
      <c r="F1141" s="496">
        <v>25719</v>
      </c>
      <c r="G1141" s="496" t="str">
        <f t="shared" si="52"/>
        <v>20500854651</v>
      </c>
    </row>
    <row r="1142" spans="1:7">
      <c r="A1142" s="496">
        <f t="shared" si="53"/>
        <v>1141</v>
      </c>
      <c r="B1142" s="496" t="s">
        <v>1228</v>
      </c>
      <c r="C1142" s="495" t="s">
        <v>88</v>
      </c>
      <c r="D1142" s="497" t="s">
        <v>89</v>
      </c>
      <c r="E1142" s="496" t="str">
        <f t="shared" si="51"/>
        <v>11</v>
      </c>
      <c r="F1142" s="496">
        <v>25720</v>
      </c>
      <c r="G1142" s="496" t="str">
        <f t="shared" si="52"/>
        <v>20500985322</v>
      </c>
    </row>
    <row r="1143" spans="1:7">
      <c r="A1143" s="496">
        <f t="shared" si="53"/>
        <v>1142</v>
      </c>
      <c r="B1143" s="496" t="s">
        <v>1229</v>
      </c>
      <c r="C1143" s="495" t="s">
        <v>91</v>
      </c>
      <c r="D1143" s="497" t="s">
        <v>92</v>
      </c>
      <c r="E1143" s="496" t="str">
        <f t="shared" si="51"/>
        <v>12</v>
      </c>
      <c r="F1143" s="496">
        <v>25724</v>
      </c>
      <c r="G1143" s="496" t="str">
        <f t="shared" si="52"/>
        <v>20501057682</v>
      </c>
    </row>
    <row r="1144" spans="1:7">
      <c r="A1144" s="496">
        <f t="shared" si="53"/>
        <v>1143</v>
      </c>
      <c r="B1144" s="496" t="s">
        <v>1230</v>
      </c>
      <c r="C1144" s="495" t="s">
        <v>77</v>
      </c>
      <c r="D1144" s="497" t="s">
        <v>78</v>
      </c>
      <c r="E1144" s="496" t="str">
        <f t="shared" si="51"/>
        <v>07</v>
      </c>
      <c r="F1144" s="496">
        <v>25717</v>
      </c>
      <c r="G1144" s="496" t="str">
        <f t="shared" si="52"/>
        <v>20501165141</v>
      </c>
    </row>
    <row r="1145" spans="1:7">
      <c r="A1145" s="496">
        <f t="shared" si="53"/>
        <v>1144</v>
      </c>
      <c r="B1145" s="496" t="s">
        <v>1231</v>
      </c>
      <c r="C1145" s="495" t="s">
        <v>82</v>
      </c>
      <c r="D1145" s="497" t="s">
        <v>83</v>
      </c>
      <c r="E1145" s="496" t="str">
        <f t="shared" si="51"/>
        <v>08</v>
      </c>
      <c r="F1145" s="496">
        <v>25718</v>
      </c>
      <c r="G1145" s="496" t="str">
        <f t="shared" si="52"/>
        <v>20501259552</v>
      </c>
    </row>
    <row r="1146" spans="1:7">
      <c r="A1146" s="496">
        <f t="shared" si="53"/>
        <v>1145</v>
      </c>
      <c r="B1146" s="496" t="s">
        <v>1232</v>
      </c>
      <c r="C1146" s="495" t="s">
        <v>85</v>
      </c>
      <c r="D1146" s="497" t="s">
        <v>86</v>
      </c>
      <c r="E1146" s="496" t="str">
        <f t="shared" si="51"/>
        <v>09</v>
      </c>
      <c r="F1146" s="496">
        <v>25719</v>
      </c>
      <c r="G1146" s="496" t="str">
        <f t="shared" si="52"/>
        <v>20501477622</v>
      </c>
    </row>
    <row r="1147" spans="1:7">
      <c r="A1147" s="496">
        <f t="shared" si="53"/>
        <v>1146</v>
      </c>
      <c r="B1147" s="496" t="s">
        <v>1233</v>
      </c>
      <c r="C1147" s="495" t="s">
        <v>88</v>
      </c>
      <c r="D1147" s="497" t="s">
        <v>89</v>
      </c>
      <c r="E1147" s="496" t="str">
        <f t="shared" si="51"/>
        <v>11</v>
      </c>
      <c r="F1147" s="496">
        <v>25720</v>
      </c>
      <c r="G1147" s="496" t="str">
        <f t="shared" si="52"/>
        <v>20501603784</v>
      </c>
    </row>
    <row r="1148" spans="1:7">
      <c r="A1148" s="496">
        <f t="shared" si="53"/>
        <v>1147</v>
      </c>
      <c r="B1148" s="496" t="s">
        <v>1234</v>
      </c>
      <c r="C1148" s="495" t="s">
        <v>91</v>
      </c>
      <c r="D1148" s="497" t="s">
        <v>92</v>
      </c>
      <c r="E1148" s="496" t="str">
        <f t="shared" si="51"/>
        <v>12</v>
      </c>
      <c r="F1148" s="496">
        <v>25724</v>
      </c>
      <c r="G1148" s="496" t="str">
        <f t="shared" si="52"/>
        <v>20501620107</v>
      </c>
    </row>
    <row r="1149" spans="1:7">
      <c r="A1149" s="496">
        <f t="shared" si="53"/>
        <v>1148</v>
      </c>
      <c r="B1149" s="496" t="s">
        <v>1235</v>
      </c>
      <c r="C1149" s="495" t="s">
        <v>85</v>
      </c>
      <c r="D1149" s="497" t="s">
        <v>86</v>
      </c>
      <c r="E1149" s="496" t="str">
        <f t="shared" si="51"/>
        <v>09</v>
      </c>
      <c r="F1149" s="496">
        <v>25719</v>
      </c>
      <c r="G1149" s="496" t="str">
        <f t="shared" si="52"/>
        <v>20501638651</v>
      </c>
    </row>
    <row r="1150" spans="1:7">
      <c r="A1150" s="496">
        <f t="shared" si="53"/>
        <v>1149</v>
      </c>
      <c r="B1150" s="496" t="s">
        <v>1236</v>
      </c>
      <c r="C1150" s="495" t="s">
        <v>77</v>
      </c>
      <c r="D1150" s="497" t="s">
        <v>78</v>
      </c>
      <c r="E1150" s="496" t="str">
        <f t="shared" si="51"/>
        <v>07</v>
      </c>
      <c r="F1150" s="496">
        <v>25717</v>
      </c>
      <c r="G1150" s="496" t="str">
        <f t="shared" si="52"/>
        <v>20501663256</v>
      </c>
    </row>
    <row r="1151" spans="1:7">
      <c r="A1151" s="496">
        <f t="shared" si="53"/>
        <v>1150</v>
      </c>
      <c r="B1151" s="496" t="s">
        <v>1237</v>
      </c>
      <c r="C1151" s="495" t="s">
        <v>82</v>
      </c>
      <c r="D1151" s="497" t="s">
        <v>83</v>
      </c>
      <c r="E1151" s="496" t="str">
        <f t="shared" si="51"/>
        <v>08</v>
      </c>
      <c r="F1151" s="496">
        <v>25718</v>
      </c>
      <c r="G1151" s="496" t="str">
        <f t="shared" si="52"/>
        <v>20501923428</v>
      </c>
    </row>
    <row r="1152" spans="1:7">
      <c r="A1152" s="496">
        <f t="shared" si="53"/>
        <v>1151</v>
      </c>
      <c r="B1152" s="496" t="s">
        <v>1238</v>
      </c>
      <c r="C1152" s="495" t="s">
        <v>88</v>
      </c>
      <c r="D1152" s="497" t="s">
        <v>89</v>
      </c>
      <c r="E1152" s="496" t="str">
        <f t="shared" si="51"/>
        <v>11</v>
      </c>
      <c r="F1152" s="496">
        <v>25720</v>
      </c>
      <c r="G1152" s="496" t="str">
        <f t="shared" si="52"/>
        <v>20501967638</v>
      </c>
    </row>
    <row r="1153" spans="1:7">
      <c r="A1153" s="496">
        <f t="shared" si="53"/>
        <v>1152</v>
      </c>
      <c r="B1153" s="496" t="s">
        <v>1239</v>
      </c>
      <c r="C1153" s="495" t="s">
        <v>85</v>
      </c>
      <c r="D1153" s="497" t="s">
        <v>86</v>
      </c>
      <c r="E1153" s="496" t="str">
        <f t="shared" si="51"/>
        <v>09</v>
      </c>
      <c r="F1153" s="496">
        <v>25719</v>
      </c>
      <c r="G1153" s="496" t="str">
        <f t="shared" si="52"/>
        <v>20502028104</v>
      </c>
    </row>
    <row r="1154" spans="1:7">
      <c r="A1154" s="496">
        <f t="shared" si="53"/>
        <v>1153</v>
      </c>
      <c r="B1154" s="496" t="s">
        <v>1240</v>
      </c>
      <c r="C1154" s="495" t="s">
        <v>88</v>
      </c>
      <c r="D1154" s="497" t="s">
        <v>89</v>
      </c>
      <c r="E1154" s="496" t="str">
        <f t="shared" si="51"/>
        <v>11</v>
      </c>
      <c r="F1154" s="496">
        <v>25720</v>
      </c>
      <c r="G1154" s="496" t="str">
        <f t="shared" si="52"/>
        <v>20502042352</v>
      </c>
    </row>
    <row r="1155" spans="1:7">
      <c r="A1155" s="496">
        <f t="shared" si="53"/>
        <v>1154</v>
      </c>
      <c r="B1155" s="496" t="s">
        <v>1241</v>
      </c>
      <c r="C1155" s="495" t="s">
        <v>91</v>
      </c>
      <c r="D1155" s="497" t="s">
        <v>92</v>
      </c>
      <c r="E1155" s="496" t="str">
        <f t="shared" ref="E1155:E1218" si="54">IF(MID(D1155,14,1)="@",MID(D1155,12,2),"0"&amp;MID(D1155,12,1))</f>
        <v>12</v>
      </c>
      <c r="F1155" s="496">
        <v>25724</v>
      </c>
      <c r="G1155" s="496" t="str">
        <f t="shared" ref="G1155:G1218" si="55">CONCATENATE(B1155)</f>
        <v>20502102517</v>
      </c>
    </row>
    <row r="1156" spans="1:7">
      <c r="A1156" s="496">
        <f t="shared" ref="A1156:A1219" si="56">+A1155+1</f>
        <v>1155</v>
      </c>
      <c r="B1156" s="496" t="s">
        <v>1242</v>
      </c>
      <c r="C1156" s="495" t="s">
        <v>91</v>
      </c>
      <c r="D1156" s="497" t="s">
        <v>92</v>
      </c>
      <c r="E1156" s="496" t="str">
        <f t="shared" si="54"/>
        <v>12</v>
      </c>
      <c r="F1156" s="496">
        <v>25724</v>
      </c>
      <c r="G1156" s="496" t="str">
        <f t="shared" si="55"/>
        <v>20502129806</v>
      </c>
    </row>
    <row r="1157" spans="1:7">
      <c r="A1157" s="496">
        <f t="shared" si="56"/>
        <v>1156</v>
      </c>
      <c r="B1157" s="496" t="s">
        <v>1243</v>
      </c>
      <c r="C1157" s="495" t="s">
        <v>77</v>
      </c>
      <c r="D1157" s="497" t="s">
        <v>78</v>
      </c>
      <c r="E1157" s="496" t="str">
        <f t="shared" si="54"/>
        <v>07</v>
      </c>
      <c r="F1157" s="496">
        <v>25717</v>
      </c>
      <c r="G1157" s="496" t="str">
        <f t="shared" si="55"/>
        <v>20502175581</v>
      </c>
    </row>
    <row r="1158" spans="1:7">
      <c r="A1158" s="496">
        <f t="shared" si="56"/>
        <v>1157</v>
      </c>
      <c r="B1158" s="496" t="s">
        <v>1244</v>
      </c>
      <c r="C1158" s="495" t="s">
        <v>82</v>
      </c>
      <c r="D1158" s="497" t="s">
        <v>83</v>
      </c>
      <c r="E1158" s="496" t="str">
        <f t="shared" si="54"/>
        <v>08</v>
      </c>
      <c r="F1158" s="496">
        <v>25718</v>
      </c>
      <c r="G1158" s="496" t="str">
        <f t="shared" si="55"/>
        <v>20502187679</v>
      </c>
    </row>
    <row r="1159" spans="1:7">
      <c r="A1159" s="496">
        <f t="shared" si="56"/>
        <v>1158</v>
      </c>
      <c r="B1159" s="496" t="s">
        <v>1245</v>
      </c>
      <c r="C1159" s="495" t="s">
        <v>85</v>
      </c>
      <c r="D1159" s="497" t="s">
        <v>86</v>
      </c>
      <c r="E1159" s="496" t="str">
        <f t="shared" si="54"/>
        <v>09</v>
      </c>
      <c r="F1159" s="496">
        <v>25719</v>
      </c>
      <c r="G1159" s="496" t="str">
        <f t="shared" si="55"/>
        <v>20502203461</v>
      </c>
    </row>
    <row r="1160" spans="1:7">
      <c r="A1160" s="496">
        <f t="shared" si="56"/>
        <v>1159</v>
      </c>
      <c r="B1160" s="496" t="s">
        <v>1246</v>
      </c>
      <c r="C1160" s="495" t="s">
        <v>88</v>
      </c>
      <c r="D1160" s="497" t="s">
        <v>89</v>
      </c>
      <c r="E1160" s="496" t="str">
        <f t="shared" si="54"/>
        <v>11</v>
      </c>
      <c r="F1160" s="496">
        <v>25720</v>
      </c>
      <c r="G1160" s="496" t="str">
        <f t="shared" si="55"/>
        <v>20502288947</v>
      </c>
    </row>
    <row r="1161" spans="1:7">
      <c r="A1161" s="496">
        <f t="shared" si="56"/>
        <v>1160</v>
      </c>
      <c r="B1161" s="496" t="s">
        <v>1247</v>
      </c>
      <c r="C1161" s="495" t="s">
        <v>91</v>
      </c>
      <c r="D1161" s="497" t="s">
        <v>92</v>
      </c>
      <c r="E1161" s="496" t="str">
        <f t="shared" si="54"/>
        <v>12</v>
      </c>
      <c r="F1161" s="496">
        <v>25724</v>
      </c>
      <c r="G1161" s="496" t="str">
        <f t="shared" si="55"/>
        <v>20502333322</v>
      </c>
    </row>
    <row r="1162" spans="1:7">
      <c r="A1162" s="496">
        <f t="shared" si="56"/>
        <v>1161</v>
      </c>
      <c r="B1162" s="496" t="s">
        <v>1248</v>
      </c>
      <c r="C1162" s="495" t="s">
        <v>77</v>
      </c>
      <c r="D1162" s="497" t="s">
        <v>78</v>
      </c>
      <c r="E1162" s="496" t="str">
        <f t="shared" si="54"/>
        <v>07</v>
      </c>
      <c r="F1162" s="496">
        <v>25717</v>
      </c>
      <c r="G1162" s="496" t="str">
        <f t="shared" si="55"/>
        <v>20502407385</v>
      </c>
    </row>
    <row r="1163" spans="1:7">
      <c r="A1163" s="496">
        <f t="shared" si="56"/>
        <v>1162</v>
      </c>
      <c r="B1163" s="496" t="s">
        <v>1249</v>
      </c>
      <c r="C1163" s="495" t="s">
        <v>82</v>
      </c>
      <c r="D1163" s="497" t="s">
        <v>83</v>
      </c>
      <c r="E1163" s="496" t="str">
        <f t="shared" si="54"/>
        <v>08</v>
      </c>
      <c r="F1163" s="496">
        <v>25718</v>
      </c>
      <c r="G1163" s="496" t="str">
        <f t="shared" si="55"/>
        <v>20502435672</v>
      </c>
    </row>
    <row r="1164" spans="1:7">
      <c r="A1164" s="496">
        <f t="shared" si="56"/>
        <v>1163</v>
      </c>
      <c r="B1164" s="496" t="s">
        <v>1250</v>
      </c>
      <c r="C1164" s="495" t="s">
        <v>85</v>
      </c>
      <c r="D1164" s="497" t="s">
        <v>86</v>
      </c>
      <c r="E1164" s="496" t="str">
        <f t="shared" si="54"/>
        <v>09</v>
      </c>
      <c r="F1164" s="496">
        <v>25719</v>
      </c>
      <c r="G1164" s="496" t="str">
        <f t="shared" si="55"/>
        <v>20502437616</v>
      </c>
    </row>
    <row r="1165" spans="1:7">
      <c r="A1165" s="496">
        <f t="shared" si="56"/>
        <v>1164</v>
      </c>
      <c r="B1165" s="496" t="s">
        <v>1251</v>
      </c>
      <c r="C1165" s="495" t="s">
        <v>88</v>
      </c>
      <c r="D1165" s="497" t="s">
        <v>89</v>
      </c>
      <c r="E1165" s="496" t="str">
        <f t="shared" si="54"/>
        <v>11</v>
      </c>
      <c r="F1165" s="496">
        <v>25720</v>
      </c>
      <c r="G1165" s="496" t="str">
        <f t="shared" si="55"/>
        <v>20502772831</v>
      </c>
    </row>
    <row r="1166" spans="1:7">
      <c r="A1166" s="496">
        <f t="shared" si="56"/>
        <v>1165</v>
      </c>
      <c r="B1166" s="496" t="s">
        <v>1252</v>
      </c>
      <c r="C1166" s="495" t="s">
        <v>77</v>
      </c>
      <c r="D1166" s="497" t="s">
        <v>78</v>
      </c>
      <c r="E1166" s="496" t="str">
        <f t="shared" si="54"/>
        <v>07</v>
      </c>
      <c r="F1166" s="496">
        <v>25717</v>
      </c>
      <c r="G1166" s="496" t="str">
        <f t="shared" si="55"/>
        <v>20502797230</v>
      </c>
    </row>
    <row r="1167" spans="1:7">
      <c r="A1167" s="496">
        <f t="shared" si="56"/>
        <v>1166</v>
      </c>
      <c r="B1167" s="496" t="s">
        <v>1253</v>
      </c>
      <c r="C1167" s="495" t="s">
        <v>91</v>
      </c>
      <c r="D1167" s="497" t="s">
        <v>92</v>
      </c>
      <c r="E1167" s="496" t="str">
        <f t="shared" si="54"/>
        <v>12</v>
      </c>
      <c r="F1167" s="496">
        <v>25724</v>
      </c>
      <c r="G1167" s="496" t="str">
        <f t="shared" si="55"/>
        <v>20502807057</v>
      </c>
    </row>
    <row r="1168" spans="1:7">
      <c r="A1168" s="496">
        <f t="shared" si="56"/>
        <v>1167</v>
      </c>
      <c r="B1168" s="496" t="s">
        <v>1254</v>
      </c>
      <c r="C1168" s="495" t="s">
        <v>77</v>
      </c>
      <c r="D1168" s="497" t="s">
        <v>78</v>
      </c>
      <c r="E1168" s="496" t="str">
        <f t="shared" si="54"/>
        <v>07</v>
      </c>
      <c r="F1168" s="496">
        <v>25717</v>
      </c>
      <c r="G1168" s="496" t="str">
        <f t="shared" si="55"/>
        <v>20502896301</v>
      </c>
    </row>
    <row r="1169" spans="1:7">
      <c r="A1169" s="496">
        <f t="shared" si="56"/>
        <v>1168</v>
      </c>
      <c r="B1169" s="496" t="s">
        <v>1255</v>
      </c>
      <c r="C1169" s="495" t="s">
        <v>82</v>
      </c>
      <c r="D1169" s="497" t="s">
        <v>83</v>
      </c>
      <c r="E1169" s="496" t="str">
        <f t="shared" si="54"/>
        <v>08</v>
      </c>
      <c r="F1169" s="496">
        <v>25718</v>
      </c>
      <c r="G1169" s="496" t="str">
        <f t="shared" si="55"/>
        <v>20503180449</v>
      </c>
    </row>
    <row r="1170" spans="1:7">
      <c r="A1170" s="496">
        <f t="shared" si="56"/>
        <v>1169</v>
      </c>
      <c r="B1170" s="496" t="s">
        <v>1256</v>
      </c>
      <c r="C1170" s="495" t="s">
        <v>82</v>
      </c>
      <c r="D1170" s="497" t="s">
        <v>83</v>
      </c>
      <c r="E1170" s="496" t="str">
        <f t="shared" si="54"/>
        <v>08</v>
      </c>
      <c r="F1170" s="496">
        <v>25718</v>
      </c>
      <c r="G1170" s="496" t="str">
        <f t="shared" si="55"/>
        <v>20503258901</v>
      </c>
    </row>
    <row r="1171" spans="1:7">
      <c r="A1171" s="496">
        <f t="shared" si="56"/>
        <v>1170</v>
      </c>
      <c r="B1171" s="496" t="s">
        <v>1257</v>
      </c>
      <c r="C1171" s="495" t="s">
        <v>85</v>
      </c>
      <c r="D1171" s="497" t="s">
        <v>86</v>
      </c>
      <c r="E1171" s="496" t="str">
        <f t="shared" si="54"/>
        <v>09</v>
      </c>
      <c r="F1171" s="496">
        <v>25719</v>
      </c>
      <c r="G1171" s="496" t="str">
        <f t="shared" si="55"/>
        <v>20503314585</v>
      </c>
    </row>
    <row r="1172" spans="1:7">
      <c r="A1172" s="496">
        <f t="shared" si="56"/>
        <v>1171</v>
      </c>
      <c r="B1172" s="496" t="s">
        <v>1258</v>
      </c>
      <c r="C1172" s="495" t="s">
        <v>88</v>
      </c>
      <c r="D1172" s="497" t="s">
        <v>89</v>
      </c>
      <c r="E1172" s="496" t="str">
        <f t="shared" si="54"/>
        <v>11</v>
      </c>
      <c r="F1172" s="496">
        <v>25720</v>
      </c>
      <c r="G1172" s="496" t="str">
        <f t="shared" si="55"/>
        <v>20503382742</v>
      </c>
    </row>
    <row r="1173" spans="1:7">
      <c r="A1173" s="496">
        <f t="shared" si="56"/>
        <v>1172</v>
      </c>
      <c r="B1173" s="496" t="s">
        <v>1259</v>
      </c>
      <c r="C1173" s="495" t="s">
        <v>91</v>
      </c>
      <c r="D1173" s="497" t="s">
        <v>92</v>
      </c>
      <c r="E1173" s="496" t="str">
        <f t="shared" si="54"/>
        <v>12</v>
      </c>
      <c r="F1173" s="496">
        <v>25724</v>
      </c>
      <c r="G1173" s="496" t="str">
        <f t="shared" si="55"/>
        <v>20503423287</v>
      </c>
    </row>
    <row r="1174" spans="1:7">
      <c r="A1174" s="496">
        <f t="shared" si="56"/>
        <v>1173</v>
      </c>
      <c r="B1174" s="496" t="s">
        <v>1260</v>
      </c>
      <c r="C1174" s="495" t="s">
        <v>77</v>
      </c>
      <c r="D1174" s="497" t="s">
        <v>78</v>
      </c>
      <c r="E1174" s="496" t="str">
        <f t="shared" si="54"/>
        <v>07</v>
      </c>
      <c r="F1174" s="496">
        <v>25717</v>
      </c>
      <c r="G1174" s="496" t="str">
        <f t="shared" si="55"/>
        <v>20503464129</v>
      </c>
    </row>
    <row r="1175" spans="1:7">
      <c r="A1175" s="496">
        <f t="shared" si="56"/>
        <v>1174</v>
      </c>
      <c r="B1175" s="496" t="s">
        <v>1261</v>
      </c>
      <c r="C1175" s="495" t="s">
        <v>85</v>
      </c>
      <c r="D1175" s="497" t="s">
        <v>86</v>
      </c>
      <c r="E1175" s="496" t="str">
        <f t="shared" si="54"/>
        <v>09</v>
      </c>
      <c r="F1175" s="496">
        <v>25719</v>
      </c>
      <c r="G1175" s="496" t="str">
        <f t="shared" si="55"/>
        <v>20503595819</v>
      </c>
    </row>
    <row r="1176" spans="1:7">
      <c r="A1176" s="496">
        <f t="shared" si="56"/>
        <v>1175</v>
      </c>
      <c r="B1176" s="496" t="s">
        <v>1262</v>
      </c>
      <c r="C1176" s="495" t="s">
        <v>82</v>
      </c>
      <c r="D1176" s="497" t="s">
        <v>83</v>
      </c>
      <c r="E1176" s="496" t="str">
        <f t="shared" si="54"/>
        <v>08</v>
      </c>
      <c r="F1176" s="496">
        <v>25718</v>
      </c>
      <c r="G1176" s="496" t="str">
        <f t="shared" si="55"/>
        <v>20503610711</v>
      </c>
    </row>
    <row r="1177" spans="1:7">
      <c r="A1177" s="496">
        <f t="shared" si="56"/>
        <v>1176</v>
      </c>
      <c r="B1177" s="496" t="s">
        <v>1263</v>
      </c>
      <c r="C1177" s="495" t="s">
        <v>85</v>
      </c>
      <c r="D1177" s="497" t="s">
        <v>86</v>
      </c>
      <c r="E1177" s="496" t="str">
        <f t="shared" si="54"/>
        <v>09</v>
      </c>
      <c r="F1177" s="496">
        <v>25719</v>
      </c>
      <c r="G1177" s="496" t="str">
        <f t="shared" si="55"/>
        <v>20503623961</v>
      </c>
    </row>
    <row r="1178" spans="1:7">
      <c r="A1178" s="496">
        <f t="shared" si="56"/>
        <v>1177</v>
      </c>
      <c r="B1178" s="496" t="s">
        <v>1264</v>
      </c>
      <c r="C1178" s="495" t="s">
        <v>88</v>
      </c>
      <c r="D1178" s="497" t="s">
        <v>89</v>
      </c>
      <c r="E1178" s="496" t="str">
        <f t="shared" si="54"/>
        <v>11</v>
      </c>
      <c r="F1178" s="496">
        <v>25720</v>
      </c>
      <c r="G1178" s="496" t="str">
        <f t="shared" si="55"/>
        <v>20503632528</v>
      </c>
    </row>
    <row r="1179" spans="1:7">
      <c r="A1179" s="496">
        <f t="shared" si="56"/>
        <v>1178</v>
      </c>
      <c r="B1179" s="496" t="s">
        <v>1265</v>
      </c>
      <c r="C1179" s="495" t="s">
        <v>91</v>
      </c>
      <c r="D1179" s="497" t="s">
        <v>92</v>
      </c>
      <c r="E1179" s="496" t="str">
        <f t="shared" si="54"/>
        <v>12</v>
      </c>
      <c r="F1179" s="496">
        <v>25724</v>
      </c>
      <c r="G1179" s="496" t="str">
        <f t="shared" si="55"/>
        <v>20503643309</v>
      </c>
    </row>
    <row r="1180" spans="1:7">
      <c r="A1180" s="496">
        <f t="shared" si="56"/>
        <v>1179</v>
      </c>
      <c r="B1180" s="496" t="s">
        <v>1266</v>
      </c>
      <c r="C1180" s="495" t="s">
        <v>77</v>
      </c>
      <c r="D1180" s="497" t="s">
        <v>78</v>
      </c>
      <c r="E1180" s="496" t="str">
        <f t="shared" si="54"/>
        <v>07</v>
      </c>
      <c r="F1180" s="496">
        <v>25717</v>
      </c>
      <c r="G1180" s="496" t="str">
        <f t="shared" si="55"/>
        <v>20503727405</v>
      </c>
    </row>
    <row r="1181" spans="1:7">
      <c r="A1181" s="496">
        <f t="shared" si="56"/>
        <v>1180</v>
      </c>
      <c r="B1181" s="496" t="s">
        <v>1267</v>
      </c>
      <c r="C1181" s="495" t="s">
        <v>82</v>
      </c>
      <c r="D1181" s="497" t="s">
        <v>83</v>
      </c>
      <c r="E1181" s="496" t="str">
        <f t="shared" si="54"/>
        <v>08</v>
      </c>
      <c r="F1181" s="496">
        <v>25718</v>
      </c>
      <c r="G1181" s="496" t="str">
        <f t="shared" si="55"/>
        <v>20503840121</v>
      </c>
    </row>
    <row r="1182" spans="1:7">
      <c r="A1182" s="496">
        <f t="shared" si="56"/>
        <v>1181</v>
      </c>
      <c r="B1182" s="496" t="s">
        <v>1268</v>
      </c>
      <c r="C1182" s="495" t="s">
        <v>85</v>
      </c>
      <c r="D1182" s="497" t="s">
        <v>86</v>
      </c>
      <c r="E1182" s="496" t="str">
        <f t="shared" si="54"/>
        <v>09</v>
      </c>
      <c r="F1182" s="496">
        <v>25719</v>
      </c>
      <c r="G1182" s="496" t="str">
        <f t="shared" si="55"/>
        <v>20504004415</v>
      </c>
    </row>
    <row r="1183" spans="1:7">
      <c r="A1183" s="496">
        <f t="shared" si="56"/>
        <v>1182</v>
      </c>
      <c r="B1183" s="496" t="s">
        <v>1269</v>
      </c>
      <c r="C1183" s="495" t="s">
        <v>88</v>
      </c>
      <c r="D1183" s="497" t="s">
        <v>89</v>
      </c>
      <c r="E1183" s="496" t="str">
        <f t="shared" si="54"/>
        <v>11</v>
      </c>
      <c r="F1183" s="496">
        <v>25720</v>
      </c>
      <c r="G1183" s="496" t="str">
        <f t="shared" si="55"/>
        <v>20504166318</v>
      </c>
    </row>
    <row r="1184" spans="1:7">
      <c r="A1184" s="496">
        <f t="shared" si="56"/>
        <v>1183</v>
      </c>
      <c r="B1184" s="496" t="s">
        <v>1270</v>
      </c>
      <c r="C1184" s="495" t="s">
        <v>91</v>
      </c>
      <c r="D1184" s="497" t="s">
        <v>92</v>
      </c>
      <c r="E1184" s="496" t="str">
        <f t="shared" si="54"/>
        <v>12</v>
      </c>
      <c r="F1184" s="496">
        <v>25724</v>
      </c>
      <c r="G1184" s="496" t="str">
        <f t="shared" si="55"/>
        <v>20504187234</v>
      </c>
    </row>
    <row r="1185" spans="1:7">
      <c r="A1185" s="496">
        <f t="shared" si="56"/>
        <v>1184</v>
      </c>
      <c r="B1185" s="496" t="s">
        <v>1271</v>
      </c>
      <c r="C1185" s="495" t="s">
        <v>77</v>
      </c>
      <c r="D1185" s="497" t="s">
        <v>78</v>
      </c>
      <c r="E1185" s="496" t="str">
        <f t="shared" si="54"/>
        <v>07</v>
      </c>
      <c r="F1185" s="496">
        <v>25717</v>
      </c>
      <c r="G1185" s="496" t="str">
        <f t="shared" si="55"/>
        <v>20504299628</v>
      </c>
    </row>
    <row r="1186" spans="1:7">
      <c r="A1186" s="496">
        <f t="shared" si="56"/>
        <v>1185</v>
      </c>
      <c r="B1186" s="496" t="s">
        <v>1272</v>
      </c>
      <c r="C1186" s="495" t="s">
        <v>82</v>
      </c>
      <c r="D1186" s="497" t="s">
        <v>83</v>
      </c>
      <c r="E1186" s="496" t="str">
        <f t="shared" si="54"/>
        <v>08</v>
      </c>
      <c r="F1186" s="496">
        <v>25718</v>
      </c>
      <c r="G1186" s="496" t="str">
        <f t="shared" si="55"/>
        <v>20504312403</v>
      </c>
    </row>
    <row r="1187" spans="1:7">
      <c r="A1187" s="496">
        <f t="shared" si="56"/>
        <v>1186</v>
      </c>
      <c r="B1187" s="496" t="s">
        <v>1273</v>
      </c>
      <c r="C1187" s="495" t="s">
        <v>85</v>
      </c>
      <c r="D1187" s="497" t="s">
        <v>86</v>
      </c>
      <c r="E1187" s="496" t="str">
        <f t="shared" si="54"/>
        <v>09</v>
      </c>
      <c r="F1187" s="496">
        <v>25719</v>
      </c>
      <c r="G1187" s="496" t="str">
        <f t="shared" si="55"/>
        <v>20504541267</v>
      </c>
    </row>
    <row r="1188" spans="1:7">
      <c r="A1188" s="496">
        <f t="shared" si="56"/>
        <v>1187</v>
      </c>
      <c r="B1188" s="496" t="s">
        <v>1274</v>
      </c>
      <c r="C1188" s="495" t="s">
        <v>88</v>
      </c>
      <c r="D1188" s="497" t="s">
        <v>89</v>
      </c>
      <c r="E1188" s="496" t="str">
        <f t="shared" si="54"/>
        <v>11</v>
      </c>
      <c r="F1188" s="496">
        <v>25720</v>
      </c>
      <c r="G1188" s="496" t="str">
        <f t="shared" si="55"/>
        <v>20504795790</v>
      </c>
    </row>
    <row r="1189" spans="1:7">
      <c r="A1189" s="496">
        <f t="shared" si="56"/>
        <v>1188</v>
      </c>
      <c r="B1189" s="496" t="s">
        <v>1275</v>
      </c>
      <c r="C1189" s="495" t="s">
        <v>88</v>
      </c>
      <c r="D1189" s="497" t="s">
        <v>89</v>
      </c>
      <c r="E1189" s="496" t="str">
        <f t="shared" si="54"/>
        <v>11</v>
      </c>
      <c r="F1189" s="496">
        <v>25720</v>
      </c>
      <c r="G1189" s="496" t="str">
        <f t="shared" si="55"/>
        <v>20504946241</v>
      </c>
    </row>
    <row r="1190" spans="1:7">
      <c r="A1190" s="496">
        <f t="shared" si="56"/>
        <v>1189</v>
      </c>
      <c r="B1190" s="496" t="s">
        <v>1276</v>
      </c>
      <c r="C1190" s="495" t="s">
        <v>91</v>
      </c>
      <c r="D1190" s="497" t="s">
        <v>92</v>
      </c>
      <c r="E1190" s="496" t="str">
        <f t="shared" si="54"/>
        <v>12</v>
      </c>
      <c r="F1190" s="496">
        <v>25724</v>
      </c>
      <c r="G1190" s="496" t="str">
        <f t="shared" si="55"/>
        <v>20504963927</v>
      </c>
    </row>
    <row r="1191" spans="1:7">
      <c r="A1191" s="496">
        <f t="shared" si="56"/>
        <v>1190</v>
      </c>
      <c r="B1191" s="496" t="s">
        <v>1277</v>
      </c>
      <c r="C1191" s="495" t="s">
        <v>77</v>
      </c>
      <c r="D1191" s="497" t="s">
        <v>78</v>
      </c>
      <c r="E1191" s="496" t="str">
        <f t="shared" si="54"/>
        <v>07</v>
      </c>
      <c r="F1191" s="496">
        <v>25717</v>
      </c>
      <c r="G1191" s="496" t="str">
        <f t="shared" si="55"/>
        <v>20504986978</v>
      </c>
    </row>
    <row r="1192" spans="1:7">
      <c r="A1192" s="496">
        <f t="shared" si="56"/>
        <v>1191</v>
      </c>
      <c r="B1192" s="496" t="s">
        <v>1278</v>
      </c>
      <c r="C1192" s="495" t="s">
        <v>82</v>
      </c>
      <c r="D1192" s="497" t="s">
        <v>83</v>
      </c>
      <c r="E1192" s="496" t="str">
        <f t="shared" si="54"/>
        <v>08</v>
      </c>
      <c r="F1192" s="496">
        <v>25718</v>
      </c>
      <c r="G1192" s="496" t="str">
        <f t="shared" si="55"/>
        <v>20505089350</v>
      </c>
    </row>
    <row r="1193" spans="1:7">
      <c r="A1193" s="496">
        <f t="shared" si="56"/>
        <v>1192</v>
      </c>
      <c r="B1193" s="496" t="s">
        <v>1279</v>
      </c>
      <c r="C1193" s="495" t="s">
        <v>85</v>
      </c>
      <c r="D1193" s="497" t="s">
        <v>86</v>
      </c>
      <c r="E1193" s="496" t="str">
        <f t="shared" si="54"/>
        <v>09</v>
      </c>
      <c r="F1193" s="496">
        <v>25719</v>
      </c>
      <c r="G1193" s="496" t="str">
        <f t="shared" si="55"/>
        <v>20505108672</v>
      </c>
    </row>
    <row r="1194" spans="1:7">
      <c r="A1194" s="496">
        <f t="shared" si="56"/>
        <v>1193</v>
      </c>
      <c r="B1194" s="496" t="s">
        <v>1280</v>
      </c>
      <c r="C1194" s="495" t="s">
        <v>88</v>
      </c>
      <c r="D1194" s="497" t="s">
        <v>89</v>
      </c>
      <c r="E1194" s="496" t="str">
        <f t="shared" si="54"/>
        <v>11</v>
      </c>
      <c r="F1194" s="496">
        <v>25720</v>
      </c>
      <c r="G1194" s="496" t="str">
        <f t="shared" si="55"/>
        <v>20505203586</v>
      </c>
    </row>
    <row r="1195" spans="1:7">
      <c r="A1195" s="496">
        <f t="shared" si="56"/>
        <v>1194</v>
      </c>
      <c r="B1195" s="496" t="s">
        <v>1281</v>
      </c>
      <c r="C1195" s="495" t="s">
        <v>91</v>
      </c>
      <c r="D1195" s="497" t="s">
        <v>92</v>
      </c>
      <c r="E1195" s="496" t="str">
        <f t="shared" si="54"/>
        <v>12</v>
      </c>
      <c r="F1195" s="496">
        <v>25724</v>
      </c>
      <c r="G1195" s="496" t="str">
        <f t="shared" si="55"/>
        <v>20505225555</v>
      </c>
    </row>
    <row r="1196" spans="1:7">
      <c r="A1196" s="496">
        <f t="shared" si="56"/>
        <v>1195</v>
      </c>
      <c r="B1196" s="496" t="s">
        <v>1282</v>
      </c>
      <c r="C1196" s="495" t="s">
        <v>77</v>
      </c>
      <c r="D1196" s="497" t="s">
        <v>78</v>
      </c>
      <c r="E1196" s="496" t="str">
        <f t="shared" si="54"/>
        <v>07</v>
      </c>
      <c r="F1196" s="496">
        <v>25717</v>
      </c>
      <c r="G1196" s="496" t="str">
        <f t="shared" si="55"/>
        <v>20505226446</v>
      </c>
    </row>
    <row r="1197" spans="1:7">
      <c r="A1197" s="496">
        <f t="shared" si="56"/>
        <v>1196</v>
      </c>
      <c r="B1197" s="496" t="s">
        <v>1283</v>
      </c>
      <c r="C1197" s="495" t="s">
        <v>91</v>
      </c>
      <c r="D1197" s="497" t="s">
        <v>92</v>
      </c>
      <c r="E1197" s="496" t="str">
        <f t="shared" si="54"/>
        <v>12</v>
      </c>
      <c r="F1197" s="496">
        <v>25724</v>
      </c>
      <c r="G1197" s="496" t="str">
        <f t="shared" si="55"/>
        <v>20505243537</v>
      </c>
    </row>
    <row r="1198" spans="1:7">
      <c r="A1198" s="496">
        <f t="shared" si="56"/>
        <v>1197</v>
      </c>
      <c r="B1198" s="496" t="s">
        <v>1284</v>
      </c>
      <c r="C1198" s="495" t="s">
        <v>82</v>
      </c>
      <c r="D1198" s="497" t="s">
        <v>83</v>
      </c>
      <c r="E1198" s="496" t="str">
        <f t="shared" si="54"/>
        <v>08</v>
      </c>
      <c r="F1198" s="496">
        <v>25718</v>
      </c>
      <c r="G1198" s="496" t="str">
        <f t="shared" si="55"/>
        <v>20505250401</v>
      </c>
    </row>
    <row r="1199" spans="1:7">
      <c r="A1199" s="496">
        <f t="shared" si="56"/>
        <v>1198</v>
      </c>
      <c r="B1199" s="496" t="s">
        <v>1285</v>
      </c>
      <c r="C1199" s="495" t="s">
        <v>85</v>
      </c>
      <c r="D1199" s="497" t="s">
        <v>86</v>
      </c>
      <c r="E1199" s="496" t="str">
        <f t="shared" si="54"/>
        <v>09</v>
      </c>
      <c r="F1199" s="496">
        <v>25719</v>
      </c>
      <c r="G1199" s="496" t="str">
        <f t="shared" si="55"/>
        <v>20505364164</v>
      </c>
    </row>
    <row r="1200" spans="1:7">
      <c r="A1200" s="496">
        <f t="shared" si="56"/>
        <v>1199</v>
      </c>
      <c r="B1200" s="496" t="s">
        <v>1286</v>
      </c>
      <c r="C1200" s="495" t="s">
        <v>88</v>
      </c>
      <c r="D1200" s="497" t="s">
        <v>89</v>
      </c>
      <c r="E1200" s="496" t="str">
        <f t="shared" si="54"/>
        <v>11</v>
      </c>
      <c r="F1200" s="496">
        <v>25720</v>
      </c>
      <c r="G1200" s="496" t="str">
        <f t="shared" si="55"/>
        <v>20505440286</v>
      </c>
    </row>
    <row r="1201" spans="1:7">
      <c r="A1201" s="496">
        <f t="shared" si="56"/>
        <v>1200</v>
      </c>
      <c r="B1201" s="496" t="s">
        <v>1287</v>
      </c>
      <c r="C1201" s="495" t="s">
        <v>91</v>
      </c>
      <c r="D1201" s="497" t="s">
        <v>92</v>
      </c>
      <c r="E1201" s="496" t="str">
        <f t="shared" si="54"/>
        <v>12</v>
      </c>
      <c r="F1201" s="496">
        <v>25724</v>
      </c>
      <c r="G1201" s="496" t="str">
        <f t="shared" si="55"/>
        <v>20505519893</v>
      </c>
    </row>
    <row r="1202" spans="1:7">
      <c r="A1202" s="496">
        <f t="shared" si="56"/>
        <v>1201</v>
      </c>
      <c r="B1202" s="496" t="s">
        <v>1288</v>
      </c>
      <c r="C1202" s="495" t="s">
        <v>77</v>
      </c>
      <c r="D1202" s="497" t="s">
        <v>78</v>
      </c>
      <c r="E1202" s="496" t="str">
        <f t="shared" si="54"/>
        <v>07</v>
      </c>
      <c r="F1202" s="496">
        <v>25717</v>
      </c>
      <c r="G1202" s="496" t="str">
        <f t="shared" si="55"/>
        <v>20505598408</v>
      </c>
    </row>
    <row r="1203" spans="1:7">
      <c r="A1203" s="496">
        <f t="shared" si="56"/>
        <v>1202</v>
      </c>
      <c r="B1203" s="496" t="s">
        <v>1289</v>
      </c>
      <c r="C1203" s="495" t="s">
        <v>82</v>
      </c>
      <c r="D1203" s="497" t="s">
        <v>83</v>
      </c>
      <c r="E1203" s="496" t="str">
        <f t="shared" si="54"/>
        <v>08</v>
      </c>
      <c r="F1203" s="496">
        <v>25718</v>
      </c>
      <c r="G1203" s="496" t="str">
        <f t="shared" si="55"/>
        <v>20505612753</v>
      </c>
    </row>
    <row r="1204" spans="1:7">
      <c r="A1204" s="496">
        <f t="shared" si="56"/>
        <v>1203</v>
      </c>
      <c r="B1204" s="496" t="s">
        <v>1290</v>
      </c>
      <c r="C1204" s="495" t="s">
        <v>85</v>
      </c>
      <c r="D1204" s="497" t="s">
        <v>86</v>
      </c>
      <c r="E1204" s="496" t="str">
        <f t="shared" si="54"/>
        <v>09</v>
      </c>
      <c r="F1204" s="496">
        <v>25719</v>
      </c>
      <c r="G1204" s="496" t="str">
        <f t="shared" si="55"/>
        <v>20505779291</v>
      </c>
    </row>
    <row r="1205" spans="1:7">
      <c r="A1205" s="496">
        <f t="shared" si="56"/>
        <v>1204</v>
      </c>
      <c r="B1205" s="496" t="s">
        <v>1291</v>
      </c>
      <c r="C1205" s="495" t="s">
        <v>88</v>
      </c>
      <c r="D1205" s="497" t="s">
        <v>89</v>
      </c>
      <c r="E1205" s="496" t="str">
        <f t="shared" si="54"/>
        <v>11</v>
      </c>
      <c r="F1205" s="496">
        <v>25720</v>
      </c>
      <c r="G1205" s="496" t="str">
        <f t="shared" si="55"/>
        <v>20505960361</v>
      </c>
    </row>
    <row r="1206" spans="1:7">
      <c r="A1206" s="496">
        <f t="shared" si="56"/>
        <v>1205</v>
      </c>
      <c r="B1206" s="496" t="s">
        <v>1292</v>
      </c>
      <c r="C1206" s="495" t="s">
        <v>77</v>
      </c>
      <c r="D1206" s="497" t="s">
        <v>78</v>
      </c>
      <c r="E1206" s="496" t="str">
        <f t="shared" si="54"/>
        <v>07</v>
      </c>
      <c r="F1206" s="496">
        <v>25717</v>
      </c>
      <c r="G1206" s="496" t="str">
        <f t="shared" si="55"/>
        <v>20506006024</v>
      </c>
    </row>
    <row r="1207" spans="1:7">
      <c r="A1207" s="496">
        <f t="shared" si="56"/>
        <v>1206</v>
      </c>
      <c r="B1207" s="496" t="s">
        <v>1293</v>
      </c>
      <c r="C1207" s="495" t="s">
        <v>91</v>
      </c>
      <c r="D1207" s="497" t="s">
        <v>92</v>
      </c>
      <c r="E1207" s="496" t="str">
        <f t="shared" si="54"/>
        <v>12</v>
      </c>
      <c r="F1207" s="496">
        <v>25724</v>
      </c>
      <c r="G1207" s="496" t="str">
        <f t="shared" si="55"/>
        <v>20506035121</v>
      </c>
    </row>
    <row r="1208" spans="1:7">
      <c r="A1208" s="496">
        <f t="shared" si="56"/>
        <v>1207</v>
      </c>
      <c r="B1208" s="496" t="s">
        <v>1294</v>
      </c>
      <c r="C1208" s="495" t="s">
        <v>77</v>
      </c>
      <c r="D1208" s="497" t="s">
        <v>78</v>
      </c>
      <c r="E1208" s="496" t="str">
        <f t="shared" si="54"/>
        <v>07</v>
      </c>
      <c r="F1208" s="496">
        <v>25717</v>
      </c>
      <c r="G1208" s="496" t="str">
        <f t="shared" si="55"/>
        <v>20506223394</v>
      </c>
    </row>
    <row r="1209" spans="1:7">
      <c r="A1209" s="496">
        <f t="shared" si="56"/>
        <v>1208</v>
      </c>
      <c r="B1209" s="496" t="s">
        <v>1295</v>
      </c>
      <c r="C1209" s="495" t="s">
        <v>82</v>
      </c>
      <c r="D1209" s="497" t="s">
        <v>83</v>
      </c>
      <c r="E1209" s="496" t="str">
        <f t="shared" si="54"/>
        <v>08</v>
      </c>
      <c r="F1209" s="496">
        <v>25718</v>
      </c>
      <c r="G1209" s="496" t="str">
        <f t="shared" si="55"/>
        <v>20506228515</v>
      </c>
    </row>
    <row r="1210" spans="1:7">
      <c r="A1210" s="496">
        <f t="shared" si="56"/>
        <v>1209</v>
      </c>
      <c r="B1210" s="496" t="s">
        <v>1296</v>
      </c>
      <c r="C1210" s="495" t="s">
        <v>82</v>
      </c>
      <c r="D1210" s="497" t="s">
        <v>83</v>
      </c>
      <c r="E1210" s="496" t="str">
        <f t="shared" si="54"/>
        <v>08</v>
      </c>
      <c r="F1210" s="496">
        <v>25718</v>
      </c>
      <c r="G1210" s="496" t="str">
        <f t="shared" si="55"/>
        <v>20506285586</v>
      </c>
    </row>
    <row r="1211" spans="1:7">
      <c r="A1211" s="496">
        <f t="shared" si="56"/>
        <v>1210</v>
      </c>
      <c r="B1211" s="496" t="s">
        <v>1297</v>
      </c>
      <c r="C1211" s="495" t="s">
        <v>85</v>
      </c>
      <c r="D1211" s="497" t="s">
        <v>86</v>
      </c>
      <c r="E1211" s="496" t="str">
        <f t="shared" si="54"/>
        <v>09</v>
      </c>
      <c r="F1211" s="496">
        <v>25719</v>
      </c>
      <c r="G1211" s="496" t="str">
        <f t="shared" si="55"/>
        <v>20506427551</v>
      </c>
    </row>
    <row r="1212" spans="1:7">
      <c r="A1212" s="496">
        <f t="shared" si="56"/>
        <v>1211</v>
      </c>
      <c r="B1212" s="496" t="s">
        <v>1298</v>
      </c>
      <c r="C1212" s="495" t="s">
        <v>88</v>
      </c>
      <c r="D1212" s="497" t="s">
        <v>89</v>
      </c>
      <c r="E1212" s="496" t="str">
        <f t="shared" si="54"/>
        <v>11</v>
      </c>
      <c r="F1212" s="496">
        <v>25720</v>
      </c>
      <c r="G1212" s="496" t="str">
        <f t="shared" si="55"/>
        <v>20506440735</v>
      </c>
    </row>
    <row r="1213" spans="1:7">
      <c r="A1213" s="496">
        <f t="shared" si="56"/>
        <v>1212</v>
      </c>
      <c r="B1213" s="496" t="s">
        <v>1299</v>
      </c>
      <c r="C1213" s="495" t="s">
        <v>85</v>
      </c>
      <c r="D1213" s="497" t="s">
        <v>86</v>
      </c>
      <c r="E1213" s="496" t="str">
        <f t="shared" si="54"/>
        <v>09</v>
      </c>
      <c r="F1213" s="496">
        <v>25719</v>
      </c>
      <c r="G1213" s="496" t="str">
        <f t="shared" si="55"/>
        <v>20506540284</v>
      </c>
    </row>
    <row r="1214" spans="1:7">
      <c r="A1214" s="496">
        <f t="shared" si="56"/>
        <v>1213</v>
      </c>
      <c r="B1214" s="496" t="s">
        <v>1300</v>
      </c>
      <c r="C1214" s="495" t="s">
        <v>91</v>
      </c>
      <c r="D1214" s="497" t="s">
        <v>92</v>
      </c>
      <c r="E1214" s="496" t="str">
        <f t="shared" si="54"/>
        <v>12</v>
      </c>
      <c r="F1214" s="496">
        <v>25724</v>
      </c>
      <c r="G1214" s="496" t="str">
        <f t="shared" si="55"/>
        <v>20506643504</v>
      </c>
    </row>
    <row r="1215" spans="1:7">
      <c r="A1215" s="496">
        <f t="shared" si="56"/>
        <v>1214</v>
      </c>
      <c r="B1215" s="496" t="s">
        <v>1301</v>
      </c>
      <c r="C1215" s="495" t="s">
        <v>77</v>
      </c>
      <c r="D1215" s="497" t="s">
        <v>78</v>
      </c>
      <c r="E1215" s="496" t="str">
        <f t="shared" si="54"/>
        <v>07</v>
      </c>
      <c r="F1215" s="496">
        <v>25717</v>
      </c>
      <c r="G1215" s="496" t="str">
        <f t="shared" si="55"/>
        <v>20506759804</v>
      </c>
    </row>
    <row r="1216" spans="1:7">
      <c r="A1216" s="496">
        <f t="shared" si="56"/>
        <v>1215</v>
      </c>
      <c r="B1216" s="496" t="s">
        <v>1302</v>
      </c>
      <c r="C1216" s="495" t="s">
        <v>88</v>
      </c>
      <c r="D1216" s="497" t="s">
        <v>89</v>
      </c>
      <c r="E1216" s="496" t="str">
        <f t="shared" si="54"/>
        <v>11</v>
      </c>
      <c r="F1216" s="496">
        <v>25720</v>
      </c>
      <c r="G1216" s="496" t="str">
        <f t="shared" si="55"/>
        <v>20507133003</v>
      </c>
    </row>
    <row r="1217" spans="1:7">
      <c r="A1217" s="496">
        <f t="shared" si="56"/>
        <v>1216</v>
      </c>
      <c r="B1217" s="496" t="s">
        <v>1303</v>
      </c>
      <c r="C1217" s="495" t="s">
        <v>82</v>
      </c>
      <c r="D1217" s="497" t="s">
        <v>83</v>
      </c>
      <c r="E1217" s="496" t="str">
        <f t="shared" si="54"/>
        <v>08</v>
      </c>
      <c r="F1217" s="496">
        <v>25718</v>
      </c>
      <c r="G1217" s="496" t="str">
        <f t="shared" si="55"/>
        <v>20507314644</v>
      </c>
    </row>
    <row r="1218" spans="1:7">
      <c r="A1218" s="496">
        <f t="shared" si="56"/>
        <v>1217</v>
      </c>
      <c r="B1218" s="496" t="s">
        <v>1304</v>
      </c>
      <c r="C1218" s="495" t="s">
        <v>85</v>
      </c>
      <c r="D1218" s="497" t="s">
        <v>86</v>
      </c>
      <c r="E1218" s="496" t="str">
        <f t="shared" si="54"/>
        <v>09</v>
      </c>
      <c r="F1218" s="496">
        <v>25719</v>
      </c>
      <c r="G1218" s="496" t="str">
        <f t="shared" si="55"/>
        <v>20507360751</v>
      </c>
    </row>
    <row r="1219" spans="1:7">
      <c r="A1219" s="496">
        <f t="shared" si="56"/>
        <v>1218</v>
      </c>
      <c r="B1219" s="496" t="s">
        <v>1305</v>
      </c>
      <c r="C1219" s="495" t="s">
        <v>88</v>
      </c>
      <c r="D1219" s="497" t="s">
        <v>89</v>
      </c>
      <c r="E1219" s="496" t="str">
        <f t="shared" ref="E1219:E1282" si="57">IF(MID(D1219,14,1)="@",MID(D1219,12,2),"0"&amp;MID(D1219,12,1))</f>
        <v>11</v>
      </c>
      <c r="F1219" s="496">
        <v>25720</v>
      </c>
      <c r="G1219" s="496" t="str">
        <f t="shared" ref="G1219:G1282" si="58">CONCATENATE(B1219)</f>
        <v>20507398210</v>
      </c>
    </row>
    <row r="1220" spans="1:7">
      <c r="A1220" s="496">
        <f t="shared" ref="A1220:A1283" si="59">+A1219+1</f>
        <v>1219</v>
      </c>
      <c r="B1220" s="496" t="s">
        <v>1306</v>
      </c>
      <c r="C1220" s="495" t="s">
        <v>91</v>
      </c>
      <c r="D1220" s="497" t="s">
        <v>92</v>
      </c>
      <c r="E1220" s="496" t="str">
        <f t="shared" si="57"/>
        <v>12</v>
      </c>
      <c r="F1220" s="496">
        <v>25724</v>
      </c>
      <c r="G1220" s="496" t="str">
        <f t="shared" si="58"/>
        <v>20507646051</v>
      </c>
    </row>
    <row r="1221" spans="1:7">
      <c r="A1221" s="496">
        <f t="shared" si="59"/>
        <v>1220</v>
      </c>
      <c r="B1221" s="496" t="s">
        <v>1307</v>
      </c>
      <c r="C1221" s="495" t="s">
        <v>77</v>
      </c>
      <c r="D1221" s="497" t="s">
        <v>78</v>
      </c>
      <c r="E1221" s="496" t="str">
        <f t="shared" si="57"/>
        <v>07</v>
      </c>
      <c r="F1221" s="496">
        <v>25717</v>
      </c>
      <c r="G1221" s="496" t="str">
        <f t="shared" si="58"/>
        <v>20507771204</v>
      </c>
    </row>
    <row r="1222" spans="1:7">
      <c r="A1222" s="496">
        <f t="shared" si="59"/>
        <v>1221</v>
      </c>
      <c r="B1222" s="496" t="s">
        <v>1308</v>
      </c>
      <c r="C1222" s="495" t="s">
        <v>82</v>
      </c>
      <c r="D1222" s="497" t="s">
        <v>83</v>
      </c>
      <c r="E1222" s="496" t="str">
        <f t="shared" si="57"/>
        <v>08</v>
      </c>
      <c r="F1222" s="496">
        <v>25718</v>
      </c>
      <c r="G1222" s="496" t="str">
        <f t="shared" si="58"/>
        <v>20507845500</v>
      </c>
    </row>
    <row r="1223" spans="1:7">
      <c r="A1223" s="496">
        <f t="shared" si="59"/>
        <v>1222</v>
      </c>
      <c r="B1223" s="496" t="s">
        <v>1309</v>
      </c>
      <c r="C1223" s="495" t="s">
        <v>85</v>
      </c>
      <c r="D1223" s="497" t="s">
        <v>86</v>
      </c>
      <c r="E1223" s="496" t="str">
        <f t="shared" si="57"/>
        <v>09</v>
      </c>
      <c r="F1223" s="496">
        <v>25719</v>
      </c>
      <c r="G1223" s="496" t="str">
        <f t="shared" si="58"/>
        <v>20507975977</v>
      </c>
    </row>
    <row r="1224" spans="1:7">
      <c r="A1224" s="496">
        <f t="shared" si="59"/>
        <v>1223</v>
      </c>
      <c r="B1224" s="496" t="s">
        <v>1310</v>
      </c>
      <c r="C1224" s="495" t="s">
        <v>88</v>
      </c>
      <c r="D1224" s="497" t="s">
        <v>89</v>
      </c>
      <c r="E1224" s="496" t="str">
        <f t="shared" si="57"/>
        <v>11</v>
      </c>
      <c r="F1224" s="496">
        <v>25720</v>
      </c>
      <c r="G1224" s="496" t="str">
        <f t="shared" si="58"/>
        <v>20508061201</v>
      </c>
    </row>
    <row r="1225" spans="1:7">
      <c r="A1225" s="496">
        <f t="shared" si="59"/>
        <v>1224</v>
      </c>
      <c r="B1225" s="496" t="s">
        <v>1311</v>
      </c>
      <c r="C1225" s="495" t="s">
        <v>91</v>
      </c>
      <c r="D1225" s="497" t="s">
        <v>92</v>
      </c>
      <c r="E1225" s="496" t="str">
        <f t="shared" si="57"/>
        <v>12</v>
      </c>
      <c r="F1225" s="496">
        <v>25724</v>
      </c>
      <c r="G1225" s="496" t="str">
        <f t="shared" si="58"/>
        <v>20508082119</v>
      </c>
    </row>
    <row r="1226" spans="1:7">
      <c r="A1226" s="496">
        <f t="shared" si="59"/>
        <v>1225</v>
      </c>
      <c r="B1226" s="496" t="s">
        <v>1312</v>
      </c>
      <c r="C1226" s="495" t="s">
        <v>77</v>
      </c>
      <c r="D1226" s="497" t="s">
        <v>78</v>
      </c>
      <c r="E1226" s="496" t="str">
        <f t="shared" si="57"/>
        <v>07</v>
      </c>
      <c r="F1226" s="496">
        <v>25717</v>
      </c>
      <c r="G1226" s="496" t="str">
        <f t="shared" si="58"/>
        <v>20508163461</v>
      </c>
    </row>
    <row r="1227" spans="1:7">
      <c r="A1227" s="496">
        <f t="shared" si="59"/>
        <v>1226</v>
      </c>
      <c r="B1227" s="496" t="s">
        <v>1313</v>
      </c>
      <c r="C1227" s="495" t="s">
        <v>82</v>
      </c>
      <c r="D1227" s="497" t="s">
        <v>83</v>
      </c>
      <c r="E1227" s="496" t="str">
        <f t="shared" si="57"/>
        <v>08</v>
      </c>
      <c r="F1227" s="496">
        <v>25718</v>
      </c>
      <c r="G1227" s="496" t="str">
        <f t="shared" si="58"/>
        <v>20508185864</v>
      </c>
    </row>
    <row r="1228" spans="1:7">
      <c r="A1228" s="496">
        <f t="shared" si="59"/>
        <v>1227</v>
      </c>
      <c r="B1228" s="496" t="s">
        <v>1314</v>
      </c>
      <c r="C1228" s="495" t="s">
        <v>85</v>
      </c>
      <c r="D1228" s="497" t="s">
        <v>86</v>
      </c>
      <c r="E1228" s="496" t="str">
        <f t="shared" si="57"/>
        <v>09</v>
      </c>
      <c r="F1228" s="496">
        <v>25719</v>
      </c>
      <c r="G1228" s="496" t="str">
        <f t="shared" si="58"/>
        <v>20508261633</v>
      </c>
    </row>
    <row r="1229" spans="1:7">
      <c r="A1229" s="496">
        <f t="shared" si="59"/>
        <v>1228</v>
      </c>
      <c r="B1229" s="496" t="s">
        <v>1315</v>
      </c>
      <c r="C1229" s="495" t="s">
        <v>91</v>
      </c>
      <c r="D1229" s="497" t="s">
        <v>92</v>
      </c>
      <c r="E1229" s="496" t="str">
        <f t="shared" si="57"/>
        <v>12</v>
      </c>
      <c r="F1229" s="496">
        <v>25724</v>
      </c>
      <c r="G1229" s="496" t="str">
        <f t="shared" si="58"/>
        <v>20508956020</v>
      </c>
    </row>
    <row r="1230" spans="1:7">
      <c r="A1230" s="496">
        <f t="shared" si="59"/>
        <v>1229</v>
      </c>
      <c r="B1230" s="496" t="s">
        <v>1316</v>
      </c>
      <c r="C1230" s="495" t="s">
        <v>77</v>
      </c>
      <c r="D1230" s="497" t="s">
        <v>78</v>
      </c>
      <c r="E1230" s="496" t="str">
        <f t="shared" si="57"/>
        <v>07</v>
      </c>
      <c r="F1230" s="496">
        <v>25717</v>
      </c>
      <c r="G1230" s="496" t="str">
        <f t="shared" si="58"/>
        <v>20508972734</v>
      </c>
    </row>
    <row r="1231" spans="1:7">
      <c r="A1231" s="496">
        <f t="shared" si="59"/>
        <v>1230</v>
      </c>
      <c r="B1231" s="496" t="s">
        <v>1317</v>
      </c>
      <c r="C1231" s="495" t="s">
        <v>88</v>
      </c>
      <c r="D1231" s="497" t="s">
        <v>89</v>
      </c>
      <c r="E1231" s="496" t="str">
        <f t="shared" si="57"/>
        <v>11</v>
      </c>
      <c r="F1231" s="496">
        <v>25720</v>
      </c>
      <c r="G1231" s="496" t="str">
        <f t="shared" si="58"/>
        <v>20509076945</v>
      </c>
    </row>
    <row r="1232" spans="1:7">
      <c r="A1232" s="496">
        <f t="shared" si="59"/>
        <v>1231</v>
      </c>
      <c r="B1232" s="496" t="s">
        <v>1318</v>
      </c>
      <c r="C1232" s="495" t="s">
        <v>91</v>
      </c>
      <c r="D1232" s="497" t="s">
        <v>92</v>
      </c>
      <c r="E1232" s="496" t="str">
        <f t="shared" si="57"/>
        <v>12</v>
      </c>
      <c r="F1232" s="496">
        <v>25724</v>
      </c>
      <c r="G1232" s="496" t="str">
        <f t="shared" si="58"/>
        <v>20509121592</v>
      </c>
    </row>
    <row r="1233" spans="1:7">
      <c r="A1233" s="496">
        <f t="shared" si="59"/>
        <v>1232</v>
      </c>
      <c r="B1233" s="496" t="s">
        <v>1319</v>
      </c>
      <c r="C1233" s="495" t="s">
        <v>77</v>
      </c>
      <c r="D1233" s="497" t="s">
        <v>78</v>
      </c>
      <c r="E1233" s="496" t="str">
        <f t="shared" si="57"/>
        <v>07</v>
      </c>
      <c r="F1233" s="496">
        <v>25717</v>
      </c>
      <c r="G1233" s="496" t="str">
        <f t="shared" si="58"/>
        <v>20509121754</v>
      </c>
    </row>
    <row r="1234" spans="1:7">
      <c r="A1234" s="496">
        <f t="shared" si="59"/>
        <v>1233</v>
      </c>
      <c r="B1234" s="496" t="s">
        <v>1320</v>
      </c>
      <c r="C1234" s="495" t="s">
        <v>82</v>
      </c>
      <c r="D1234" s="497" t="s">
        <v>83</v>
      </c>
      <c r="E1234" s="496" t="str">
        <f t="shared" si="57"/>
        <v>08</v>
      </c>
      <c r="F1234" s="496">
        <v>25718</v>
      </c>
      <c r="G1234" s="496" t="str">
        <f t="shared" si="58"/>
        <v>20509212474</v>
      </c>
    </row>
    <row r="1235" spans="1:7">
      <c r="A1235" s="496">
        <f t="shared" si="59"/>
        <v>1234</v>
      </c>
      <c r="B1235" s="496" t="s">
        <v>1321</v>
      </c>
      <c r="C1235" s="495" t="s">
        <v>82</v>
      </c>
      <c r="D1235" s="497" t="s">
        <v>83</v>
      </c>
      <c r="E1235" s="496" t="str">
        <f t="shared" si="57"/>
        <v>08</v>
      </c>
      <c r="F1235" s="496">
        <v>25718</v>
      </c>
      <c r="G1235" s="496" t="str">
        <f t="shared" si="58"/>
        <v>20509435937</v>
      </c>
    </row>
    <row r="1236" spans="1:7">
      <c r="A1236" s="496">
        <f t="shared" si="59"/>
        <v>1235</v>
      </c>
      <c r="B1236" s="496" t="s">
        <v>1322</v>
      </c>
      <c r="C1236" s="495" t="s">
        <v>85</v>
      </c>
      <c r="D1236" s="497" t="s">
        <v>86</v>
      </c>
      <c r="E1236" s="496" t="str">
        <f t="shared" si="57"/>
        <v>09</v>
      </c>
      <c r="F1236" s="496">
        <v>25719</v>
      </c>
      <c r="G1236" s="496" t="str">
        <f t="shared" si="58"/>
        <v>20509439843</v>
      </c>
    </row>
    <row r="1237" spans="1:7">
      <c r="A1237" s="496">
        <f t="shared" si="59"/>
        <v>1236</v>
      </c>
      <c r="B1237" s="496" t="s">
        <v>1323</v>
      </c>
      <c r="C1237" s="495" t="s">
        <v>88</v>
      </c>
      <c r="D1237" s="497" t="s">
        <v>89</v>
      </c>
      <c r="E1237" s="496" t="str">
        <f t="shared" si="57"/>
        <v>11</v>
      </c>
      <c r="F1237" s="496">
        <v>25720</v>
      </c>
      <c r="G1237" s="496" t="str">
        <f t="shared" si="58"/>
        <v>20509551767</v>
      </c>
    </row>
    <row r="1238" spans="1:7">
      <c r="A1238" s="496">
        <f t="shared" si="59"/>
        <v>1237</v>
      </c>
      <c r="B1238" s="496" t="s">
        <v>1324</v>
      </c>
      <c r="C1238" s="495" t="s">
        <v>91</v>
      </c>
      <c r="D1238" s="497" t="s">
        <v>92</v>
      </c>
      <c r="E1238" s="496" t="str">
        <f t="shared" si="57"/>
        <v>12</v>
      </c>
      <c r="F1238" s="496">
        <v>25724</v>
      </c>
      <c r="G1238" s="496" t="str">
        <f t="shared" si="58"/>
        <v>20509617709</v>
      </c>
    </row>
    <row r="1239" spans="1:7">
      <c r="A1239" s="496">
        <f t="shared" si="59"/>
        <v>1238</v>
      </c>
      <c r="B1239" s="496" t="s">
        <v>1325</v>
      </c>
      <c r="C1239" s="495" t="s">
        <v>77</v>
      </c>
      <c r="D1239" s="497" t="s">
        <v>78</v>
      </c>
      <c r="E1239" s="496" t="str">
        <f t="shared" si="57"/>
        <v>07</v>
      </c>
      <c r="F1239" s="496">
        <v>25717</v>
      </c>
      <c r="G1239" s="496" t="str">
        <f t="shared" si="58"/>
        <v>20509638706</v>
      </c>
    </row>
    <row r="1240" spans="1:7">
      <c r="A1240" s="496">
        <f t="shared" si="59"/>
        <v>1239</v>
      </c>
      <c r="B1240" s="496" t="s">
        <v>1326</v>
      </c>
      <c r="C1240" s="495" t="s">
        <v>85</v>
      </c>
      <c r="D1240" s="497" t="s">
        <v>86</v>
      </c>
      <c r="E1240" s="496" t="str">
        <f t="shared" si="57"/>
        <v>09</v>
      </c>
      <c r="F1240" s="496">
        <v>25719</v>
      </c>
      <c r="G1240" s="496" t="str">
        <f t="shared" si="58"/>
        <v>20509845167</v>
      </c>
    </row>
    <row r="1241" spans="1:7">
      <c r="A1241" s="496">
        <f t="shared" si="59"/>
        <v>1240</v>
      </c>
      <c r="B1241" s="496" t="s">
        <v>1327</v>
      </c>
      <c r="C1241" s="495" t="s">
        <v>82</v>
      </c>
      <c r="D1241" s="497" t="s">
        <v>83</v>
      </c>
      <c r="E1241" s="496" t="str">
        <f t="shared" si="57"/>
        <v>08</v>
      </c>
      <c r="F1241" s="496">
        <v>25718</v>
      </c>
      <c r="G1241" s="496" t="str">
        <f t="shared" si="58"/>
        <v>20509862843</v>
      </c>
    </row>
    <row r="1242" spans="1:7">
      <c r="A1242" s="496">
        <f t="shared" si="59"/>
        <v>1241</v>
      </c>
      <c r="B1242" s="496" t="s">
        <v>1328</v>
      </c>
      <c r="C1242" s="495" t="s">
        <v>85</v>
      </c>
      <c r="D1242" s="497" t="s">
        <v>86</v>
      </c>
      <c r="E1242" s="496" t="str">
        <f t="shared" si="57"/>
        <v>09</v>
      </c>
      <c r="F1242" s="496">
        <v>25719</v>
      </c>
      <c r="G1242" s="496" t="str">
        <f t="shared" si="58"/>
        <v>20509992461</v>
      </c>
    </row>
    <row r="1243" spans="1:7">
      <c r="A1243" s="496">
        <f t="shared" si="59"/>
        <v>1242</v>
      </c>
      <c r="B1243" s="496" t="s">
        <v>1329</v>
      </c>
      <c r="C1243" s="495" t="s">
        <v>88</v>
      </c>
      <c r="D1243" s="497" t="s">
        <v>89</v>
      </c>
      <c r="E1243" s="496" t="str">
        <f t="shared" si="57"/>
        <v>11</v>
      </c>
      <c r="F1243" s="496">
        <v>25720</v>
      </c>
      <c r="G1243" s="496" t="str">
        <f t="shared" si="58"/>
        <v>20510000138</v>
      </c>
    </row>
    <row r="1244" spans="1:7">
      <c r="A1244" s="496">
        <f t="shared" si="59"/>
        <v>1243</v>
      </c>
      <c r="B1244" s="496" t="s">
        <v>1330</v>
      </c>
      <c r="C1244" s="495" t="s">
        <v>91</v>
      </c>
      <c r="D1244" s="497" t="s">
        <v>92</v>
      </c>
      <c r="E1244" s="496" t="str">
        <f t="shared" si="57"/>
        <v>12</v>
      </c>
      <c r="F1244" s="496">
        <v>25724</v>
      </c>
      <c r="G1244" s="496" t="str">
        <f t="shared" si="58"/>
        <v>20510014279</v>
      </c>
    </row>
    <row r="1245" spans="1:7">
      <c r="A1245" s="496">
        <f t="shared" si="59"/>
        <v>1244</v>
      </c>
      <c r="B1245" s="496" t="s">
        <v>1331</v>
      </c>
      <c r="C1245" s="495" t="s">
        <v>77</v>
      </c>
      <c r="D1245" s="497" t="s">
        <v>78</v>
      </c>
      <c r="E1245" s="496" t="str">
        <f t="shared" si="57"/>
        <v>07</v>
      </c>
      <c r="F1245" s="496">
        <v>25717</v>
      </c>
      <c r="G1245" s="496" t="str">
        <f t="shared" si="58"/>
        <v>20510106394</v>
      </c>
    </row>
    <row r="1246" spans="1:7">
      <c r="A1246" s="496">
        <f t="shared" si="59"/>
        <v>1245</v>
      </c>
      <c r="B1246" s="496" t="s">
        <v>1332</v>
      </c>
      <c r="C1246" s="495" t="s">
        <v>82</v>
      </c>
      <c r="D1246" s="497" t="s">
        <v>83</v>
      </c>
      <c r="E1246" s="496" t="str">
        <f t="shared" si="57"/>
        <v>08</v>
      </c>
      <c r="F1246" s="496">
        <v>25718</v>
      </c>
      <c r="G1246" s="496" t="str">
        <f t="shared" si="58"/>
        <v>20510117914</v>
      </c>
    </row>
    <row r="1247" spans="1:7">
      <c r="A1247" s="496">
        <f t="shared" si="59"/>
        <v>1246</v>
      </c>
      <c r="B1247" s="496" t="s">
        <v>1333</v>
      </c>
      <c r="C1247" s="495" t="s">
        <v>85</v>
      </c>
      <c r="D1247" s="497" t="s">
        <v>86</v>
      </c>
      <c r="E1247" s="496" t="str">
        <f t="shared" si="57"/>
        <v>09</v>
      </c>
      <c r="F1247" s="496">
        <v>25719</v>
      </c>
      <c r="G1247" s="496" t="str">
        <f t="shared" si="58"/>
        <v>20510347243</v>
      </c>
    </row>
    <row r="1248" spans="1:7">
      <c r="A1248" s="496">
        <f t="shared" si="59"/>
        <v>1247</v>
      </c>
      <c r="B1248" s="496" t="s">
        <v>1334</v>
      </c>
      <c r="C1248" s="495" t="s">
        <v>88</v>
      </c>
      <c r="D1248" s="497" t="s">
        <v>89</v>
      </c>
      <c r="E1248" s="496" t="str">
        <f t="shared" si="57"/>
        <v>11</v>
      </c>
      <c r="F1248" s="496">
        <v>25720</v>
      </c>
      <c r="G1248" s="496" t="str">
        <f t="shared" si="58"/>
        <v>20510598246</v>
      </c>
    </row>
    <row r="1249" spans="1:7">
      <c r="A1249" s="496">
        <f t="shared" si="59"/>
        <v>1248</v>
      </c>
      <c r="B1249" s="496" t="s">
        <v>1335</v>
      </c>
      <c r="C1249" s="495" t="s">
        <v>91</v>
      </c>
      <c r="D1249" s="497" t="s">
        <v>92</v>
      </c>
      <c r="E1249" s="496" t="str">
        <f t="shared" si="57"/>
        <v>12</v>
      </c>
      <c r="F1249" s="496">
        <v>25724</v>
      </c>
      <c r="G1249" s="496" t="str">
        <f t="shared" si="58"/>
        <v>20510656629</v>
      </c>
    </row>
    <row r="1250" spans="1:7">
      <c r="A1250" s="496">
        <f t="shared" si="59"/>
        <v>1249</v>
      </c>
      <c r="B1250" s="496" t="s">
        <v>1336</v>
      </c>
      <c r="C1250" s="495" t="s">
        <v>88</v>
      </c>
      <c r="D1250" s="497" t="s">
        <v>89</v>
      </c>
      <c r="E1250" s="496" t="str">
        <f t="shared" si="57"/>
        <v>11</v>
      </c>
      <c r="F1250" s="496">
        <v>25720</v>
      </c>
      <c r="G1250" s="496" t="str">
        <f t="shared" si="58"/>
        <v>20510927754</v>
      </c>
    </row>
    <row r="1251" spans="1:7">
      <c r="A1251" s="496">
        <f t="shared" si="59"/>
        <v>1250</v>
      </c>
      <c r="B1251" s="496" t="s">
        <v>1337</v>
      </c>
      <c r="C1251" s="495" t="s">
        <v>91</v>
      </c>
      <c r="D1251" s="497" t="s">
        <v>92</v>
      </c>
      <c r="E1251" s="496" t="str">
        <f t="shared" si="57"/>
        <v>12</v>
      </c>
      <c r="F1251" s="496">
        <v>25724</v>
      </c>
      <c r="G1251" s="496" t="str">
        <f t="shared" si="58"/>
        <v>20510944764</v>
      </c>
    </row>
    <row r="1252" spans="1:7">
      <c r="A1252" s="496">
        <f t="shared" si="59"/>
        <v>1251</v>
      </c>
      <c r="B1252" s="496" t="s">
        <v>1338</v>
      </c>
      <c r="C1252" s="495" t="s">
        <v>77</v>
      </c>
      <c r="D1252" s="497" t="s">
        <v>78</v>
      </c>
      <c r="E1252" s="496" t="str">
        <f t="shared" si="57"/>
        <v>07</v>
      </c>
      <c r="F1252" s="496">
        <v>25717</v>
      </c>
      <c r="G1252" s="496" t="str">
        <f t="shared" si="58"/>
        <v>20511130124</v>
      </c>
    </row>
    <row r="1253" spans="1:7">
      <c r="A1253" s="496">
        <f t="shared" si="59"/>
        <v>1252</v>
      </c>
      <c r="B1253" s="496" t="s">
        <v>1339</v>
      </c>
      <c r="C1253" s="495" t="s">
        <v>77</v>
      </c>
      <c r="D1253" s="497" t="s">
        <v>78</v>
      </c>
      <c r="E1253" s="496" t="str">
        <f t="shared" si="57"/>
        <v>07</v>
      </c>
      <c r="F1253" s="496">
        <v>25717</v>
      </c>
      <c r="G1253" s="496" t="str">
        <f t="shared" si="58"/>
        <v>20511261571</v>
      </c>
    </row>
    <row r="1254" spans="1:7">
      <c r="A1254" s="496">
        <f t="shared" si="59"/>
        <v>1253</v>
      </c>
      <c r="B1254" s="496" t="s">
        <v>1340</v>
      </c>
      <c r="C1254" s="495" t="s">
        <v>82</v>
      </c>
      <c r="D1254" s="497" t="s">
        <v>83</v>
      </c>
      <c r="E1254" s="496" t="str">
        <f t="shared" si="57"/>
        <v>08</v>
      </c>
      <c r="F1254" s="496">
        <v>25718</v>
      </c>
      <c r="G1254" s="496" t="str">
        <f t="shared" si="58"/>
        <v>20511442011</v>
      </c>
    </row>
    <row r="1255" spans="1:7">
      <c r="A1255" s="496">
        <f t="shared" si="59"/>
        <v>1254</v>
      </c>
      <c r="B1255" s="496" t="s">
        <v>1341</v>
      </c>
      <c r="C1255" s="495" t="s">
        <v>85</v>
      </c>
      <c r="D1255" s="497" t="s">
        <v>86</v>
      </c>
      <c r="E1255" s="496" t="str">
        <f t="shared" si="57"/>
        <v>09</v>
      </c>
      <c r="F1255" s="496">
        <v>25719</v>
      </c>
      <c r="G1255" s="496" t="str">
        <f t="shared" si="58"/>
        <v>20511445389</v>
      </c>
    </row>
    <row r="1256" spans="1:7">
      <c r="A1256" s="496">
        <f t="shared" si="59"/>
        <v>1255</v>
      </c>
      <c r="B1256" s="496" t="s">
        <v>1342</v>
      </c>
      <c r="C1256" s="495" t="s">
        <v>88</v>
      </c>
      <c r="D1256" s="497" t="s">
        <v>89</v>
      </c>
      <c r="E1256" s="496" t="str">
        <f t="shared" si="57"/>
        <v>11</v>
      </c>
      <c r="F1256" s="496">
        <v>25720</v>
      </c>
      <c r="G1256" s="496" t="str">
        <f t="shared" si="58"/>
        <v>20511804702</v>
      </c>
    </row>
    <row r="1257" spans="1:7">
      <c r="A1257" s="496">
        <f t="shared" si="59"/>
        <v>1256</v>
      </c>
      <c r="B1257" s="496" t="s">
        <v>1343</v>
      </c>
      <c r="C1257" s="495" t="s">
        <v>82</v>
      </c>
      <c r="D1257" s="497" t="s">
        <v>83</v>
      </c>
      <c r="E1257" s="496" t="str">
        <f t="shared" si="57"/>
        <v>08</v>
      </c>
      <c r="F1257" s="496">
        <v>25718</v>
      </c>
      <c r="G1257" s="496" t="str">
        <f t="shared" si="58"/>
        <v>20511910642</v>
      </c>
    </row>
    <row r="1258" spans="1:7">
      <c r="A1258" s="496">
        <f t="shared" si="59"/>
        <v>1257</v>
      </c>
      <c r="B1258" s="496" t="s">
        <v>1344</v>
      </c>
      <c r="C1258" s="495" t="s">
        <v>91</v>
      </c>
      <c r="D1258" s="497" t="s">
        <v>92</v>
      </c>
      <c r="E1258" s="496" t="str">
        <f t="shared" si="57"/>
        <v>12</v>
      </c>
      <c r="F1258" s="496">
        <v>25724</v>
      </c>
      <c r="G1258" s="496" t="str">
        <f t="shared" si="58"/>
        <v>20511914125</v>
      </c>
    </row>
    <row r="1259" spans="1:7">
      <c r="A1259" s="496">
        <f t="shared" si="59"/>
        <v>1258</v>
      </c>
      <c r="B1259" s="496" t="s">
        <v>1345</v>
      </c>
      <c r="C1259" s="495" t="s">
        <v>77</v>
      </c>
      <c r="D1259" s="497" t="s">
        <v>78</v>
      </c>
      <c r="E1259" s="496" t="str">
        <f t="shared" si="57"/>
        <v>07</v>
      </c>
      <c r="F1259" s="496">
        <v>25717</v>
      </c>
      <c r="G1259" s="496" t="str">
        <f t="shared" si="58"/>
        <v>20512009345</v>
      </c>
    </row>
    <row r="1260" spans="1:7">
      <c r="A1260" s="496">
        <f t="shared" si="59"/>
        <v>1259</v>
      </c>
      <c r="B1260" s="496" t="s">
        <v>1346</v>
      </c>
      <c r="C1260" s="495" t="s">
        <v>82</v>
      </c>
      <c r="D1260" s="497" t="s">
        <v>83</v>
      </c>
      <c r="E1260" s="496" t="str">
        <f t="shared" si="57"/>
        <v>08</v>
      </c>
      <c r="F1260" s="496">
        <v>25718</v>
      </c>
      <c r="G1260" s="496" t="str">
        <f t="shared" si="58"/>
        <v>20512016805</v>
      </c>
    </row>
    <row r="1261" spans="1:7">
      <c r="A1261" s="496">
        <f t="shared" si="59"/>
        <v>1260</v>
      </c>
      <c r="B1261" s="496" t="s">
        <v>1347</v>
      </c>
      <c r="C1261" s="495" t="s">
        <v>85</v>
      </c>
      <c r="D1261" s="497" t="s">
        <v>86</v>
      </c>
      <c r="E1261" s="496" t="str">
        <f t="shared" si="57"/>
        <v>09</v>
      </c>
      <c r="F1261" s="496">
        <v>25719</v>
      </c>
      <c r="G1261" s="496" t="str">
        <f t="shared" si="58"/>
        <v>20512072543</v>
      </c>
    </row>
    <row r="1262" spans="1:7">
      <c r="A1262" s="496">
        <f t="shared" si="59"/>
        <v>1261</v>
      </c>
      <c r="B1262" s="496" t="s">
        <v>1348</v>
      </c>
      <c r="C1262" s="495" t="s">
        <v>88</v>
      </c>
      <c r="D1262" s="497" t="s">
        <v>89</v>
      </c>
      <c r="E1262" s="496" t="str">
        <f t="shared" si="57"/>
        <v>11</v>
      </c>
      <c r="F1262" s="496">
        <v>25720</v>
      </c>
      <c r="G1262" s="496" t="str">
        <f t="shared" si="58"/>
        <v>20512286349</v>
      </c>
    </row>
    <row r="1263" spans="1:7">
      <c r="A1263" s="496">
        <f t="shared" si="59"/>
        <v>1262</v>
      </c>
      <c r="B1263" s="496" t="s">
        <v>1349</v>
      </c>
      <c r="C1263" s="495" t="s">
        <v>91</v>
      </c>
      <c r="D1263" s="497" t="s">
        <v>92</v>
      </c>
      <c r="E1263" s="496" t="str">
        <f t="shared" si="57"/>
        <v>12</v>
      </c>
      <c r="F1263" s="496">
        <v>25724</v>
      </c>
      <c r="G1263" s="496" t="str">
        <f t="shared" si="58"/>
        <v>20512365648</v>
      </c>
    </row>
    <row r="1264" spans="1:7">
      <c r="A1264" s="496">
        <f t="shared" si="59"/>
        <v>1263</v>
      </c>
      <c r="B1264" s="496" t="s">
        <v>1350</v>
      </c>
      <c r="C1264" s="495" t="s">
        <v>77</v>
      </c>
      <c r="D1264" s="497" t="s">
        <v>78</v>
      </c>
      <c r="E1264" s="496" t="str">
        <f t="shared" si="57"/>
        <v>07</v>
      </c>
      <c r="F1264" s="496">
        <v>25717</v>
      </c>
      <c r="G1264" s="496" t="str">
        <f t="shared" si="58"/>
        <v>20512460802</v>
      </c>
    </row>
    <row r="1265" spans="1:7">
      <c r="A1265" s="496">
        <f t="shared" si="59"/>
        <v>1264</v>
      </c>
      <c r="B1265" s="496" t="s">
        <v>1351</v>
      </c>
      <c r="C1265" s="495" t="s">
        <v>82</v>
      </c>
      <c r="D1265" s="497" t="s">
        <v>83</v>
      </c>
      <c r="E1265" s="496" t="str">
        <f t="shared" si="57"/>
        <v>08</v>
      </c>
      <c r="F1265" s="496">
        <v>25718</v>
      </c>
      <c r="G1265" s="496" t="str">
        <f t="shared" si="58"/>
        <v>20512657690</v>
      </c>
    </row>
    <row r="1266" spans="1:7">
      <c r="A1266" s="496">
        <f t="shared" si="59"/>
        <v>1265</v>
      </c>
      <c r="B1266" s="496" t="s">
        <v>1352</v>
      </c>
      <c r="C1266" s="495" t="s">
        <v>85</v>
      </c>
      <c r="D1266" s="497" t="s">
        <v>86</v>
      </c>
      <c r="E1266" s="496" t="str">
        <f t="shared" si="57"/>
        <v>09</v>
      </c>
      <c r="F1266" s="496">
        <v>25719</v>
      </c>
      <c r="G1266" s="496" t="str">
        <f t="shared" si="58"/>
        <v>20512857869</v>
      </c>
    </row>
    <row r="1267" spans="1:7">
      <c r="A1267" s="496">
        <f t="shared" si="59"/>
        <v>1266</v>
      </c>
      <c r="B1267" s="496" t="s">
        <v>1353</v>
      </c>
      <c r="C1267" s="495" t="s">
        <v>85</v>
      </c>
      <c r="D1267" s="497" t="s">
        <v>86</v>
      </c>
      <c r="E1267" s="496" t="str">
        <f t="shared" si="57"/>
        <v>09</v>
      </c>
      <c r="F1267" s="496">
        <v>25719</v>
      </c>
      <c r="G1267" s="496" t="str">
        <f t="shared" si="58"/>
        <v>20512868046</v>
      </c>
    </row>
    <row r="1268" spans="1:7">
      <c r="A1268" s="496">
        <f t="shared" si="59"/>
        <v>1267</v>
      </c>
      <c r="B1268" s="496" t="s">
        <v>1354</v>
      </c>
      <c r="C1268" s="495" t="s">
        <v>88</v>
      </c>
      <c r="D1268" s="497" t="s">
        <v>89</v>
      </c>
      <c r="E1268" s="496" t="str">
        <f t="shared" si="57"/>
        <v>11</v>
      </c>
      <c r="F1268" s="496">
        <v>25720</v>
      </c>
      <c r="G1268" s="496" t="str">
        <f t="shared" si="58"/>
        <v>20513112727</v>
      </c>
    </row>
    <row r="1269" spans="1:7">
      <c r="A1269" s="496">
        <f t="shared" si="59"/>
        <v>1268</v>
      </c>
      <c r="B1269" s="496" t="s">
        <v>1355</v>
      </c>
      <c r="C1269" s="495" t="s">
        <v>91</v>
      </c>
      <c r="D1269" s="497" t="s">
        <v>92</v>
      </c>
      <c r="E1269" s="496" t="str">
        <f t="shared" si="57"/>
        <v>12</v>
      </c>
      <c r="F1269" s="496">
        <v>25724</v>
      </c>
      <c r="G1269" s="496" t="str">
        <f t="shared" si="58"/>
        <v>20513113456</v>
      </c>
    </row>
    <row r="1270" spans="1:7">
      <c r="A1270" s="496">
        <f t="shared" si="59"/>
        <v>1269</v>
      </c>
      <c r="B1270" s="496" t="s">
        <v>1356</v>
      </c>
      <c r="C1270" s="495" t="s">
        <v>88</v>
      </c>
      <c r="D1270" s="497" t="s">
        <v>89</v>
      </c>
      <c r="E1270" s="496" t="str">
        <f t="shared" si="57"/>
        <v>11</v>
      </c>
      <c r="F1270" s="496">
        <v>25720</v>
      </c>
      <c r="G1270" s="496" t="str">
        <f t="shared" si="58"/>
        <v>20513320753</v>
      </c>
    </row>
    <row r="1271" spans="1:7">
      <c r="A1271" s="496">
        <f t="shared" si="59"/>
        <v>1270</v>
      </c>
      <c r="B1271" s="496" t="s">
        <v>1357</v>
      </c>
      <c r="C1271" s="495" t="s">
        <v>77</v>
      </c>
      <c r="D1271" s="497" t="s">
        <v>78</v>
      </c>
      <c r="E1271" s="496" t="str">
        <f t="shared" si="57"/>
        <v>07</v>
      </c>
      <c r="F1271" s="496">
        <v>25717</v>
      </c>
      <c r="G1271" s="496" t="str">
        <f t="shared" si="58"/>
        <v>20513396571</v>
      </c>
    </row>
    <row r="1272" spans="1:7">
      <c r="A1272" s="496">
        <f t="shared" si="59"/>
        <v>1271</v>
      </c>
      <c r="B1272" s="496" t="s">
        <v>1358</v>
      </c>
      <c r="C1272" s="495" t="s">
        <v>91</v>
      </c>
      <c r="D1272" s="497" t="s">
        <v>92</v>
      </c>
      <c r="E1272" s="496" t="str">
        <f t="shared" si="57"/>
        <v>12</v>
      </c>
      <c r="F1272" s="496">
        <v>25724</v>
      </c>
      <c r="G1272" s="496" t="str">
        <f t="shared" si="58"/>
        <v>20513613009</v>
      </c>
    </row>
    <row r="1273" spans="1:7">
      <c r="A1273" s="496">
        <f t="shared" si="59"/>
        <v>1272</v>
      </c>
      <c r="B1273" s="496" t="s">
        <v>1359</v>
      </c>
      <c r="C1273" s="495" t="s">
        <v>82</v>
      </c>
      <c r="D1273" s="497" t="s">
        <v>83</v>
      </c>
      <c r="E1273" s="496" t="str">
        <f t="shared" si="57"/>
        <v>08</v>
      </c>
      <c r="F1273" s="496">
        <v>25718</v>
      </c>
      <c r="G1273" s="496" t="str">
        <f t="shared" si="58"/>
        <v>20513640316</v>
      </c>
    </row>
    <row r="1274" spans="1:7">
      <c r="A1274" s="496">
        <f t="shared" si="59"/>
        <v>1273</v>
      </c>
      <c r="B1274" s="496" t="s">
        <v>1360</v>
      </c>
      <c r="C1274" s="495" t="s">
        <v>77</v>
      </c>
      <c r="D1274" s="497" t="s">
        <v>78</v>
      </c>
      <c r="E1274" s="496" t="str">
        <f t="shared" si="57"/>
        <v>07</v>
      </c>
      <c r="F1274" s="496">
        <v>25717</v>
      </c>
      <c r="G1274" s="496" t="str">
        <f t="shared" si="58"/>
        <v>20513646519</v>
      </c>
    </row>
    <row r="1275" spans="1:7">
      <c r="A1275" s="496">
        <f t="shared" si="59"/>
        <v>1274</v>
      </c>
      <c r="B1275" s="496" t="s">
        <v>1361</v>
      </c>
      <c r="C1275" s="495" t="s">
        <v>85</v>
      </c>
      <c r="D1275" s="497" t="s">
        <v>86</v>
      </c>
      <c r="E1275" s="496" t="str">
        <f t="shared" si="57"/>
        <v>09</v>
      </c>
      <c r="F1275" s="496">
        <v>25719</v>
      </c>
      <c r="G1275" s="496" t="str">
        <f t="shared" si="58"/>
        <v>20513842881</v>
      </c>
    </row>
    <row r="1276" spans="1:7">
      <c r="A1276" s="496">
        <f t="shared" si="59"/>
        <v>1275</v>
      </c>
      <c r="B1276" s="496" t="s">
        <v>1362</v>
      </c>
      <c r="C1276" s="495" t="s">
        <v>82</v>
      </c>
      <c r="D1276" s="497" t="s">
        <v>83</v>
      </c>
      <c r="E1276" s="496" t="str">
        <f t="shared" si="57"/>
        <v>08</v>
      </c>
      <c r="F1276" s="496">
        <v>25718</v>
      </c>
      <c r="G1276" s="496" t="str">
        <f t="shared" si="58"/>
        <v>20513998202</v>
      </c>
    </row>
    <row r="1277" spans="1:7">
      <c r="A1277" s="496">
        <f t="shared" si="59"/>
        <v>1276</v>
      </c>
      <c r="B1277" s="496" t="s">
        <v>1363</v>
      </c>
      <c r="C1277" s="495" t="s">
        <v>85</v>
      </c>
      <c r="D1277" s="497" t="s">
        <v>86</v>
      </c>
      <c r="E1277" s="496" t="str">
        <f t="shared" si="57"/>
        <v>09</v>
      </c>
      <c r="F1277" s="496">
        <v>25719</v>
      </c>
      <c r="G1277" s="496" t="str">
        <f t="shared" si="58"/>
        <v>20514480495</v>
      </c>
    </row>
    <row r="1278" spans="1:7">
      <c r="A1278" s="496">
        <f t="shared" si="59"/>
        <v>1277</v>
      </c>
      <c r="B1278" s="496" t="s">
        <v>1364</v>
      </c>
      <c r="C1278" s="495" t="s">
        <v>88</v>
      </c>
      <c r="D1278" s="497" t="s">
        <v>89</v>
      </c>
      <c r="E1278" s="496" t="str">
        <f t="shared" si="57"/>
        <v>11</v>
      </c>
      <c r="F1278" s="496">
        <v>25720</v>
      </c>
      <c r="G1278" s="496" t="str">
        <f t="shared" si="58"/>
        <v>20514513172</v>
      </c>
    </row>
    <row r="1279" spans="1:7">
      <c r="A1279" s="496">
        <f t="shared" si="59"/>
        <v>1278</v>
      </c>
      <c r="B1279" s="496" t="s">
        <v>1365</v>
      </c>
      <c r="C1279" s="495" t="s">
        <v>88</v>
      </c>
      <c r="D1279" s="497" t="s">
        <v>89</v>
      </c>
      <c r="E1279" s="496" t="str">
        <f t="shared" si="57"/>
        <v>11</v>
      </c>
      <c r="F1279" s="496">
        <v>25720</v>
      </c>
      <c r="G1279" s="496" t="str">
        <f t="shared" si="58"/>
        <v>20514584789</v>
      </c>
    </row>
    <row r="1280" spans="1:7">
      <c r="A1280" s="496">
        <f t="shared" si="59"/>
        <v>1279</v>
      </c>
      <c r="B1280" s="496" t="s">
        <v>1366</v>
      </c>
      <c r="C1280" s="495" t="s">
        <v>91</v>
      </c>
      <c r="D1280" s="497" t="s">
        <v>92</v>
      </c>
      <c r="E1280" s="496" t="str">
        <f t="shared" si="57"/>
        <v>12</v>
      </c>
      <c r="F1280" s="496">
        <v>25724</v>
      </c>
      <c r="G1280" s="496" t="str">
        <f t="shared" si="58"/>
        <v>20514587885</v>
      </c>
    </row>
    <row r="1281" spans="1:7">
      <c r="A1281" s="496">
        <f t="shared" si="59"/>
        <v>1280</v>
      </c>
      <c r="B1281" s="496" t="s">
        <v>1367</v>
      </c>
      <c r="C1281" s="495" t="s">
        <v>77</v>
      </c>
      <c r="D1281" s="497" t="s">
        <v>78</v>
      </c>
      <c r="E1281" s="496" t="str">
        <f t="shared" si="57"/>
        <v>07</v>
      </c>
      <c r="F1281" s="496">
        <v>25717</v>
      </c>
      <c r="G1281" s="496" t="str">
        <f t="shared" si="58"/>
        <v>20514808300</v>
      </c>
    </row>
    <row r="1282" spans="1:7">
      <c r="A1282" s="496">
        <f t="shared" si="59"/>
        <v>1281</v>
      </c>
      <c r="B1282" s="496" t="s">
        <v>1368</v>
      </c>
      <c r="C1282" s="495" t="s">
        <v>82</v>
      </c>
      <c r="D1282" s="497" t="s">
        <v>83</v>
      </c>
      <c r="E1282" s="496" t="str">
        <f t="shared" si="57"/>
        <v>08</v>
      </c>
      <c r="F1282" s="496">
        <v>25718</v>
      </c>
      <c r="G1282" s="496" t="str">
        <f t="shared" si="58"/>
        <v>20514831620</v>
      </c>
    </row>
    <row r="1283" spans="1:7">
      <c r="A1283" s="496">
        <f t="shared" si="59"/>
        <v>1282</v>
      </c>
      <c r="B1283" s="496" t="s">
        <v>1369</v>
      </c>
      <c r="C1283" s="495" t="s">
        <v>85</v>
      </c>
      <c r="D1283" s="497" t="s">
        <v>86</v>
      </c>
      <c r="E1283" s="496" t="str">
        <f t="shared" ref="E1283:E1346" si="60">IF(MID(D1283,14,1)="@",MID(D1283,12,2),"0"&amp;MID(D1283,12,1))</f>
        <v>09</v>
      </c>
      <c r="F1283" s="496">
        <v>25719</v>
      </c>
      <c r="G1283" s="496" t="str">
        <f t="shared" ref="G1283:G1346" si="61">CONCATENATE(B1283)</f>
        <v>20514951528</v>
      </c>
    </row>
    <row r="1284" spans="1:7">
      <c r="A1284" s="496">
        <f t="shared" ref="A1284:A1347" si="62">+A1283+1</f>
        <v>1283</v>
      </c>
      <c r="B1284" s="496" t="s">
        <v>1370</v>
      </c>
      <c r="C1284" s="495" t="s">
        <v>88</v>
      </c>
      <c r="D1284" s="497" t="s">
        <v>89</v>
      </c>
      <c r="E1284" s="496" t="str">
        <f t="shared" si="60"/>
        <v>11</v>
      </c>
      <c r="F1284" s="496">
        <v>25720</v>
      </c>
      <c r="G1284" s="496" t="str">
        <f t="shared" si="61"/>
        <v>20515019422</v>
      </c>
    </row>
    <row r="1285" spans="1:7">
      <c r="A1285" s="496">
        <f t="shared" si="62"/>
        <v>1284</v>
      </c>
      <c r="B1285" s="496" t="s">
        <v>1371</v>
      </c>
      <c r="C1285" s="495" t="s">
        <v>91</v>
      </c>
      <c r="D1285" s="497" t="s">
        <v>92</v>
      </c>
      <c r="E1285" s="496" t="str">
        <f t="shared" si="60"/>
        <v>12</v>
      </c>
      <c r="F1285" s="496">
        <v>25724</v>
      </c>
      <c r="G1285" s="496" t="str">
        <f t="shared" si="61"/>
        <v>20515351541</v>
      </c>
    </row>
    <row r="1286" spans="1:7">
      <c r="A1286" s="496">
        <f t="shared" si="62"/>
        <v>1285</v>
      </c>
      <c r="B1286" s="496" t="s">
        <v>1372</v>
      </c>
      <c r="C1286" s="495" t="s">
        <v>77</v>
      </c>
      <c r="D1286" s="497" t="s">
        <v>78</v>
      </c>
      <c r="E1286" s="496" t="str">
        <f t="shared" si="60"/>
        <v>07</v>
      </c>
      <c r="F1286" s="496">
        <v>25717</v>
      </c>
      <c r="G1286" s="496" t="str">
        <f t="shared" si="61"/>
        <v>20515758659</v>
      </c>
    </row>
    <row r="1287" spans="1:7">
      <c r="A1287" s="496">
        <f t="shared" si="62"/>
        <v>1286</v>
      </c>
      <c r="B1287" s="496" t="s">
        <v>1373</v>
      </c>
      <c r="C1287" s="495" t="s">
        <v>82</v>
      </c>
      <c r="D1287" s="497" t="s">
        <v>83</v>
      </c>
      <c r="E1287" s="496" t="str">
        <f t="shared" si="60"/>
        <v>08</v>
      </c>
      <c r="F1287" s="496">
        <v>25718</v>
      </c>
      <c r="G1287" s="496" t="str">
        <f t="shared" si="61"/>
        <v>20515826590</v>
      </c>
    </row>
    <row r="1288" spans="1:7">
      <c r="A1288" s="496">
        <f t="shared" si="62"/>
        <v>1287</v>
      </c>
      <c r="B1288" s="496" t="s">
        <v>1374</v>
      </c>
      <c r="C1288" s="495" t="s">
        <v>85</v>
      </c>
      <c r="D1288" s="497" t="s">
        <v>86</v>
      </c>
      <c r="E1288" s="496" t="str">
        <f t="shared" si="60"/>
        <v>09</v>
      </c>
      <c r="F1288" s="496">
        <v>25719</v>
      </c>
      <c r="G1288" s="496" t="str">
        <f t="shared" si="61"/>
        <v>20515954164</v>
      </c>
    </row>
    <row r="1289" spans="1:7">
      <c r="A1289" s="496">
        <f t="shared" si="62"/>
        <v>1288</v>
      </c>
      <c r="B1289" s="496" t="s">
        <v>1375</v>
      </c>
      <c r="C1289" s="495" t="s">
        <v>88</v>
      </c>
      <c r="D1289" s="497" t="s">
        <v>89</v>
      </c>
      <c r="E1289" s="496" t="str">
        <f t="shared" si="60"/>
        <v>11</v>
      </c>
      <c r="F1289" s="496">
        <v>25720</v>
      </c>
      <c r="G1289" s="496" t="str">
        <f t="shared" si="61"/>
        <v>20516041995</v>
      </c>
    </row>
    <row r="1290" spans="1:7">
      <c r="A1290" s="496">
        <f t="shared" si="62"/>
        <v>1289</v>
      </c>
      <c r="B1290" s="496" t="s">
        <v>1376</v>
      </c>
      <c r="C1290" s="495" t="s">
        <v>91</v>
      </c>
      <c r="D1290" s="497" t="s">
        <v>92</v>
      </c>
      <c r="E1290" s="496" t="str">
        <f t="shared" si="60"/>
        <v>12</v>
      </c>
      <c r="F1290" s="496">
        <v>25724</v>
      </c>
      <c r="G1290" s="496" t="str">
        <f t="shared" si="61"/>
        <v>20516269074</v>
      </c>
    </row>
    <row r="1291" spans="1:7">
      <c r="A1291" s="496">
        <f t="shared" si="62"/>
        <v>1290</v>
      </c>
      <c r="B1291" s="496" t="s">
        <v>1377</v>
      </c>
      <c r="C1291" s="495" t="s">
        <v>91</v>
      </c>
      <c r="D1291" s="497" t="s">
        <v>92</v>
      </c>
      <c r="E1291" s="496" t="str">
        <f t="shared" si="60"/>
        <v>12</v>
      </c>
      <c r="F1291" s="496">
        <v>25724</v>
      </c>
      <c r="G1291" s="496" t="str">
        <f t="shared" si="61"/>
        <v>20516488973</v>
      </c>
    </row>
    <row r="1292" spans="1:7">
      <c r="A1292" s="496">
        <f t="shared" si="62"/>
        <v>1291</v>
      </c>
      <c r="B1292" s="496" t="s">
        <v>1378</v>
      </c>
      <c r="C1292" s="495" t="s">
        <v>77</v>
      </c>
      <c r="D1292" s="497" t="s">
        <v>78</v>
      </c>
      <c r="E1292" s="496" t="str">
        <f t="shared" si="60"/>
        <v>07</v>
      </c>
      <c r="F1292" s="496">
        <v>25717</v>
      </c>
      <c r="G1292" s="496" t="str">
        <f t="shared" si="61"/>
        <v>20516589656</v>
      </c>
    </row>
    <row r="1293" spans="1:7">
      <c r="A1293" s="496">
        <f t="shared" si="62"/>
        <v>1292</v>
      </c>
      <c r="B1293" s="496" t="s">
        <v>1379</v>
      </c>
      <c r="C1293" s="495" t="s">
        <v>82</v>
      </c>
      <c r="D1293" s="497" t="s">
        <v>83</v>
      </c>
      <c r="E1293" s="496" t="str">
        <f t="shared" si="60"/>
        <v>08</v>
      </c>
      <c r="F1293" s="496">
        <v>25718</v>
      </c>
      <c r="G1293" s="496" t="str">
        <f t="shared" si="61"/>
        <v>20516865190</v>
      </c>
    </row>
    <row r="1294" spans="1:7">
      <c r="A1294" s="496">
        <f t="shared" si="62"/>
        <v>1293</v>
      </c>
      <c r="B1294" s="496" t="s">
        <v>1380</v>
      </c>
      <c r="C1294" s="495" t="s">
        <v>85</v>
      </c>
      <c r="D1294" s="497" t="s">
        <v>86</v>
      </c>
      <c r="E1294" s="496" t="str">
        <f t="shared" si="60"/>
        <v>09</v>
      </c>
      <c r="F1294" s="496">
        <v>25719</v>
      </c>
      <c r="G1294" s="496" t="str">
        <f t="shared" si="61"/>
        <v>20516955261</v>
      </c>
    </row>
    <row r="1295" spans="1:7">
      <c r="A1295" s="496">
        <f t="shared" si="62"/>
        <v>1294</v>
      </c>
      <c r="B1295" s="496" t="s">
        <v>1381</v>
      </c>
      <c r="C1295" s="495" t="s">
        <v>88</v>
      </c>
      <c r="D1295" s="497" t="s">
        <v>89</v>
      </c>
      <c r="E1295" s="496" t="str">
        <f t="shared" si="60"/>
        <v>11</v>
      </c>
      <c r="F1295" s="496">
        <v>25720</v>
      </c>
      <c r="G1295" s="496" t="str">
        <f t="shared" si="61"/>
        <v>20517401146</v>
      </c>
    </row>
    <row r="1296" spans="1:7">
      <c r="A1296" s="496">
        <f t="shared" si="62"/>
        <v>1295</v>
      </c>
      <c r="B1296" s="496" t="s">
        <v>1382</v>
      </c>
      <c r="C1296" s="495" t="s">
        <v>91</v>
      </c>
      <c r="D1296" s="497" t="s">
        <v>92</v>
      </c>
      <c r="E1296" s="496" t="str">
        <f t="shared" si="60"/>
        <v>12</v>
      </c>
      <c r="F1296" s="496">
        <v>25724</v>
      </c>
      <c r="G1296" s="496" t="str">
        <f t="shared" si="61"/>
        <v>20517679420</v>
      </c>
    </row>
    <row r="1297" spans="1:7">
      <c r="A1297" s="496">
        <f t="shared" si="62"/>
        <v>1296</v>
      </c>
      <c r="B1297" s="496" t="s">
        <v>1383</v>
      </c>
      <c r="C1297" s="495" t="s">
        <v>77</v>
      </c>
      <c r="D1297" s="497" t="s">
        <v>78</v>
      </c>
      <c r="E1297" s="496" t="str">
        <f t="shared" si="60"/>
        <v>07</v>
      </c>
      <c r="F1297" s="496">
        <v>25717</v>
      </c>
      <c r="G1297" s="496" t="str">
        <f t="shared" si="61"/>
        <v>20517680517</v>
      </c>
    </row>
    <row r="1298" spans="1:7">
      <c r="A1298" s="496">
        <f t="shared" si="62"/>
        <v>1297</v>
      </c>
      <c r="B1298" s="496" t="s">
        <v>1384</v>
      </c>
      <c r="C1298" s="495" t="s">
        <v>82</v>
      </c>
      <c r="D1298" s="497" t="s">
        <v>83</v>
      </c>
      <c r="E1298" s="496" t="str">
        <f t="shared" si="60"/>
        <v>08</v>
      </c>
      <c r="F1298" s="496">
        <v>25718</v>
      </c>
      <c r="G1298" s="496" t="str">
        <f t="shared" si="61"/>
        <v>20517730476</v>
      </c>
    </row>
    <row r="1299" spans="1:7">
      <c r="A1299" s="496">
        <f t="shared" si="62"/>
        <v>1298</v>
      </c>
      <c r="B1299" s="496" t="s">
        <v>1385</v>
      </c>
      <c r="C1299" s="495" t="s">
        <v>85</v>
      </c>
      <c r="D1299" s="497" t="s">
        <v>86</v>
      </c>
      <c r="E1299" s="496" t="str">
        <f t="shared" si="60"/>
        <v>09</v>
      </c>
      <c r="F1299" s="496">
        <v>25719</v>
      </c>
      <c r="G1299" s="496" t="str">
        <f t="shared" si="61"/>
        <v>20518042280</v>
      </c>
    </row>
    <row r="1300" spans="1:7">
      <c r="A1300" s="496">
        <f t="shared" si="62"/>
        <v>1299</v>
      </c>
      <c r="B1300" s="496" t="s">
        <v>1386</v>
      </c>
      <c r="C1300" s="495" t="s">
        <v>88</v>
      </c>
      <c r="D1300" s="497" t="s">
        <v>89</v>
      </c>
      <c r="E1300" s="496" t="str">
        <f t="shared" si="60"/>
        <v>11</v>
      </c>
      <c r="F1300" s="496">
        <v>25720</v>
      </c>
      <c r="G1300" s="496" t="str">
        <f t="shared" si="61"/>
        <v>20518334736</v>
      </c>
    </row>
    <row r="1301" spans="1:7">
      <c r="A1301" s="496">
        <f t="shared" si="62"/>
        <v>1300</v>
      </c>
      <c r="B1301" s="496" t="s">
        <v>1387</v>
      </c>
      <c r="C1301" s="495" t="s">
        <v>91</v>
      </c>
      <c r="D1301" s="497" t="s">
        <v>92</v>
      </c>
      <c r="E1301" s="496" t="str">
        <f t="shared" si="60"/>
        <v>12</v>
      </c>
      <c r="F1301" s="496">
        <v>25724</v>
      </c>
      <c r="G1301" s="496" t="str">
        <f t="shared" si="61"/>
        <v>20518402839</v>
      </c>
    </row>
    <row r="1302" spans="1:7">
      <c r="A1302" s="496">
        <f t="shared" si="62"/>
        <v>1301</v>
      </c>
      <c r="B1302" s="496" t="s">
        <v>1388</v>
      </c>
      <c r="C1302" s="495" t="s">
        <v>77</v>
      </c>
      <c r="D1302" s="497" t="s">
        <v>78</v>
      </c>
      <c r="E1302" s="496" t="str">
        <f t="shared" si="60"/>
        <v>07</v>
      </c>
      <c r="F1302" s="496">
        <v>25717</v>
      </c>
      <c r="G1302" s="496" t="str">
        <f t="shared" si="61"/>
        <v>20518625544</v>
      </c>
    </row>
    <row r="1303" spans="1:7">
      <c r="A1303" s="496">
        <f t="shared" si="62"/>
        <v>1302</v>
      </c>
      <c r="B1303" s="496" t="s">
        <v>1389</v>
      </c>
      <c r="C1303" s="495" t="s">
        <v>82</v>
      </c>
      <c r="D1303" s="497" t="s">
        <v>83</v>
      </c>
      <c r="E1303" s="496" t="str">
        <f t="shared" si="60"/>
        <v>08</v>
      </c>
      <c r="F1303" s="496">
        <v>25718</v>
      </c>
      <c r="G1303" s="496" t="str">
        <f t="shared" si="61"/>
        <v>20519098017</v>
      </c>
    </row>
    <row r="1304" spans="1:7">
      <c r="A1304" s="496">
        <f t="shared" si="62"/>
        <v>1303</v>
      </c>
      <c r="B1304" s="496" t="s">
        <v>1390</v>
      </c>
      <c r="C1304" s="495" t="s">
        <v>77</v>
      </c>
      <c r="D1304" s="497" t="s">
        <v>78</v>
      </c>
      <c r="E1304" s="496" t="str">
        <f t="shared" si="60"/>
        <v>07</v>
      </c>
      <c r="F1304" s="496">
        <v>25717</v>
      </c>
      <c r="G1304" s="496" t="str">
        <f t="shared" si="61"/>
        <v>20519176263</v>
      </c>
    </row>
    <row r="1305" spans="1:7">
      <c r="A1305" s="496">
        <f t="shared" si="62"/>
        <v>1304</v>
      </c>
      <c r="B1305" s="496" t="s">
        <v>1391</v>
      </c>
      <c r="C1305" s="495" t="s">
        <v>85</v>
      </c>
      <c r="D1305" s="497" t="s">
        <v>86</v>
      </c>
      <c r="E1305" s="496" t="str">
        <f t="shared" si="60"/>
        <v>09</v>
      </c>
      <c r="F1305" s="496">
        <v>25719</v>
      </c>
      <c r="G1305" s="496" t="str">
        <f t="shared" si="61"/>
        <v>20519188946</v>
      </c>
    </row>
    <row r="1306" spans="1:7">
      <c r="A1306" s="496">
        <f t="shared" si="62"/>
        <v>1305</v>
      </c>
      <c r="B1306" s="496" t="s">
        <v>1392</v>
      </c>
      <c r="C1306" s="495" t="s">
        <v>88</v>
      </c>
      <c r="D1306" s="497" t="s">
        <v>89</v>
      </c>
      <c r="E1306" s="496" t="str">
        <f t="shared" si="60"/>
        <v>11</v>
      </c>
      <c r="F1306" s="496">
        <v>25720</v>
      </c>
      <c r="G1306" s="496" t="str">
        <f t="shared" si="61"/>
        <v>20519344743</v>
      </c>
    </row>
    <row r="1307" spans="1:7">
      <c r="A1307" s="496">
        <f t="shared" si="62"/>
        <v>1306</v>
      </c>
      <c r="B1307" s="496" t="s">
        <v>1393</v>
      </c>
      <c r="C1307" s="495" t="s">
        <v>91</v>
      </c>
      <c r="D1307" s="497" t="s">
        <v>92</v>
      </c>
      <c r="E1307" s="496" t="str">
        <f t="shared" si="60"/>
        <v>12</v>
      </c>
      <c r="F1307" s="496">
        <v>25724</v>
      </c>
      <c r="G1307" s="496" t="str">
        <f t="shared" si="61"/>
        <v>20522294218</v>
      </c>
    </row>
    <row r="1308" spans="1:7">
      <c r="A1308" s="496">
        <f t="shared" si="62"/>
        <v>1307</v>
      </c>
      <c r="B1308" s="496" t="s">
        <v>1394</v>
      </c>
      <c r="C1308" s="495" t="s">
        <v>82</v>
      </c>
      <c r="D1308" s="497" t="s">
        <v>83</v>
      </c>
      <c r="E1308" s="496" t="str">
        <f t="shared" si="60"/>
        <v>08</v>
      </c>
      <c r="F1308" s="496">
        <v>25718</v>
      </c>
      <c r="G1308" s="496" t="str">
        <f t="shared" si="61"/>
        <v>20522478700</v>
      </c>
    </row>
    <row r="1309" spans="1:7">
      <c r="A1309" s="496">
        <f t="shared" si="62"/>
        <v>1308</v>
      </c>
      <c r="B1309" s="496" t="s">
        <v>1395</v>
      </c>
      <c r="C1309" s="495" t="s">
        <v>77</v>
      </c>
      <c r="D1309" s="497" t="s">
        <v>78</v>
      </c>
      <c r="E1309" s="496" t="str">
        <f t="shared" si="60"/>
        <v>07</v>
      </c>
      <c r="F1309" s="496">
        <v>25717</v>
      </c>
      <c r="G1309" s="496" t="str">
        <f t="shared" si="61"/>
        <v>20522994970</v>
      </c>
    </row>
    <row r="1310" spans="1:7">
      <c r="A1310" s="496">
        <f t="shared" si="62"/>
        <v>1309</v>
      </c>
      <c r="B1310" s="496" t="s">
        <v>1396</v>
      </c>
      <c r="C1310" s="495" t="s">
        <v>82</v>
      </c>
      <c r="D1310" s="497" t="s">
        <v>83</v>
      </c>
      <c r="E1310" s="496" t="str">
        <f t="shared" si="60"/>
        <v>08</v>
      </c>
      <c r="F1310" s="496">
        <v>25718</v>
      </c>
      <c r="G1310" s="496" t="str">
        <f t="shared" si="61"/>
        <v>20523173716</v>
      </c>
    </row>
    <row r="1311" spans="1:7">
      <c r="A1311" s="496">
        <f t="shared" si="62"/>
        <v>1310</v>
      </c>
      <c r="B1311" s="496" t="s">
        <v>1397</v>
      </c>
      <c r="C1311" s="495" t="s">
        <v>85</v>
      </c>
      <c r="D1311" s="497" t="s">
        <v>86</v>
      </c>
      <c r="E1311" s="496" t="str">
        <f t="shared" si="60"/>
        <v>09</v>
      </c>
      <c r="F1311" s="496">
        <v>25719</v>
      </c>
      <c r="G1311" s="496" t="str">
        <f t="shared" si="61"/>
        <v>20523273851</v>
      </c>
    </row>
    <row r="1312" spans="1:7">
      <c r="A1312" s="496">
        <f t="shared" si="62"/>
        <v>1311</v>
      </c>
      <c r="B1312" s="496" t="s">
        <v>1398</v>
      </c>
      <c r="C1312" s="495" t="s">
        <v>88</v>
      </c>
      <c r="D1312" s="497" t="s">
        <v>89</v>
      </c>
      <c r="E1312" s="496" t="str">
        <f t="shared" si="60"/>
        <v>11</v>
      </c>
      <c r="F1312" s="496">
        <v>25720</v>
      </c>
      <c r="G1312" s="496" t="str">
        <f t="shared" si="61"/>
        <v>20523441826</v>
      </c>
    </row>
    <row r="1313" spans="1:7">
      <c r="A1313" s="496">
        <f t="shared" si="62"/>
        <v>1312</v>
      </c>
      <c r="B1313" s="496" t="s">
        <v>1399</v>
      </c>
      <c r="C1313" s="495" t="s">
        <v>85</v>
      </c>
      <c r="D1313" s="497" t="s">
        <v>86</v>
      </c>
      <c r="E1313" s="496" t="str">
        <f t="shared" si="60"/>
        <v>09</v>
      </c>
      <c r="F1313" s="496">
        <v>25719</v>
      </c>
      <c r="G1313" s="496" t="str">
        <f t="shared" si="61"/>
        <v>20523470761</v>
      </c>
    </row>
    <row r="1314" spans="1:7">
      <c r="A1314" s="496">
        <f t="shared" si="62"/>
        <v>1313</v>
      </c>
      <c r="B1314" s="496" t="s">
        <v>1400</v>
      </c>
      <c r="C1314" s="495" t="s">
        <v>88</v>
      </c>
      <c r="D1314" s="497" t="s">
        <v>89</v>
      </c>
      <c r="E1314" s="496" t="str">
        <f t="shared" si="60"/>
        <v>11</v>
      </c>
      <c r="F1314" s="496">
        <v>25720</v>
      </c>
      <c r="G1314" s="496" t="str">
        <f t="shared" si="61"/>
        <v>20523621212</v>
      </c>
    </row>
    <row r="1315" spans="1:7">
      <c r="A1315" s="496">
        <f t="shared" si="62"/>
        <v>1314</v>
      </c>
      <c r="B1315" s="496" t="s">
        <v>1401</v>
      </c>
      <c r="C1315" s="495" t="s">
        <v>91</v>
      </c>
      <c r="D1315" s="497" t="s">
        <v>92</v>
      </c>
      <c r="E1315" s="496" t="str">
        <f t="shared" si="60"/>
        <v>12</v>
      </c>
      <c r="F1315" s="496">
        <v>25724</v>
      </c>
      <c r="G1315" s="496" t="str">
        <f t="shared" si="61"/>
        <v>20524919321</v>
      </c>
    </row>
    <row r="1316" spans="1:7">
      <c r="A1316" s="496">
        <f t="shared" si="62"/>
        <v>1315</v>
      </c>
      <c r="B1316" s="496" t="s">
        <v>1402</v>
      </c>
      <c r="C1316" s="495" t="s">
        <v>77</v>
      </c>
      <c r="D1316" s="497" t="s">
        <v>78</v>
      </c>
      <c r="E1316" s="496" t="str">
        <f t="shared" si="60"/>
        <v>07</v>
      </c>
      <c r="F1316" s="496">
        <v>25717</v>
      </c>
      <c r="G1316" s="496" t="str">
        <f t="shared" si="61"/>
        <v>20525011993</v>
      </c>
    </row>
    <row r="1317" spans="1:7">
      <c r="A1317" s="496">
        <f t="shared" si="62"/>
        <v>1316</v>
      </c>
      <c r="B1317" s="496" t="s">
        <v>1403</v>
      </c>
      <c r="C1317" s="495" t="s">
        <v>82</v>
      </c>
      <c r="D1317" s="497" t="s">
        <v>83</v>
      </c>
      <c r="E1317" s="496" t="str">
        <f t="shared" si="60"/>
        <v>08</v>
      </c>
      <c r="F1317" s="496">
        <v>25718</v>
      </c>
      <c r="G1317" s="496" t="str">
        <f t="shared" si="61"/>
        <v>20525028535</v>
      </c>
    </row>
    <row r="1318" spans="1:7">
      <c r="A1318" s="496">
        <f t="shared" si="62"/>
        <v>1317</v>
      </c>
      <c r="B1318" s="496" t="s">
        <v>1404</v>
      </c>
      <c r="C1318" s="495" t="s">
        <v>85</v>
      </c>
      <c r="D1318" s="497" t="s">
        <v>86</v>
      </c>
      <c r="E1318" s="496" t="str">
        <f t="shared" si="60"/>
        <v>09</v>
      </c>
      <c r="F1318" s="496">
        <v>25719</v>
      </c>
      <c r="G1318" s="496" t="str">
        <f t="shared" si="61"/>
        <v>20526937130</v>
      </c>
    </row>
    <row r="1319" spans="1:7">
      <c r="A1319" s="496">
        <f t="shared" si="62"/>
        <v>1318</v>
      </c>
      <c r="B1319" s="496" t="s">
        <v>1405</v>
      </c>
      <c r="C1319" s="495" t="s">
        <v>88</v>
      </c>
      <c r="D1319" s="497" t="s">
        <v>89</v>
      </c>
      <c r="E1319" s="496" t="str">
        <f t="shared" si="60"/>
        <v>11</v>
      </c>
      <c r="F1319" s="496">
        <v>25720</v>
      </c>
      <c r="G1319" s="496" t="str">
        <f t="shared" si="61"/>
        <v>20526938535</v>
      </c>
    </row>
    <row r="1320" spans="1:7">
      <c r="A1320" s="496">
        <f t="shared" si="62"/>
        <v>1319</v>
      </c>
      <c r="B1320" s="496" t="s">
        <v>1406</v>
      </c>
      <c r="C1320" s="495" t="s">
        <v>91</v>
      </c>
      <c r="D1320" s="497" t="s">
        <v>92</v>
      </c>
      <c r="E1320" s="496" t="str">
        <f t="shared" si="60"/>
        <v>12</v>
      </c>
      <c r="F1320" s="496">
        <v>25724</v>
      </c>
      <c r="G1320" s="496" t="str">
        <f t="shared" si="61"/>
        <v>20532145415</v>
      </c>
    </row>
    <row r="1321" spans="1:7">
      <c r="A1321" s="496">
        <f t="shared" si="62"/>
        <v>1320</v>
      </c>
      <c r="B1321" s="496" t="s">
        <v>1407</v>
      </c>
      <c r="C1321" s="495" t="s">
        <v>91</v>
      </c>
      <c r="D1321" s="497" t="s">
        <v>92</v>
      </c>
      <c r="E1321" s="496" t="str">
        <f t="shared" si="60"/>
        <v>12</v>
      </c>
      <c r="F1321" s="496">
        <v>25724</v>
      </c>
      <c r="G1321" s="496" t="str">
        <f t="shared" si="61"/>
        <v>20534938587</v>
      </c>
    </row>
    <row r="1322" spans="1:7">
      <c r="A1322" s="496">
        <f t="shared" si="62"/>
        <v>1321</v>
      </c>
      <c r="B1322" s="496" t="s">
        <v>1408</v>
      </c>
      <c r="C1322" s="495" t="s">
        <v>77</v>
      </c>
      <c r="D1322" s="497" t="s">
        <v>78</v>
      </c>
      <c r="E1322" s="496" t="str">
        <f t="shared" si="60"/>
        <v>07</v>
      </c>
      <c r="F1322" s="496">
        <v>25717</v>
      </c>
      <c r="G1322" s="496" t="str">
        <f t="shared" si="61"/>
        <v>20535543349</v>
      </c>
    </row>
    <row r="1323" spans="1:7">
      <c r="A1323" s="496">
        <f t="shared" si="62"/>
        <v>1322</v>
      </c>
      <c r="B1323" s="496" t="s">
        <v>1409</v>
      </c>
      <c r="C1323" s="495" t="s">
        <v>82</v>
      </c>
      <c r="D1323" s="497" t="s">
        <v>83</v>
      </c>
      <c r="E1323" s="496" t="str">
        <f t="shared" si="60"/>
        <v>08</v>
      </c>
      <c r="F1323" s="496">
        <v>25718</v>
      </c>
      <c r="G1323" s="496" t="str">
        <f t="shared" si="61"/>
        <v>20535863769</v>
      </c>
    </row>
    <row r="1324" spans="1:7">
      <c r="A1324" s="496">
        <f t="shared" si="62"/>
        <v>1323</v>
      </c>
      <c r="B1324" s="496" t="s">
        <v>1410</v>
      </c>
      <c r="C1324" s="495" t="s">
        <v>77</v>
      </c>
      <c r="D1324" s="497" t="s">
        <v>78</v>
      </c>
      <c r="E1324" s="496" t="str">
        <f t="shared" si="60"/>
        <v>07</v>
      </c>
      <c r="F1324" s="496">
        <v>25717</v>
      </c>
      <c r="G1324" s="496" t="str">
        <f t="shared" si="61"/>
        <v>20536058690</v>
      </c>
    </row>
    <row r="1325" spans="1:7">
      <c r="A1325" s="496">
        <f t="shared" si="62"/>
        <v>1324</v>
      </c>
      <c r="B1325" s="496" t="s">
        <v>1411</v>
      </c>
      <c r="C1325" s="495" t="s">
        <v>82</v>
      </c>
      <c r="D1325" s="497" t="s">
        <v>83</v>
      </c>
      <c r="E1325" s="496" t="str">
        <f t="shared" si="60"/>
        <v>08</v>
      </c>
      <c r="F1325" s="496">
        <v>25718</v>
      </c>
      <c r="G1325" s="496" t="str">
        <f t="shared" si="61"/>
        <v>20536692399</v>
      </c>
    </row>
    <row r="1326" spans="1:7">
      <c r="A1326" s="496">
        <f t="shared" si="62"/>
        <v>1325</v>
      </c>
      <c r="B1326" s="496" t="s">
        <v>1412</v>
      </c>
      <c r="C1326" s="495" t="s">
        <v>85</v>
      </c>
      <c r="D1326" s="497" t="s">
        <v>86</v>
      </c>
      <c r="E1326" s="496" t="str">
        <f t="shared" si="60"/>
        <v>09</v>
      </c>
      <c r="F1326" s="496">
        <v>25719</v>
      </c>
      <c r="G1326" s="496" t="str">
        <f t="shared" si="61"/>
        <v>20536766694</v>
      </c>
    </row>
    <row r="1327" spans="1:7">
      <c r="A1327" s="496">
        <f t="shared" si="62"/>
        <v>1326</v>
      </c>
      <c r="B1327" s="496" t="s">
        <v>1413</v>
      </c>
      <c r="C1327" s="495" t="s">
        <v>88</v>
      </c>
      <c r="D1327" s="497" t="s">
        <v>89</v>
      </c>
      <c r="E1327" s="496" t="str">
        <f t="shared" si="60"/>
        <v>11</v>
      </c>
      <c r="F1327" s="496">
        <v>25720</v>
      </c>
      <c r="G1327" s="496" t="str">
        <f t="shared" si="61"/>
        <v>20536788311</v>
      </c>
    </row>
    <row r="1328" spans="1:7">
      <c r="A1328" s="496">
        <f t="shared" si="62"/>
        <v>1327</v>
      </c>
      <c r="B1328" s="496" t="s">
        <v>1414</v>
      </c>
      <c r="C1328" s="495" t="s">
        <v>91</v>
      </c>
      <c r="D1328" s="497" t="s">
        <v>92</v>
      </c>
      <c r="E1328" s="496" t="str">
        <f t="shared" si="60"/>
        <v>12</v>
      </c>
      <c r="F1328" s="496">
        <v>25724</v>
      </c>
      <c r="G1328" s="496" t="str">
        <f t="shared" si="61"/>
        <v>20536810341</v>
      </c>
    </row>
    <row r="1329" spans="1:7">
      <c r="A1329" s="496">
        <f t="shared" si="62"/>
        <v>1328</v>
      </c>
      <c r="B1329" s="496" t="s">
        <v>1415</v>
      </c>
      <c r="C1329" s="495" t="s">
        <v>77</v>
      </c>
      <c r="D1329" s="497" t="s">
        <v>78</v>
      </c>
      <c r="E1329" s="496" t="str">
        <f t="shared" si="60"/>
        <v>07</v>
      </c>
      <c r="F1329" s="496">
        <v>25717</v>
      </c>
      <c r="G1329" s="496" t="str">
        <f t="shared" si="61"/>
        <v>20537479907</v>
      </c>
    </row>
    <row r="1330" spans="1:7">
      <c r="A1330" s="496">
        <f t="shared" si="62"/>
        <v>1329</v>
      </c>
      <c r="B1330" s="496" t="s">
        <v>1416</v>
      </c>
      <c r="C1330" s="495" t="s">
        <v>82</v>
      </c>
      <c r="D1330" s="497" t="s">
        <v>83</v>
      </c>
      <c r="E1330" s="496" t="str">
        <f t="shared" si="60"/>
        <v>08</v>
      </c>
      <c r="F1330" s="496">
        <v>25718</v>
      </c>
      <c r="G1330" s="496" t="str">
        <f t="shared" si="61"/>
        <v>20537496828</v>
      </c>
    </row>
    <row r="1331" spans="1:7">
      <c r="A1331" s="496">
        <f t="shared" si="62"/>
        <v>1330</v>
      </c>
      <c r="B1331" s="496" t="s">
        <v>1417</v>
      </c>
      <c r="C1331" s="495" t="s">
        <v>85</v>
      </c>
      <c r="D1331" s="497" t="s">
        <v>86</v>
      </c>
      <c r="E1331" s="496" t="str">
        <f t="shared" si="60"/>
        <v>09</v>
      </c>
      <c r="F1331" s="496">
        <v>25719</v>
      </c>
      <c r="G1331" s="496" t="str">
        <f t="shared" si="61"/>
        <v>20537577232</v>
      </c>
    </row>
    <row r="1332" spans="1:7">
      <c r="A1332" s="496">
        <f t="shared" si="62"/>
        <v>1331</v>
      </c>
      <c r="B1332" s="496" t="s">
        <v>1418</v>
      </c>
      <c r="C1332" s="495" t="s">
        <v>88</v>
      </c>
      <c r="D1332" s="497" t="s">
        <v>89</v>
      </c>
      <c r="E1332" s="496" t="str">
        <f t="shared" si="60"/>
        <v>11</v>
      </c>
      <c r="F1332" s="496">
        <v>25720</v>
      </c>
      <c r="G1332" s="496" t="str">
        <f t="shared" si="61"/>
        <v>20537605465</v>
      </c>
    </row>
    <row r="1333" spans="1:7">
      <c r="A1333" s="496">
        <f t="shared" si="62"/>
        <v>1332</v>
      </c>
      <c r="B1333" s="496" t="s">
        <v>1419</v>
      </c>
      <c r="C1333" s="495" t="s">
        <v>85</v>
      </c>
      <c r="D1333" s="497" t="s">
        <v>86</v>
      </c>
      <c r="E1333" s="496" t="str">
        <f t="shared" si="60"/>
        <v>09</v>
      </c>
      <c r="F1333" s="496">
        <v>25719</v>
      </c>
      <c r="G1333" s="496" t="str">
        <f t="shared" si="61"/>
        <v>20537613484</v>
      </c>
    </row>
    <row r="1334" spans="1:7">
      <c r="A1334" s="496">
        <f t="shared" si="62"/>
        <v>1333</v>
      </c>
      <c r="B1334" s="496" t="s">
        <v>1420</v>
      </c>
      <c r="C1334" s="495" t="s">
        <v>88</v>
      </c>
      <c r="D1334" s="497" t="s">
        <v>89</v>
      </c>
      <c r="E1334" s="496" t="str">
        <f t="shared" si="60"/>
        <v>11</v>
      </c>
      <c r="F1334" s="496">
        <v>25720</v>
      </c>
      <c r="G1334" s="496" t="str">
        <f t="shared" si="61"/>
        <v>20538439135</v>
      </c>
    </row>
    <row r="1335" spans="1:7">
      <c r="A1335" s="496">
        <f t="shared" si="62"/>
        <v>1334</v>
      </c>
      <c r="B1335" s="496" t="s">
        <v>1421</v>
      </c>
      <c r="C1335" s="495" t="s">
        <v>91</v>
      </c>
      <c r="D1335" s="497" t="s">
        <v>92</v>
      </c>
      <c r="E1335" s="496" t="str">
        <f t="shared" si="60"/>
        <v>12</v>
      </c>
      <c r="F1335" s="496">
        <v>25724</v>
      </c>
      <c r="G1335" s="496" t="str">
        <f t="shared" si="61"/>
        <v>20538837611</v>
      </c>
    </row>
    <row r="1336" spans="1:7">
      <c r="A1336" s="496">
        <f t="shared" si="62"/>
        <v>1335</v>
      </c>
      <c r="B1336" s="496" t="s">
        <v>1422</v>
      </c>
      <c r="C1336" s="495" t="s">
        <v>77</v>
      </c>
      <c r="D1336" s="497" t="s">
        <v>78</v>
      </c>
      <c r="E1336" s="496" t="str">
        <f t="shared" si="60"/>
        <v>07</v>
      </c>
      <c r="F1336" s="496">
        <v>25717</v>
      </c>
      <c r="G1336" s="496" t="str">
        <f t="shared" si="61"/>
        <v>20543208923</v>
      </c>
    </row>
    <row r="1337" spans="1:7">
      <c r="A1337" s="496">
        <f t="shared" si="62"/>
        <v>1336</v>
      </c>
      <c r="B1337" s="496" t="s">
        <v>1423</v>
      </c>
      <c r="C1337" s="495" t="s">
        <v>82</v>
      </c>
      <c r="D1337" s="497" t="s">
        <v>83</v>
      </c>
      <c r="E1337" s="496" t="str">
        <f t="shared" si="60"/>
        <v>08</v>
      </c>
      <c r="F1337" s="496">
        <v>25718</v>
      </c>
      <c r="G1337" s="496" t="str">
        <f t="shared" si="61"/>
        <v>20543254798</v>
      </c>
    </row>
    <row r="1338" spans="1:7">
      <c r="A1338" s="496">
        <f t="shared" si="62"/>
        <v>1337</v>
      </c>
      <c r="B1338" s="496" t="s">
        <v>1424</v>
      </c>
      <c r="C1338" s="495" t="s">
        <v>91</v>
      </c>
      <c r="D1338" s="497" t="s">
        <v>92</v>
      </c>
      <c r="E1338" s="496" t="str">
        <f t="shared" si="60"/>
        <v>12</v>
      </c>
      <c r="F1338" s="496">
        <v>25724</v>
      </c>
      <c r="G1338" s="496" t="str">
        <f t="shared" si="61"/>
        <v>20543405834</v>
      </c>
    </row>
    <row r="1339" spans="1:7">
      <c r="A1339" s="496">
        <f t="shared" si="62"/>
        <v>1338</v>
      </c>
      <c r="B1339" s="496" t="s">
        <v>1425</v>
      </c>
      <c r="C1339" s="495" t="s">
        <v>85</v>
      </c>
      <c r="D1339" s="497" t="s">
        <v>86</v>
      </c>
      <c r="E1339" s="496" t="str">
        <f t="shared" si="60"/>
        <v>09</v>
      </c>
      <c r="F1339" s="496">
        <v>25719</v>
      </c>
      <c r="G1339" s="496" t="str">
        <f t="shared" si="61"/>
        <v>20543420477</v>
      </c>
    </row>
    <row r="1340" spans="1:7">
      <c r="A1340" s="496">
        <f t="shared" si="62"/>
        <v>1339</v>
      </c>
      <c r="B1340" s="496" t="s">
        <v>1426</v>
      </c>
      <c r="C1340" s="495" t="s">
        <v>88</v>
      </c>
      <c r="D1340" s="497" t="s">
        <v>89</v>
      </c>
      <c r="E1340" s="496" t="str">
        <f t="shared" si="60"/>
        <v>11</v>
      </c>
      <c r="F1340" s="496">
        <v>25720</v>
      </c>
      <c r="G1340" s="496" t="str">
        <f t="shared" si="61"/>
        <v>20544229118</v>
      </c>
    </row>
    <row r="1341" spans="1:7">
      <c r="A1341" s="496">
        <f t="shared" si="62"/>
        <v>1340</v>
      </c>
      <c r="B1341" s="496" t="s">
        <v>1427</v>
      </c>
      <c r="C1341" s="495" t="s">
        <v>77</v>
      </c>
      <c r="D1341" s="497" t="s">
        <v>78</v>
      </c>
      <c r="E1341" s="496" t="str">
        <f t="shared" si="60"/>
        <v>07</v>
      </c>
      <c r="F1341" s="496">
        <v>25717</v>
      </c>
      <c r="G1341" s="496" t="str">
        <f t="shared" si="61"/>
        <v>20545015529</v>
      </c>
    </row>
    <row r="1342" spans="1:7">
      <c r="A1342" s="496">
        <f t="shared" si="62"/>
        <v>1341</v>
      </c>
      <c r="B1342" s="496" t="s">
        <v>1428</v>
      </c>
      <c r="C1342" s="495" t="s">
        <v>91</v>
      </c>
      <c r="D1342" s="497" t="s">
        <v>92</v>
      </c>
      <c r="E1342" s="496" t="str">
        <f t="shared" si="60"/>
        <v>12</v>
      </c>
      <c r="F1342" s="496">
        <v>25724</v>
      </c>
      <c r="G1342" s="496" t="str">
        <f t="shared" si="61"/>
        <v>20545084687</v>
      </c>
    </row>
    <row r="1343" spans="1:7">
      <c r="A1343" s="496">
        <f t="shared" si="62"/>
        <v>1342</v>
      </c>
      <c r="B1343" s="496" t="s">
        <v>1429</v>
      </c>
      <c r="C1343" s="495" t="s">
        <v>82</v>
      </c>
      <c r="D1343" s="497" t="s">
        <v>83</v>
      </c>
      <c r="E1343" s="496" t="str">
        <f t="shared" si="60"/>
        <v>08</v>
      </c>
      <c r="F1343" s="496">
        <v>25718</v>
      </c>
      <c r="G1343" s="496" t="str">
        <f t="shared" si="61"/>
        <v>20545235138</v>
      </c>
    </row>
    <row r="1344" spans="1:7">
      <c r="A1344" s="496">
        <f t="shared" si="62"/>
        <v>1343</v>
      </c>
      <c r="B1344" s="496" t="s">
        <v>1430</v>
      </c>
      <c r="C1344" s="495" t="s">
        <v>85</v>
      </c>
      <c r="D1344" s="497" t="s">
        <v>86</v>
      </c>
      <c r="E1344" s="496" t="str">
        <f t="shared" si="60"/>
        <v>09</v>
      </c>
      <c r="F1344" s="496">
        <v>25719</v>
      </c>
      <c r="G1344" s="496" t="str">
        <f t="shared" si="61"/>
        <v>20545286719</v>
      </c>
    </row>
    <row r="1345" spans="1:7">
      <c r="A1345" s="496">
        <f t="shared" si="62"/>
        <v>1344</v>
      </c>
      <c r="B1345" s="496" t="s">
        <v>1431</v>
      </c>
      <c r="C1345" s="495" t="s">
        <v>77</v>
      </c>
      <c r="D1345" s="497" t="s">
        <v>78</v>
      </c>
      <c r="E1345" s="496" t="str">
        <f t="shared" si="60"/>
        <v>07</v>
      </c>
      <c r="F1345" s="496">
        <v>25717</v>
      </c>
      <c r="G1345" s="496" t="str">
        <f t="shared" si="61"/>
        <v>20545955653</v>
      </c>
    </row>
    <row r="1346" spans="1:7">
      <c r="A1346" s="496">
        <f t="shared" si="62"/>
        <v>1345</v>
      </c>
      <c r="B1346" s="496" t="s">
        <v>1432</v>
      </c>
      <c r="C1346" s="495" t="s">
        <v>88</v>
      </c>
      <c r="D1346" s="497" t="s">
        <v>89</v>
      </c>
      <c r="E1346" s="496" t="str">
        <f t="shared" si="60"/>
        <v>11</v>
      </c>
      <c r="F1346" s="496">
        <v>25720</v>
      </c>
      <c r="G1346" s="496" t="str">
        <f t="shared" si="61"/>
        <v>20546128424</v>
      </c>
    </row>
    <row r="1347" spans="1:7">
      <c r="A1347" s="496">
        <f t="shared" si="62"/>
        <v>1346</v>
      </c>
      <c r="B1347" s="496" t="s">
        <v>1433</v>
      </c>
      <c r="C1347" s="495" t="s">
        <v>91</v>
      </c>
      <c r="D1347" s="497" t="s">
        <v>92</v>
      </c>
      <c r="E1347" s="496" t="str">
        <f t="shared" ref="E1347:E1410" si="63">IF(MID(D1347,14,1)="@",MID(D1347,12,2),"0"&amp;MID(D1347,12,1))</f>
        <v>12</v>
      </c>
      <c r="F1347" s="496">
        <v>25724</v>
      </c>
      <c r="G1347" s="496" t="str">
        <f t="shared" ref="G1347:G1410" si="64">CONCATENATE(B1347)</f>
        <v>20546723225</v>
      </c>
    </row>
    <row r="1348" spans="1:7">
      <c r="A1348" s="496">
        <f t="shared" ref="A1348:A1411" si="65">+A1347+1</f>
        <v>1347</v>
      </c>
      <c r="B1348" s="496" t="s">
        <v>1434</v>
      </c>
      <c r="C1348" s="495" t="s">
        <v>77</v>
      </c>
      <c r="D1348" s="497" t="s">
        <v>78</v>
      </c>
      <c r="E1348" s="496" t="str">
        <f t="shared" si="63"/>
        <v>07</v>
      </c>
      <c r="F1348" s="496">
        <v>25717</v>
      </c>
      <c r="G1348" s="496" t="str">
        <f t="shared" si="64"/>
        <v>20547028253</v>
      </c>
    </row>
    <row r="1349" spans="1:7">
      <c r="A1349" s="496">
        <f t="shared" si="65"/>
        <v>1348</v>
      </c>
      <c r="B1349" s="496" t="s">
        <v>1435</v>
      </c>
      <c r="C1349" s="495" t="s">
        <v>82</v>
      </c>
      <c r="D1349" s="497" t="s">
        <v>83</v>
      </c>
      <c r="E1349" s="496" t="str">
        <f t="shared" si="63"/>
        <v>08</v>
      </c>
      <c r="F1349" s="496">
        <v>25718</v>
      </c>
      <c r="G1349" s="496" t="str">
        <f t="shared" si="64"/>
        <v>20547052634</v>
      </c>
    </row>
    <row r="1350" spans="1:7">
      <c r="A1350" s="496">
        <f t="shared" si="65"/>
        <v>1349</v>
      </c>
      <c r="B1350" s="496" t="s">
        <v>1436</v>
      </c>
      <c r="C1350" s="495" t="s">
        <v>85</v>
      </c>
      <c r="D1350" s="497" t="s">
        <v>86</v>
      </c>
      <c r="E1350" s="496" t="str">
        <f t="shared" si="63"/>
        <v>09</v>
      </c>
      <c r="F1350" s="496">
        <v>25719</v>
      </c>
      <c r="G1350" s="496" t="str">
        <f t="shared" si="64"/>
        <v>20547125372</v>
      </c>
    </row>
    <row r="1351" spans="1:7">
      <c r="A1351" s="496">
        <f t="shared" si="65"/>
        <v>1350</v>
      </c>
      <c r="B1351" s="496" t="s">
        <v>1437</v>
      </c>
      <c r="C1351" s="495" t="s">
        <v>88</v>
      </c>
      <c r="D1351" s="497" t="s">
        <v>89</v>
      </c>
      <c r="E1351" s="496" t="str">
        <f t="shared" si="63"/>
        <v>11</v>
      </c>
      <c r="F1351" s="496">
        <v>25720</v>
      </c>
      <c r="G1351" s="496" t="str">
        <f t="shared" si="64"/>
        <v>20547735014</v>
      </c>
    </row>
    <row r="1352" spans="1:7">
      <c r="A1352" s="496">
        <f t="shared" si="65"/>
        <v>1351</v>
      </c>
      <c r="B1352" s="496" t="s">
        <v>1438</v>
      </c>
      <c r="C1352" s="495" t="s">
        <v>91</v>
      </c>
      <c r="D1352" s="497" t="s">
        <v>92</v>
      </c>
      <c r="E1352" s="496" t="str">
        <f t="shared" si="63"/>
        <v>12</v>
      </c>
      <c r="F1352" s="496">
        <v>25724</v>
      </c>
      <c r="G1352" s="496" t="str">
        <f t="shared" si="64"/>
        <v>20547999691</v>
      </c>
    </row>
    <row r="1353" spans="1:7">
      <c r="A1353" s="496">
        <f t="shared" si="65"/>
        <v>1352</v>
      </c>
      <c r="B1353" s="496" t="s">
        <v>1439</v>
      </c>
      <c r="C1353" s="495" t="s">
        <v>77</v>
      </c>
      <c r="D1353" s="497" t="s">
        <v>78</v>
      </c>
      <c r="E1353" s="496" t="str">
        <f t="shared" si="63"/>
        <v>07</v>
      </c>
      <c r="F1353" s="496">
        <v>25717</v>
      </c>
      <c r="G1353" s="496" t="str">
        <f t="shared" si="64"/>
        <v>20548040320</v>
      </c>
    </row>
    <row r="1354" spans="1:7">
      <c r="A1354" s="496">
        <f t="shared" si="65"/>
        <v>1353</v>
      </c>
      <c r="B1354" s="496" t="s">
        <v>1440</v>
      </c>
      <c r="C1354" s="495" t="s">
        <v>82</v>
      </c>
      <c r="D1354" s="497" t="s">
        <v>83</v>
      </c>
      <c r="E1354" s="496" t="str">
        <f t="shared" si="63"/>
        <v>08</v>
      </c>
      <c r="F1354" s="496">
        <v>25718</v>
      </c>
      <c r="G1354" s="496" t="str">
        <f t="shared" si="64"/>
        <v>20548498181</v>
      </c>
    </row>
    <row r="1355" spans="1:7">
      <c r="A1355" s="496">
        <f t="shared" si="65"/>
        <v>1354</v>
      </c>
      <c r="B1355" s="496" t="s">
        <v>1441</v>
      </c>
      <c r="C1355" s="495" t="s">
        <v>85</v>
      </c>
      <c r="D1355" s="497" t="s">
        <v>86</v>
      </c>
      <c r="E1355" s="496" t="str">
        <f t="shared" si="63"/>
        <v>09</v>
      </c>
      <c r="F1355" s="496">
        <v>25719</v>
      </c>
      <c r="G1355" s="496" t="str">
        <f t="shared" si="64"/>
        <v>20548637130</v>
      </c>
    </row>
    <row r="1356" spans="1:7">
      <c r="A1356" s="496">
        <f t="shared" si="65"/>
        <v>1355</v>
      </c>
      <c r="B1356" s="496" t="s">
        <v>1442</v>
      </c>
      <c r="C1356" s="495" t="s">
        <v>82</v>
      </c>
      <c r="D1356" s="497" t="s">
        <v>83</v>
      </c>
      <c r="E1356" s="496" t="str">
        <f t="shared" si="63"/>
        <v>08</v>
      </c>
      <c r="F1356" s="496">
        <v>25718</v>
      </c>
      <c r="G1356" s="496" t="str">
        <f t="shared" si="64"/>
        <v>20548739641</v>
      </c>
    </row>
    <row r="1357" spans="1:7">
      <c r="A1357" s="496">
        <f t="shared" si="65"/>
        <v>1356</v>
      </c>
      <c r="B1357" s="496" t="s">
        <v>1443</v>
      </c>
      <c r="C1357" s="495" t="s">
        <v>85</v>
      </c>
      <c r="D1357" s="497" t="s">
        <v>86</v>
      </c>
      <c r="E1357" s="496" t="str">
        <f t="shared" si="63"/>
        <v>09</v>
      </c>
      <c r="F1357" s="496">
        <v>25719</v>
      </c>
      <c r="G1357" s="496" t="str">
        <f t="shared" si="64"/>
        <v>20549045848</v>
      </c>
    </row>
    <row r="1358" spans="1:7">
      <c r="A1358" s="496">
        <f t="shared" si="65"/>
        <v>1357</v>
      </c>
      <c r="B1358" s="496" t="s">
        <v>1444</v>
      </c>
      <c r="C1358" s="495" t="s">
        <v>88</v>
      </c>
      <c r="D1358" s="497" t="s">
        <v>89</v>
      </c>
      <c r="E1358" s="496" t="str">
        <f t="shared" si="63"/>
        <v>11</v>
      </c>
      <c r="F1358" s="496">
        <v>25720</v>
      </c>
      <c r="G1358" s="496" t="str">
        <f t="shared" si="64"/>
        <v>20549548327</v>
      </c>
    </row>
    <row r="1359" spans="1:7">
      <c r="A1359" s="496">
        <f t="shared" si="65"/>
        <v>1358</v>
      </c>
      <c r="B1359" s="496" t="s">
        <v>1445</v>
      </c>
      <c r="C1359" s="495" t="s">
        <v>88</v>
      </c>
      <c r="D1359" s="497" t="s">
        <v>89</v>
      </c>
      <c r="E1359" s="496" t="str">
        <f t="shared" si="63"/>
        <v>11</v>
      </c>
      <c r="F1359" s="496">
        <v>25720</v>
      </c>
      <c r="G1359" s="496" t="str">
        <f t="shared" si="64"/>
        <v>20549706500</v>
      </c>
    </row>
    <row r="1360" spans="1:7">
      <c r="A1360" s="496">
        <f t="shared" si="65"/>
        <v>1359</v>
      </c>
      <c r="B1360" s="496" t="s">
        <v>1446</v>
      </c>
      <c r="C1360" s="495" t="s">
        <v>91</v>
      </c>
      <c r="D1360" s="497" t="s">
        <v>92</v>
      </c>
      <c r="E1360" s="496" t="str">
        <f t="shared" si="63"/>
        <v>12</v>
      </c>
      <c r="F1360" s="496">
        <v>25724</v>
      </c>
      <c r="G1360" s="496" t="str">
        <f t="shared" si="64"/>
        <v>20550520002</v>
      </c>
    </row>
    <row r="1361" spans="1:7">
      <c r="A1361" s="496">
        <f t="shared" si="65"/>
        <v>1360</v>
      </c>
      <c r="B1361" s="496" t="s">
        <v>1447</v>
      </c>
      <c r="C1361" s="495" t="s">
        <v>91</v>
      </c>
      <c r="D1361" s="497" t="s">
        <v>92</v>
      </c>
      <c r="E1361" s="496" t="str">
        <f t="shared" si="63"/>
        <v>12</v>
      </c>
      <c r="F1361" s="496">
        <v>25724</v>
      </c>
      <c r="G1361" s="496" t="str">
        <f t="shared" si="64"/>
        <v>20551182992</v>
      </c>
    </row>
    <row r="1362" spans="1:7">
      <c r="A1362" s="496">
        <f t="shared" si="65"/>
        <v>1361</v>
      </c>
      <c r="B1362" s="496" t="s">
        <v>1448</v>
      </c>
      <c r="C1362" s="495" t="s">
        <v>77</v>
      </c>
      <c r="D1362" s="497" t="s">
        <v>78</v>
      </c>
      <c r="E1362" s="496" t="str">
        <f t="shared" si="63"/>
        <v>07</v>
      </c>
      <c r="F1362" s="496">
        <v>25717</v>
      </c>
      <c r="G1362" s="496" t="str">
        <f t="shared" si="64"/>
        <v>20552438591</v>
      </c>
    </row>
    <row r="1363" spans="1:7">
      <c r="A1363" s="496">
        <f t="shared" si="65"/>
        <v>1362</v>
      </c>
      <c r="B1363" s="496" t="s">
        <v>1449</v>
      </c>
      <c r="C1363" s="495" t="s">
        <v>77</v>
      </c>
      <c r="D1363" s="497" t="s">
        <v>78</v>
      </c>
      <c r="E1363" s="496" t="str">
        <f t="shared" si="63"/>
        <v>07</v>
      </c>
      <c r="F1363" s="496">
        <v>25717</v>
      </c>
      <c r="G1363" s="496" t="str">
        <f t="shared" si="64"/>
        <v>20552836481</v>
      </c>
    </row>
    <row r="1364" spans="1:7">
      <c r="A1364" s="496">
        <f t="shared" si="65"/>
        <v>1363</v>
      </c>
      <c r="B1364" s="496" t="s">
        <v>1450</v>
      </c>
      <c r="C1364" s="495" t="s">
        <v>82</v>
      </c>
      <c r="D1364" s="497" t="s">
        <v>83</v>
      </c>
      <c r="E1364" s="496" t="str">
        <f t="shared" si="63"/>
        <v>08</v>
      </c>
      <c r="F1364" s="496">
        <v>25718</v>
      </c>
      <c r="G1364" s="496" t="str">
        <f t="shared" si="64"/>
        <v>20553157014</v>
      </c>
    </row>
    <row r="1365" spans="1:7">
      <c r="A1365" s="496">
        <f t="shared" si="65"/>
        <v>1364</v>
      </c>
      <c r="B1365" s="496" t="s">
        <v>1451</v>
      </c>
      <c r="C1365" s="495" t="s">
        <v>85</v>
      </c>
      <c r="D1365" s="497" t="s">
        <v>86</v>
      </c>
      <c r="E1365" s="496" t="str">
        <f t="shared" si="63"/>
        <v>09</v>
      </c>
      <c r="F1365" s="496">
        <v>25719</v>
      </c>
      <c r="G1365" s="496" t="str">
        <f t="shared" si="64"/>
        <v>20554303901</v>
      </c>
    </row>
    <row r="1366" spans="1:7">
      <c r="A1366" s="496">
        <f t="shared" si="65"/>
        <v>1365</v>
      </c>
      <c r="B1366" s="496" t="s">
        <v>1452</v>
      </c>
      <c r="C1366" s="495" t="s">
        <v>82</v>
      </c>
      <c r="D1366" s="497" t="s">
        <v>83</v>
      </c>
      <c r="E1366" s="496" t="str">
        <f t="shared" si="63"/>
        <v>08</v>
      </c>
      <c r="F1366" s="496">
        <v>25718</v>
      </c>
      <c r="G1366" s="496" t="str">
        <f t="shared" si="64"/>
        <v>20554545743</v>
      </c>
    </row>
    <row r="1367" spans="1:7">
      <c r="A1367" s="496">
        <f t="shared" si="65"/>
        <v>1366</v>
      </c>
      <c r="B1367" s="496" t="s">
        <v>1453</v>
      </c>
      <c r="C1367" s="495" t="s">
        <v>85</v>
      </c>
      <c r="D1367" s="497" t="s">
        <v>86</v>
      </c>
      <c r="E1367" s="496" t="str">
        <f t="shared" si="63"/>
        <v>09</v>
      </c>
      <c r="F1367" s="496">
        <v>25719</v>
      </c>
      <c r="G1367" s="496" t="str">
        <f t="shared" si="64"/>
        <v>20555529326</v>
      </c>
    </row>
    <row r="1368" spans="1:7">
      <c r="A1368" s="496">
        <f t="shared" si="65"/>
        <v>1367</v>
      </c>
      <c r="B1368" s="496" t="s">
        <v>1454</v>
      </c>
      <c r="C1368" s="495" t="s">
        <v>88</v>
      </c>
      <c r="D1368" s="497" t="s">
        <v>89</v>
      </c>
      <c r="E1368" s="496" t="str">
        <f t="shared" si="63"/>
        <v>11</v>
      </c>
      <c r="F1368" s="496">
        <v>25720</v>
      </c>
      <c r="G1368" s="496" t="str">
        <f t="shared" si="64"/>
        <v>20555641240</v>
      </c>
    </row>
    <row r="1369" spans="1:7">
      <c r="A1369" s="496">
        <f t="shared" si="65"/>
        <v>1368</v>
      </c>
      <c r="B1369" s="496" t="s">
        <v>1455</v>
      </c>
      <c r="C1369" s="495" t="s">
        <v>91</v>
      </c>
      <c r="D1369" s="497" t="s">
        <v>92</v>
      </c>
      <c r="E1369" s="496" t="str">
        <f t="shared" si="63"/>
        <v>12</v>
      </c>
      <c r="F1369" s="496">
        <v>25724</v>
      </c>
      <c r="G1369" s="496" t="str">
        <f t="shared" si="64"/>
        <v>20556584479</v>
      </c>
    </row>
    <row r="1370" spans="1:7">
      <c r="A1370" s="496">
        <f t="shared" si="65"/>
        <v>1369</v>
      </c>
      <c r="B1370" s="496" t="s">
        <v>1456</v>
      </c>
      <c r="C1370" s="495" t="s">
        <v>88</v>
      </c>
      <c r="D1370" s="497" t="s">
        <v>89</v>
      </c>
      <c r="E1370" s="496" t="str">
        <f t="shared" si="63"/>
        <v>11</v>
      </c>
      <c r="F1370" s="496">
        <v>25720</v>
      </c>
      <c r="G1370" s="496" t="str">
        <f t="shared" si="64"/>
        <v>20557024205</v>
      </c>
    </row>
    <row r="1371" spans="1:7">
      <c r="A1371" s="496">
        <f t="shared" si="65"/>
        <v>1370</v>
      </c>
      <c r="B1371" s="496" t="s">
        <v>1457</v>
      </c>
      <c r="C1371" s="495" t="s">
        <v>77</v>
      </c>
      <c r="D1371" s="497" t="s">
        <v>78</v>
      </c>
      <c r="E1371" s="496" t="str">
        <f t="shared" si="63"/>
        <v>07</v>
      </c>
      <c r="F1371" s="496">
        <v>25717</v>
      </c>
      <c r="G1371" s="496" t="str">
        <f t="shared" si="64"/>
        <v>20557547054</v>
      </c>
    </row>
    <row r="1372" spans="1:7">
      <c r="A1372" s="496">
        <f t="shared" si="65"/>
        <v>1371</v>
      </c>
      <c r="B1372" s="496" t="s">
        <v>1458</v>
      </c>
      <c r="C1372" s="495" t="s">
        <v>91</v>
      </c>
      <c r="D1372" s="497" t="s">
        <v>92</v>
      </c>
      <c r="E1372" s="496" t="str">
        <f t="shared" si="63"/>
        <v>12</v>
      </c>
      <c r="F1372" s="496">
        <v>25724</v>
      </c>
      <c r="G1372" s="496" t="str">
        <f t="shared" si="64"/>
        <v>20557811924</v>
      </c>
    </row>
    <row r="1373" spans="1:7">
      <c r="A1373" s="496">
        <f t="shared" si="65"/>
        <v>1372</v>
      </c>
      <c r="B1373" s="496" t="s">
        <v>1459</v>
      </c>
      <c r="C1373" s="495" t="s">
        <v>77</v>
      </c>
      <c r="D1373" s="497" t="s">
        <v>78</v>
      </c>
      <c r="E1373" s="496" t="str">
        <f t="shared" si="63"/>
        <v>07</v>
      </c>
      <c r="F1373" s="496">
        <v>25717</v>
      </c>
      <c r="G1373" s="496" t="str">
        <f t="shared" si="64"/>
        <v>20563120135</v>
      </c>
    </row>
    <row r="1374" spans="1:7">
      <c r="A1374" s="496">
        <f t="shared" si="65"/>
        <v>1373</v>
      </c>
      <c r="B1374" s="496" t="s">
        <v>1460</v>
      </c>
      <c r="C1374" s="495" t="s">
        <v>82</v>
      </c>
      <c r="D1374" s="497" t="s">
        <v>83</v>
      </c>
      <c r="E1374" s="496" t="str">
        <f t="shared" si="63"/>
        <v>08</v>
      </c>
      <c r="F1374" s="496">
        <v>25718</v>
      </c>
      <c r="G1374" s="496" t="str">
        <f t="shared" si="64"/>
        <v>20563785374</v>
      </c>
    </row>
    <row r="1375" spans="1:7">
      <c r="A1375" s="496">
        <f t="shared" si="65"/>
        <v>1374</v>
      </c>
      <c r="B1375" s="496" t="s">
        <v>1461</v>
      </c>
      <c r="C1375" s="495" t="s">
        <v>82</v>
      </c>
      <c r="D1375" s="497" t="s">
        <v>83</v>
      </c>
      <c r="E1375" s="496" t="str">
        <f t="shared" si="63"/>
        <v>08</v>
      </c>
      <c r="F1375" s="496">
        <v>25718</v>
      </c>
      <c r="G1375" s="496" t="str">
        <f t="shared" si="64"/>
        <v>20565337611</v>
      </c>
    </row>
    <row r="1376" spans="1:7">
      <c r="A1376" s="496">
        <f t="shared" si="65"/>
        <v>1375</v>
      </c>
      <c r="B1376" s="496" t="s">
        <v>1462</v>
      </c>
      <c r="C1376" s="495" t="s">
        <v>85</v>
      </c>
      <c r="D1376" s="497" t="s">
        <v>86</v>
      </c>
      <c r="E1376" s="496" t="str">
        <f t="shared" si="63"/>
        <v>09</v>
      </c>
      <c r="F1376" s="496">
        <v>25719</v>
      </c>
      <c r="G1376" s="496" t="str">
        <f t="shared" si="64"/>
        <v>20565339401</v>
      </c>
    </row>
    <row r="1377" spans="1:7">
      <c r="A1377" s="496">
        <f t="shared" si="65"/>
        <v>1376</v>
      </c>
      <c r="B1377" s="496" t="s">
        <v>1463</v>
      </c>
      <c r="C1377" s="495" t="s">
        <v>88</v>
      </c>
      <c r="D1377" s="497" t="s">
        <v>89</v>
      </c>
      <c r="E1377" s="496" t="str">
        <f t="shared" si="63"/>
        <v>11</v>
      </c>
      <c r="F1377" s="496">
        <v>25720</v>
      </c>
      <c r="G1377" s="496" t="str">
        <f t="shared" si="64"/>
        <v>20565538510</v>
      </c>
    </row>
    <row r="1378" spans="1:7">
      <c r="A1378" s="496">
        <f t="shared" si="65"/>
        <v>1377</v>
      </c>
      <c r="B1378" s="496" t="s">
        <v>1464</v>
      </c>
      <c r="C1378" s="495" t="s">
        <v>85</v>
      </c>
      <c r="D1378" s="497" t="s">
        <v>86</v>
      </c>
      <c r="E1378" s="496" t="str">
        <f t="shared" si="63"/>
        <v>09</v>
      </c>
      <c r="F1378" s="496">
        <v>25719</v>
      </c>
      <c r="G1378" s="496" t="str">
        <f t="shared" si="64"/>
        <v>20565945077</v>
      </c>
    </row>
    <row r="1379" spans="1:7">
      <c r="A1379" s="496">
        <f t="shared" si="65"/>
        <v>1378</v>
      </c>
      <c r="B1379" s="496" t="s">
        <v>1465</v>
      </c>
      <c r="C1379" s="495" t="s">
        <v>88</v>
      </c>
      <c r="D1379" s="497" t="s">
        <v>89</v>
      </c>
      <c r="E1379" s="496" t="str">
        <f t="shared" si="63"/>
        <v>11</v>
      </c>
      <c r="F1379" s="496">
        <v>25720</v>
      </c>
      <c r="G1379" s="496" t="str">
        <f t="shared" si="64"/>
        <v>20566476194</v>
      </c>
    </row>
    <row r="1380" spans="1:7">
      <c r="A1380" s="496">
        <f t="shared" si="65"/>
        <v>1379</v>
      </c>
      <c r="B1380" s="496" t="s">
        <v>1466</v>
      </c>
      <c r="C1380" s="495" t="s">
        <v>91</v>
      </c>
      <c r="D1380" s="497" t="s">
        <v>92</v>
      </c>
      <c r="E1380" s="496" t="str">
        <f t="shared" si="63"/>
        <v>12</v>
      </c>
      <c r="F1380" s="496">
        <v>25724</v>
      </c>
      <c r="G1380" s="496" t="str">
        <f t="shared" si="64"/>
        <v>20600040341</v>
      </c>
    </row>
    <row r="1381" spans="1:7">
      <c r="A1381" s="496">
        <f t="shared" si="65"/>
        <v>1380</v>
      </c>
      <c r="B1381" s="496" t="s">
        <v>1467</v>
      </c>
      <c r="C1381" s="495" t="s">
        <v>77</v>
      </c>
      <c r="D1381" s="497" t="s">
        <v>78</v>
      </c>
      <c r="E1381" s="496" t="str">
        <f t="shared" si="63"/>
        <v>07</v>
      </c>
      <c r="F1381" s="496">
        <v>25717</v>
      </c>
      <c r="G1381" s="496" t="str">
        <f t="shared" si="64"/>
        <v>20600050118</v>
      </c>
    </row>
    <row r="1382" spans="1:7">
      <c r="A1382" s="496">
        <f t="shared" si="65"/>
        <v>1381</v>
      </c>
      <c r="B1382" s="496" t="s">
        <v>1468</v>
      </c>
      <c r="C1382" s="495" t="s">
        <v>82</v>
      </c>
      <c r="D1382" s="497" t="s">
        <v>83</v>
      </c>
      <c r="E1382" s="496" t="str">
        <f t="shared" si="63"/>
        <v>08</v>
      </c>
      <c r="F1382" s="496">
        <v>25718</v>
      </c>
      <c r="G1382" s="496" t="str">
        <f t="shared" si="64"/>
        <v>20600180631</v>
      </c>
    </row>
    <row r="1383" spans="1:7">
      <c r="A1383" s="496">
        <f t="shared" si="65"/>
        <v>1382</v>
      </c>
      <c r="B1383" s="496" t="s">
        <v>1469</v>
      </c>
      <c r="C1383" s="495" t="s">
        <v>85</v>
      </c>
      <c r="D1383" s="497" t="s">
        <v>86</v>
      </c>
      <c r="E1383" s="496" t="str">
        <f t="shared" si="63"/>
        <v>09</v>
      </c>
      <c r="F1383" s="496">
        <v>25719</v>
      </c>
      <c r="G1383" s="496" t="str">
        <f t="shared" si="64"/>
        <v>20600206827</v>
      </c>
    </row>
    <row r="1384" spans="1:7">
      <c r="A1384" s="496">
        <f t="shared" si="65"/>
        <v>1383</v>
      </c>
      <c r="B1384" s="496" t="s">
        <v>1470</v>
      </c>
      <c r="C1384" s="495" t="s">
        <v>88</v>
      </c>
      <c r="D1384" s="497" t="s">
        <v>89</v>
      </c>
      <c r="E1384" s="496" t="str">
        <f t="shared" si="63"/>
        <v>11</v>
      </c>
      <c r="F1384" s="496">
        <v>25720</v>
      </c>
      <c r="G1384" s="496" t="str">
        <f t="shared" si="64"/>
        <v>20600269241</v>
      </c>
    </row>
    <row r="1385" spans="1:7">
      <c r="A1385" s="496">
        <f t="shared" si="65"/>
        <v>1384</v>
      </c>
      <c r="B1385" s="496" t="s">
        <v>1471</v>
      </c>
      <c r="C1385" s="495" t="s">
        <v>91</v>
      </c>
      <c r="D1385" s="497" t="s">
        <v>92</v>
      </c>
      <c r="E1385" s="496" t="str">
        <f t="shared" si="63"/>
        <v>12</v>
      </c>
      <c r="F1385" s="496">
        <v>25724</v>
      </c>
      <c r="G1385" s="496" t="str">
        <f t="shared" si="64"/>
        <v>20600415418</v>
      </c>
    </row>
    <row r="1386" spans="1:7">
      <c r="A1386" s="496">
        <f t="shared" si="65"/>
        <v>1385</v>
      </c>
      <c r="B1386" s="496" t="s">
        <v>1472</v>
      </c>
      <c r="C1386" s="495" t="s">
        <v>91</v>
      </c>
      <c r="D1386" s="497" t="s">
        <v>92</v>
      </c>
      <c r="E1386" s="496" t="str">
        <f t="shared" si="63"/>
        <v>12</v>
      </c>
      <c r="F1386" s="496">
        <v>25724</v>
      </c>
      <c r="G1386" s="496" t="str">
        <f t="shared" si="64"/>
        <v>20600419430</v>
      </c>
    </row>
    <row r="1387" spans="1:7">
      <c r="A1387" s="496">
        <f t="shared" si="65"/>
        <v>1386</v>
      </c>
      <c r="B1387" s="496" t="s">
        <v>1473</v>
      </c>
      <c r="C1387" s="495" t="s">
        <v>77</v>
      </c>
      <c r="D1387" s="497" t="s">
        <v>78</v>
      </c>
      <c r="E1387" s="496" t="str">
        <f t="shared" si="63"/>
        <v>07</v>
      </c>
      <c r="F1387" s="496">
        <v>25717</v>
      </c>
      <c r="G1387" s="496" t="str">
        <f t="shared" si="64"/>
        <v>20600607716</v>
      </c>
    </row>
    <row r="1388" spans="1:7">
      <c r="A1388" s="496">
        <f t="shared" si="65"/>
        <v>1387</v>
      </c>
      <c r="B1388" s="496" t="s">
        <v>1474</v>
      </c>
      <c r="C1388" s="495" t="s">
        <v>77</v>
      </c>
      <c r="D1388" s="497" t="s">
        <v>78</v>
      </c>
      <c r="E1388" s="496" t="str">
        <f t="shared" si="63"/>
        <v>07</v>
      </c>
      <c r="F1388" s="496">
        <v>25717</v>
      </c>
      <c r="G1388" s="496" t="str">
        <f t="shared" si="64"/>
        <v>20600676793</v>
      </c>
    </row>
    <row r="1389" spans="1:7">
      <c r="A1389" s="496">
        <f t="shared" si="65"/>
        <v>1388</v>
      </c>
      <c r="B1389" s="496" t="s">
        <v>1475</v>
      </c>
      <c r="C1389" s="495" t="s">
        <v>82</v>
      </c>
      <c r="D1389" s="497" t="s">
        <v>83</v>
      </c>
      <c r="E1389" s="496" t="str">
        <f t="shared" si="63"/>
        <v>08</v>
      </c>
      <c r="F1389" s="496">
        <v>25718</v>
      </c>
      <c r="G1389" s="496" t="str">
        <f t="shared" si="64"/>
        <v>20601116619</v>
      </c>
    </row>
    <row r="1390" spans="1:7">
      <c r="A1390" s="496">
        <f t="shared" si="65"/>
        <v>1389</v>
      </c>
      <c r="B1390" s="496" t="s">
        <v>1476</v>
      </c>
      <c r="C1390" s="495" t="s">
        <v>85</v>
      </c>
      <c r="D1390" s="497" t="s">
        <v>86</v>
      </c>
      <c r="E1390" s="496" t="str">
        <f t="shared" si="63"/>
        <v>09</v>
      </c>
      <c r="F1390" s="496">
        <v>25719</v>
      </c>
      <c r="G1390" s="496" t="str">
        <f t="shared" si="64"/>
        <v>20100096341</v>
      </c>
    </row>
    <row r="1391" spans="1:7">
      <c r="A1391" s="496">
        <f t="shared" si="65"/>
        <v>1390</v>
      </c>
      <c r="B1391" s="496" t="s">
        <v>1477</v>
      </c>
      <c r="C1391" s="495" t="s">
        <v>88</v>
      </c>
      <c r="D1391" s="497" t="s">
        <v>89</v>
      </c>
      <c r="E1391" s="496" t="str">
        <f t="shared" si="63"/>
        <v>11</v>
      </c>
      <c r="F1391" s="496">
        <v>25720</v>
      </c>
      <c r="G1391" s="496" t="str">
        <f t="shared" si="64"/>
        <v>20100177341</v>
      </c>
    </row>
    <row r="1392" spans="1:7">
      <c r="A1392" s="496">
        <f t="shared" si="65"/>
        <v>1391</v>
      </c>
      <c r="B1392" s="496" t="s">
        <v>1478</v>
      </c>
      <c r="C1392" s="495" t="s">
        <v>82</v>
      </c>
      <c r="D1392" s="497" t="s">
        <v>83</v>
      </c>
      <c r="E1392" s="496" t="str">
        <f t="shared" si="63"/>
        <v>08</v>
      </c>
      <c r="F1392" s="496">
        <v>25718</v>
      </c>
      <c r="G1392" s="496" t="str">
        <f t="shared" si="64"/>
        <v>20107916343</v>
      </c>
    </row>
    <row r="1393" spans="1:7">
      <c r="A1393" s="496">
        <f t="shared" si="65"/>
        <v>1392</v>
      </c>
      <c r="B1393" s="496" t="s">
        <v>1479</v>
      </c>
      <c r="C1393" s="495" t="s">
        <v>85</v>
      </c>
      <c r="D1393" s="497" t="s">
        <v>86</v>
      </c>
      <c r="E1393" s="496" t="str">
        <f t="shared" si="63"/>
        <v>09</v>
      </c>
      <c r="F1393" s="496">
        <v>25719</v>
      </c>
      <c r="G1393" s="496" t="str">
        <f t="shared" si="64"/>
        <v>20108730294</v>
      </c>
    </row>
    <row r="1394" spans="1:7">
      <c r="A1394" s="496">
        <f t="shared" si="65"/>
        <v>1393</v>
      </c>
      <c r="B1394" s="496" t="s">
        <v>1480</v>
      </c>
      <c r="C1394" s="495" t="s">
        <v>88</v>
      </c>
      <c r="D1394" s="497" t="s">
        <v>89</v>
      </c>
      <c r="E1394" s="496" t="str">
        <f t="shared" si="63"/>
        <v>11</v>
      </c>
      <c r="F1394" s="496">
        <v>25720</v>
      </c>
      <c r="G1394" s="496" t="str">
        <f t="shared" si="64"/>
        <v>20163898200</v>
      </c>
    </row>
    <row r="1395" spans="1:7">
      <c r="A1395" s="496">
        <f t="shared" si="65"/>
        <v>1394</v>
      </c>
      <c r="B1395" s="496" t="s">
        <v>1481</v>
      </c>
      <c r="C1395" s="495" t="s">
        <v>91</v>
      </c>
      <c r="D1395" s="497" t="s">
        <v>92</v>
      </c>
      <c r="E1395" s="496" t="str">
        <f t="shared" si="63"/>
        <v>12</v>
      </c>
      <c r="F1395" s="496">
        <v>25724</v>
      </c>
      <c r="G1395" s="496" t="str">
        <f t="shared" si="64"/>
        <v>20205467603</v>
      </c>
    </row>
    <row r="1396" spans="1:7">
      <c r="A1396" s="496">
        <f t="shared" si="65"/>
        <v>1395</v>
      </c>
      <c r="B1396" s="496" t="s">
        <v>1482</v>
      </c>
      <c r="C1396" s="495" t="s">
        <v>91</v>
      </c>
      <c r="D1396" s="497" t="s">
        <v>92</v>
      </c>
      <c r="E1396" s="496" t="str">
        <f t="shared" si="63"/>
        <v>12</v>
      </c>
      <c r="F1396" s="496">
        <v>25724</v>
      </c>
      <c r="G1396" s="496" t="str">
        <f t="shared" si="64"/>
        <v>20260995449</v>
      </c>
    </row>
    <row r="1397" spans="1:7">
      <c r="A1397" s="496">
        <f t="shared" si="65"/>
        <v>1396</v>
      </c>
      <c r="B1397" s="496" t="s">
        <v>1483</v>
      </c>
      <c r="C1397" s="495" t="s">
        <v>77</v>
      </c>
      <c r="D1397" s="497" t="s">
        <v>78</v>
      </c>
      <c r="E1397" s="496" t="str">
        <f t="shared" si="63"/>
        <v>07</v>
      </c>
      <c r="F1397" s="496">
        <v>25717</v>
      </c>
      <c r="G1397" s="496" t="str">
        <f t="shared" si="64"/>
        <v>20342015108</v>
      </c>
    </row>
    <row r="1398" spans="1:7">
      <c r="A1398" s="496">
        <f t="shared" si="65"/>
        <v>1397</v>
      </c>
      <c r="B1398" s="496" t="s">
        <v>1484</v>
      </c>
      <c r="C1398" s="495" t="s">
        <v>77</v>
      </c>
      <c r="D1398" s="497" t="s">
        <v>78</v>
      </c>
      <c r="E1398" s="496" t="str">
        <f t="shared" si="63"/>
        <v>07</v>
      </c>
      <c r="F1398" s="496">
        <v>25717</v>
      </c>
      <c r="G1398" s="496" t="str">
        <f t="shared" si="64"/>
        <v>20348735692</v>
      </c>
    </row>
    <row r="1399" spans="1:7">
      <c r="A1399" s="496">
        <f t="shared" si="65"/>
        <v>1398</v>
      </c>
      <c r="B1399" s="496" t="s">
        <v>1485</v>
      </c>
      <c r="C1399" s="495" t="s">
        <v>82</v>
      </c>
      <c r="D1399" s="497" t="s">
        <v>83</v>
      </c>
      <c r="E1399" s="496" t="str">
        <f t="shared" si="63"/>
        <v>08</v>
      </c>
      <c r="F1399" s="496">
        <v>25718</v>
      </c>
      <c r="G1399" s="496" t="str">
        <f t="shared" si="64"/>
        <v>20505520638</v>
      </c>
    </row>
    <row r="1400" spans="1:7">
      <c r="A1400" s="496">
        <f t="shared" si="65"/>
        <v>1399</v>
      </c>
      <c r="B1400" s="496" t="s">
        <v>1486</v>
      </c>
      <c r="C1400" s="495" t="s">
        <v>85</v>
      </c>
      <c r="D1400" s="497" t="s">
        <v>86</v>
      </c>
      <c r="E1400" s="496" t="str">
        <f t="shared" si="63"/>
        <v>09</v>
      </c>
      <c r="F1400" s="496">
        <v>25719</v>
      </c>
      <c r="G1400" s="496" t="str">
        <f t="shared" si="64"/>
        <v>20505669518</v>
      </c>
    </row>
    <row r="1401" spans="1:7">
      <c r="A1401" s="496">
        <f t="shared" si="65"/>
        <v>1400</v>
      </c>
      <c r="B1401" s="496" t="s">
        <v>1487</v>
      </c>
      <c r="C1401" s="495" t="s">
        <v>82</v>
      </c>
      <c r="D1401" s="497" t="s">
        <v>83</v>
      </c>
      <c r="E1401" s="496" t="str">
        <f t="shared" si="63"/>
        <v>08</v>
      </c>
      <c r="F1401" s="496">
        <v>25718</v>
      </c>
      <c r="G1401" s="496" t="str">
        <f t="shared" si="64"/>
        <v>20505792042</v>
      </c>
    </row>
    <row r="1402" spans="1:7">
      <c r="A1402" s="496">
        <f t="shared" si="65"/>
        <v>1401</v>
      </c>
      <c r="B1402" s="496" t="s">
        <v>1488</v>
      </c>
      <c r="C1402" s="495" t="s">
        <v>88</v>
      </c>
      <c r="D1402" s="497" t="s">
        <v>89</v>
      </c>
      <c r="E1402" s="496" t="str">
        <f t="shared" si="63"/>
        <v>11</v>
      </c>
      <c r="F1402" s="496">
        <v>25720</v>
      </c>
      <c r="G1402" s="496" t="str">
        <f t="shared" si="64"/>
        <v>20508100206</v>
      </c>
    </row>
    <row r="1403" spans="1:7">
      <c r="A1403" s="496">
        <f t="shared" si="65"/>
        <v>1402</v>
      </c>
      <c r="B1403" s="496" t="s">
        <v>1489</v>
      </c>
      <c r="C1403" s="495" t="s">
        <v>91</v>
      </c>
      <c r="D1403" s="497" t="s">
        <v>92</v>
      </c>
      <c r="E1403" s="496" t="str">
        <f t="shared" si="63"/>
        <v>12</v>
      </c>
      <c r="F1403" s="496">
        <v>25724</v>
      </c>
      <c r="G1403" s="496" t="str">
        <f t="shared" si="64"/>
        <v>20511687803</v>
      </c>
    </row>
    <row r="1404" spans="1:7">
      <c r="A1404" s="496">
        <f t="shared" si="65"/>
        <v>1403</v>
      </c>
      <c r="B1404" s="496" t="s">
        <v>1490</v>
      </c>
      <c r="C1404" s="495" t="s">
        <v>77</v>
      </c>
      <c r="D1404" s="497" t="s">
        <v>78</v>
      </c>
      <c r="E1404" s="496" t="str">
        <f t="shared" si="63"/>
        <v>07</v>
      </c>
      <c r="F1404" s="496">
        <v>25717</v>
      </c>
      <c r="G1404" s="496" t="str">
        <f t="shared" si="64"/>
        <v>20536814176</v>
      </c>
    </row>
    <row r="1405" spans="1:7">
      <c r="A1405" s="496">
        <f t="shared" si="65"/>
        <v>1404</v>
      </c>
      <c r="B1405" s="496" t="s">
        <v>1491</v>
      </c>
      <c r="C1405" s="495" t="s">
        <v>85</v>
      </c>
      <c r="D1405" s="497" t="s">
        <v>86</v>
      </c>
      <c r="E1405" s="496" t="str">
        <f t="shared" si="63"/>
        <v>09</v>
      </c>
      <c r="F1405" s="496">
        <v>25719</v>
      </c>
      <c r="G1405" s="496" t="str">
        <f t="shared" si="64"/>
        <v>20538593053</v>
      </c>
    </row>
    <row r="1406" spans="1:7">
      <c r="A1406" s="496">
        <f t="shared" si="65"/>
        <v>1405</v>
      </c>
      <c r="B1406" s="496" t="s">
        <v>1492</v>
      </c>
      <c r="C1406" s="495" t="s">
        <v>82</v>
      </c>
      <c r="D1406" s="497" t="s">
        <v>83</v>
      </c>
      <c r="E1406" s="496" t="str">
        <f t="shared" si="63"/>
        <v>08</v>
      </c>
      <c r="F1406" s="496">
        <v>25718</v>
      </c>
      <c r="G1406" s="496" t="str">
        <f t="shared" si="64"/>
        <v>20543662217</v>
      </c>
    </row>
    <row r="1407" spans="1:7">
      <c r="A1407" s="496">
        <f t="shared" si="65"/>
        <v>1406</v>
      </c>
      <c r="B1407" s="496" t="s">
        <v>1493</v>
      </c>
      <c r="C1407" s="495" t="s">
        <v>88</v>
      </c>
      <c r="D1407" s="497" t="s">
        <v>89</v>
      </c>
      <c r="E1407" s="496" t="str">
        <f t="shared" si="63"/>
        <v>11</v>
      </c>
      <c r="F1407" s="496">
        <v>25720</v>
      </c>
      <c r="G1407" s="496" t="str">
        <f t="shared" si="64"/>
        <v>20550372640</v>
      </c>
    </row>
    <row r="1408" spans="1:7">
      <c r="A1408" s="496">
        <f t="shared" si="65"/>
        <v>1407</v>
      </c>
      <c r="B1408" s="496" t="s">
        <v>1494</v>
      </c>
      <c r="C1408" s="495" t="s">
        <v>85</v>
      </c>
      <c r="D1408" s="497" t="s">
        <v>86</v>
      </c>
      <c r="E1408" s="496" t="str">
        <f t="shared" si="63"/>
        <v>09</v>
      </c>
      <c r="F1408" s="496">
        <v>25719</v>
      </c>
      <c r="G1408" s="496" t="str">
        <f t="shared" si="64"/>
        <v>20100036101</v>
      </c>
    </row>
    <row r="1409" spans="1:7">
      <c r="A1409" s="496">
        <f t="shared" si="65"/>
        <v>1408</v>
      </c>
      <c r="B1409" s="496" t="s">
        <v>1495</v>
      </c>
      <c r="C1409" s="495" t="s">
        <v>88</v>
      </c>
      <c r="D1409" s="497" t="s">
        <v>89</v>
      </c>
      <c r="E1409" s="496" t="str">
        <f t="shared" si="63"/>
        <v>11</v>
      </c>
      <c r="F1409" s="496">
        <v>25720</v>
      </c>
      <c r="G1409" s="496" t="str">
        <f t="shared" si="64"/>
        <v>20100121809</v>
      </c>
    </row>
    <row r="1410" spans="1:7">
      <c r="A1410" s="496">
        <f t="shared" si="65"/>
        <v>1409</v>
      </c>
      <c r="B1410" s="496" t="s">
        <v>1496</v>
      </c>
      <c r="C1410" s="495" t="s">
        <v>91</v>
      </c>
      <c r="D1410" s="497" t="s">
        <v>92</v>
      </c>
      <c r="E1410" s="496" t="str">
        <f t="shared" si="63"/>
        <v>12</v>
      </c>
      <c r="F1410" s="496">
        <v>25724</v>
      </c>
      <c r="G1410" s="496" t="str">
        <f t="shared" si="64"/>
        <v>20100144922</v>
      </c>
    </row>
    <row r="1411" spans="1:7">
      <c r="A1411" s="496">
        <f t="shared" si="65"/>
        <v>1410</v>
      </c>
      <c r="B1411" s="496" t="s">
        <v>1497</v>
      </c>
      <c r="C1411" s="495" t="s">
        <v>77</v>
      </c>
      <c r="D1411" s="497" t="s">
        <v>78</v>
      </c>
      <c r="E1411" s="496" t="str">
        <f t="shared" ref="E1411:E1474" si="66">IF(MID(D1411,14,1)="@",MID(D1411,12,2),"0"&amp;MID(D1411,12,1))</f>
        <v>07</v>
      </c>
      <c r="F1411" s="496">
        <v>25717</v>
      </c>
      <c r="G1411" s="496" t="str">
        <f t="shared" ref="G1411:G1474" si="67">CONCATENATE(B1411)</f>
        <v>20100366747</v>
      </c>
    </row>
    <row r="1412" spans="1:7">
      <c r="A1412" s="496">
        <f t="shared" ref="A1412:A1475" si="68">+A1411+1</f>
        <v>1411</v>
      </c>
      <c r="B1412" s="496" t="s">
        <v>1498</v>
      </c>
      <c r="C1412" s="495" t="s">
        <v>82</v>
      </c>
      <c r="D1412" s="497" t="s">
        <v>83</v>
      </c>
      <c r="E1412" s="496" t="str">
        <f t="shared" si="66"/>
        <v>08</v>
      </c>
      <c r="F1412" s="496">
        <v>25718</v>
      </c>
      <c r="G1412" s="496" t="str">
        <f t="shared" si="67"/>
        <v>20307460743</v>
      </c>
    </row>
    <row r="1413" spans="1:7">
      <c r="A1413" s="496">
        <f t="shared" si="68"/>
        <v>1412</v>
      </c>
      <c r="B1413" s="496" t="s">
        <v>1499</v>
      </c>
      <c r="C1413" s="495" t="s">
        <v>85</v>
      </c>
      <c r="D1413" s="497" t="s">
        <v>86</v>
      </c>
      <c r="E1413" s="496" t="str">
        <f t="shared" si="66"/>
        <v>09</v>
      </c>
      <c r="F1413" s="496">
        <v>25719</v>
      </c>
      <c r="G1413" s="496" t="str">
        <f t="shared" si="67"/>
        <v>20349065488</v>
      </c>
    </row>
    <row r="1414" spans="1:7">
      <c r="A1414" s="496">
        <f t="shared" si="68"/>
        <v>1413</v>
      </c>
      <c r="B1414" s="496" t="s">
        <v>1500</v>
      </c>
      <c r="C1414" s="495" t="s">
        <v>88</v>
      </c>
      <c r="D1414" s="497" t="s">
        <v>89</v>
      </c>
      <c r="E1414" s="496" t="str">
        <f t="shared" si="66"/>
        <v>11</v>
      </c>
      <c r="F1414" s="496">
        <v>25720</v>
      </c>
      <c r="G1414" s="496" t="str">
        <f t="shared" si="67"/>
        <v>20352427081</v>
      </c>
    </row>
    <row r="1415" spans="1:7">
      <c r="A1415" s="496">
        <f t="shared" si="68"/>
        <v>1414</v>
      </c>
      <c r="B1415" s="496" t="s">
        <v>1501</v>
      </c>
      <c r="C1415" s="495" t="s">
        <v>91</v>
      </c>
      <c r="D1415" s="497" t="s">
        <v>92</v>
      </c>
      <c r="E1415" s="496" t="str">
        <f t="shared" si="66"/>
        <v>12</v>
      </c>
      <c r="F1415" s="496">
        <v>25724</v>
      </c>
      <c r="G1415" s="496" t="str">
        <f t="shared" si="67"/>
        <v>20369769007</v>
      </c>
    </row>
    <row r="1416" spans="1:7">
      <c r="A1416" s="496">
        <f t="shared" si="68"/>
        <v>1415</v>
      </c>
      <c r="B1416" s="496" t="s">
        <v>1502</v>
      </c>
      <c r="C1416" s="495" t="s">
        <v>77</v>
      </c>
      <c r="D1416" s="497" t="s">
        <v>78</v>
      </c>
      <c r="E1416" s="496" t="str">
        <f t="shared" si="66"/>
        <v>07</v>
      </c>
      <c r="F1416" s="496">
        <v>25717</v>
      </c>
      <c r="G1416" s="496" t="str">
        <f t="shared" si="67"/>
        <v>20387937308</v>
      </c>
    </row>
    <row r="1417" spans="1:7">
      <c r="A1417" s="496">
        <f t="shared" si="68"/>
        <v>1416</v>
      </c>
      <c r="B1417" s="496" t="s">
        <v>1503</v>
      </c>
      <c r="C1417" s="495" t="s">
        <v>82</v>
      </c>
      <c r="D1417" s="497" t="s">
        <v>83</v>
      </c>
      <c r="E1417" s="496" t="str">
        <f t="shared" si="66"/>
        <v>08</v>
      </c>
      <c r="F1417" s="496">
        <v>25718</v>
      </c>
      <c r="G1417" s="496" t="str">
        <f t="shared" si="67"/>
        <v>20414766308</v>
      </c>
    </row>
    <row r="1418" spans="1:7">
      <c r="A1418" s="496">
        <f t="shared" si="68"/>
        <v>1417</v>
      </c>
      <c r="B1418" s="496" t="s">
        <v>1504</v>
      </c>
      <c r="C1418" s="495" t="s">
        <v>85</v>
      </c>
      <c r="D1418" s="497" t="s">
        <v>86</v>
      </c>
      <c r="E1418" s="496" t="str">
        <f t="shared" si="66"/>
        <v>09</v>
      </c>
      <c r="F1418" s="496">
        <v>25719</v>
      </c>
      <c r="G1418" s="496" t="str">
        <f t="shared" si="67"/>
        <v>20505670443</v>
      </c>
    </row>
    <row r="1419" spans="1:7">
      <c r="A1419" s="496">
        <f t="shared" si="68"/>
        <v>1418</v>
      </c>
      <c r="B1419" s="496" t="s">
        <v>1505</v>
      </c>
      <c r="C1419" s="495" t="s">
        <v>88</v>
      </c>
      <c r="D1419" s="497" t="s">
        <v>89</v>
      </c>
      <c r="E1419" s="496" t="str">
        <f t="shared" si="66"/>
        <v>11</v>
      </c>
      <c r="F1419" s="496">
        <v>25720</v>
      </c>
      <c r="G1419" s="496" t="str">
        <f t="shared" si="67"/>
        <v>20507480811</v>
      </c>
    </row>
    <row r="1420" spans="1:7">
      <c r="A1420" s="496">
        <f t="shared" si="68"/>
        <v>1419</v>
      </c>
      <c r="B1420" s="496" t="s">
        <v>1506</v>
      </c>
      <c r="C1420" s="495" t="s">
        <v>91</v>
      </c>
      <c r="D1420" s="497" t="s">
        <v>92</v>
      </c>
      <c r="E1420" s="496" t="str">
        <f t="shared" si="66"/>
        <v>12</v>
      </c>
      <c r="F1420" s="496">
        <v>25724</v>
      </c>
      <c r="G1420" s="496" t="str">
        <f t="shared" si="67"/>
        <v>20510098278</v>
      </c>
    </row>
    <row r="1421" spans="1:7">
      <c r="A1421" s="496">
        <f t="shared" si="68"/>
        <v>1420</v>
      </c>
      <c r="B1421" s="496" t="s">
        <v>1507</v>
      </c>
      <c r="C1421" s="495" t="s">
        <v>77</v>
      </c>
      <c r="D1421" s="497" t="s">
        <v>78</v>
      </c>
      <c r="E1421" s="496" t="str">
        <f t="shared" si="66"/>
        <v>07</v>
      </c>
      <c r="F1421" s="496">
        <v>25717</v>
      </c>
      <c r="G1421" s="496" t="str">
        <f t="shared" si="67"/>
        <v>20511315922</v>
      </c>
    </row>
    <row r="1422" spans="1:7">
      <c r="A1422" s="496">
        <f t="shared" si="68"/>
        <v>1421</v>
      </c>
      <c r="B1422" s="496" t="s">
        <v>1508</v>
      </c>
      <c r="C1422" s="495" t="s">
        <v>82</v>
      </c>
      <c r="D1422" s="497" t="s">
        <v>83</v>
      </c>
      <c r="E1422" s="496" t="str">
        <f t="shared" si="66"/>
        <v>08</v>
      </c>
      <c r="F1422" s="496">
        <v>25718</v>
      </c>
      <c r="G1422" s="496" t="str">
        <f t="shared" si="67"/>
        <v>20512148116</v>
      </c>
    </row>
    <row r="1423" spans="1:7">
      <c r="A1423" s="496">
        <f t="shared" si="68"/>
        <v>1422</v>
      </c>
      <c r="B1423" s="496" t="s">
        <v>1509</v>
      </c>
      <c r="C1423" s="495" t="s">
        <v>85</v>
      </c>
      <c r="D1423" s="497" t="s">
        <v>86</v>
      </c>
      <c r="E1423" s="496" t="str">
        <f t="shared" si="66"/>
        <v>09</v>
      </c>
      <c r="F1423" s="496">
        <v>25719</v>
      </c>
      <c r="G1423" s="496" t="str">
        <f t="shared" si="67"/>
        <v>20512707972</v>
      </c>
    </row>
    <row r="1424" spans="1:7">
      <c r="A1424" s="496">
        <f t="shared" si="68"/>
        <v>1423</v>
      </c>
      <c r="B1424" s="496" t="s">
        <v>1510</v>
      </c>
      <c r="C1424" s="495" t="s">
        <v>88</v>
      </c>
      <c r="D1424" s="497" t="s">
        <v>89</v>
      </c>
      <c r="E1424" s="496" t="str">
        <f t="shared" si="66"/>
        <v>11</v>
      </c>
      <c r="F1424" s="496">
        <v>25720</v>
      </c>
      <c r="G1424" s="496" t="str">
        <f t="shared" si="67"/>
        <v>20512759778</v>
      </c>
    </row>
    <row r="1425" spans="1:7">
      <c r="A1425" s="496">
        <f t="shared" si="68"/>
        <v>1424</v>
      </c>
      <c r="B1425" s="496" t="s">
        <v>1511</v>
      </c>
      <c r="C1425" s="495" t="s">
        <v>91</v>
      </c>
      <c r="D1425" s="497" t="s">
        <v>92</v>
      </c>
      <c r="E1425" s="496" t="str">
        <f t="shared" si="66"/>
        <v>12</v>
      </c>
      <c r="F1425" s="496">
        <v>25724</v>
      </c>
      <c r="G1425" s="496" t="str">
        <f t="shared" si="67"/>
        <v>20512773924</v>
      </c>
    </row>
    <row r="1426" spans="1:7">
      <c r="A1426" s="496">
        <f t="shared" si="68"/>
        <v>1425</v>
      </c>
      <c r="B1426" s="496" t="s">
        <v>1512</v>
      </c>
      <c r="C1426" s="495" t="s">
        <v>77</v>
      </c>
      <c r="D1426" s="497" t="s">
        <v>78</v>
      </c>
      <c r="E1426" s="496" t="str">
        <f t="shared" si="66"/>
        <v>07</v>
      </c>
      <c r="F1426" s="496">
        <v>25717</v>
      </c>
      <c r="G1426" s="496" t="str">
        <f t="shared" si="67"/>
        <v>20512830316</v>
      </c>
    </row>
    <row r="1427" spans="1:7">
      <c r="A1427" s="496">
        <f t="shared" si="68"/>
        <v>1426</v>
      </c>
      <c r="B1427" s="496" t="s">
        <v>1513</v>
      </c>
      <c r="C1427" s="495" t="s">
        <v>82</v>
      </c>
      <c r="D1427" s="497" t="s">
        <v>83</v>
      </c>
      <c r="E1427" s="496" t="str">
        <f t="shared" si="66"/>
        <v>08</v>
      </c>
      <c r="F1427" s="496">
        <v>25718</v>
      </c>
      <c r="G1427" s="496" t="str">
        <f t="shared" si="67"/>
        <v>20513230843</v>
      </c>
    </row>
    <row r="1428" spans="1:7">
      <c r="A1428" s="496">
        <f t="shared" si="68"/>
        <v>1427</v>
      </c>
      <c r="B1428" s="496" t="s">
        <v>1514</v>
      </c>
      <c r="C1428" s="495" t="s">
        <v>85</v>
      </c>
      <c r="D1428" s="497" t="s">
        <v>86</v>
      </c>
      <c r="E1428" s="496" t="str">
        <f t="shared" si="66"/>
        <v>09</v>
      </c>
      <c r="F1428" s="496">
        <v>25719</v>
      </c>
      <c r="G1428" s="496" t="str">
        <f t="shared" si="67"/>
        <v>20514020907</v>
      </c>
    </row>
    <row r="1429" spans="1:7">
      <c r="A1429" s="496">
        <f t="shared" si="68"/>
        <v>1428</v>
      </c>
      <c r="B1429" s="496" t="s">
        <v>1515</v>
      </c>
      <c r="C1429" s="495" t="s">
        <v>88</v>
      </c>
      <c r="D1429" s="497" t="s">
        <v>89</v>
      </c>
      <c r="E1429" s="496" t="str">
        <f t="shared" si="66"/>
        <v>11</v>
      </c>
      <c r="F1429" s="496">
        <v>25720</v>
      </c>
      <c r="G1429" s="496" t="str">
        <f t="shared" si="67"/>
        <v>20514211087</v>
      </c>
    </row>
    <row r="1430" spans="1:7">
      <c r="A1430" s="496">
        <f t="shared" si="68"/>
        <v>1429</v>
      </c>
      <c r="B1430" s="496" t="s">
        <v>1516</v>
      </c>
      <c r="C1430" s="495" t="s">
        <v>91</v>
      </c>
      <c r="D1430" s="497" t="s">
        <v>92</v>
      </c>
      <c r="E1430" s="496" t="str">
        <f t="shared" si="66"/>
        <v>12</v>
      </c>
      <c r="F1430" s="496">
        <v>25724</v>
      </c>
      <c r="G1430" s="496" t="str">
        <f t="shared" si="67"/>
        <v>20514710911</v>
      </c>
    </row>
    <row r="1431" spans="1:7">
      <c r="A1431" s="496">
        <f t="shared" si="68"/>
        <v>1430</v>
      </c>
      <c r="B1431" s="496" t="s">
        <v>1517</v>
      </c>
      <c r="C1431" s="495" t="s">
        <v>91</v>
      </c>
      <c r="D1431" s="497" t="s">
        <v>92</v>
      </c>
      <c r="E1431" s="496" t="str">
        <f t="shared" si="66"/>
        <v>12</v>
      </c>
      <c r="F1431" s="496">
        <v>25724</v>
      </c>
      <c r="G1431" s="496" t="str">
        <f t="shared" si="67"/>
        <v>20514737364</v>
      </c>
    </row>
    <row r="1432" spans="1:7">
      <c r="A1432" s="496">
        <f t="shared" si="68"/>
        <v>1431</v>
      </c>
      <c r="B1432" s="496" t="s">
        <v>1518</v>
      </c>
      <c r="C1432" s="495" t="s">
        <v>77</v>
      </c>
      <c r="D1432" s="497" t="s">
        <v>78</v>
      </c>
      <c r="E1432" s="496" t="str">
        <f t="shared" si="66"/>
        <v>07</v>
      </c>
      <c r="F1432" s="496">
        <v>25717</v>
      </c>
      <c r="G1432" s="496" t="str">
        <f t="shared" si="67"/>
        <v>20515164945</v>
      </c>
    </row>
    <row r="1433" spans="1:7">
      <c r="A1433" s="496">
        <f t="shared" si="68"/>
        <v>1432</v>
      </c>
      <c r="B1433" s="496" t="s">
        <v>1519</v>
      </c>
      <c r="C1433" s="495" t="s">
        <v>77</v>
      </c>
      <c r="D1433" s="497" t="s">
        <v>78</v>
      </c>
      <c r="E1433" s="496" t="str">
        <f t="shared" si="66"/>
        <v>07</v>
      </c>
      <c r="F1433" s="496">
        <v>25717</v>
      </c>
      <c r="G1433" s="496" t="str">
        <f t="shared" si="67"/>
        <v>20516556561</v>
      </c>
    </row>
    <row r="1434" spans="1:7">
      <c r="A1434" s="496">
        <f t="shared" si="68"/>
        <v>1433</v>
      </c>
      <c r="B1434" s="496" t="s">
        <v>1520</v>
      </c>
      <c r="C1434" s="495" t="s">
        <v>82</v>
      </c>
      <c r="D1434" s="497" t="s">
        <v>83</v>
      </c>
      <c r="E1434" s="496" t="str">
        <f t="shared" si="66"/>
        <v>08</v>
      </c>
      <c r="F1434" s="496">
        <v>25718</v>
      </c>
      <c r="G1434" s="496" t="str">
        <f t="shared" si="67"/>
        <v>20516702649</v>
      </c>
    </row>
    <row r="1435" spans="1:7">
      <c r="A1435" s="496">
        <f t="shared" si="68"/>
        <v>1434</v>
      </c>
      <c r="B1435" s="496" t="s">
        <v>1521</v>
      </c>
      <c r="C1435" s="495" t="s">
        <v>82</v>
      </c>
      <c r="D1435" s="497" t="s">
        <v>83</v>
      </c>
      <c r="E1435" s="496" t="str">
        <f t="shared" si="66"/>
        <v>08</v>
      </c>
      <c r="F1435" s="496">
        <v>25718</v>
      </c>
      <c r="G1435" s="496" t="str">
        <f t="shared" si="67"/>
        <v>20517057003</v>
      </c>
    </row>
    <row r="1436" spans="1:7">
      <c r="A1436" s="496">
        <f t="shared" si="68"/>
        <v>1435</v>
      </c>
      <c r="B1436" s="496" t="s">
        <v>1522</v>
      </c>
      <c r="C1436" s="495" t="s">
        <v>85</v>
      </c>
      <c r="D1436" s="497" t="s">
        <v>86</v>
      </c>
      <c r="E1436" s="496" t="str">
        <f t="shared" si="66"/>
        <v>09</v>
      </c>
      <c r="F1436" s="496">
        <v>25719</v>
      </c>
      <c r="G1436" s="496" t="str">
        <f t="shared" si="67"/>
        <v>20518370881</v>
      </c>
    </row>
    <row r="1437" spans="1:7">
      <c r="A1437" s="496">
        <f t="shared" si="68"/>
        <v>1436</v>
      </c>
      <c r="B1437" s="496" t="s">
        <v>1523</v>
      </c>
      <c r="C1437" s="495" t="s">
        <v>88</v>
      </c>
      <c r="D1437" s="497" t="s">
        <v>89</v>
      </c>
      <c r="E1437" s="496" t="str">
        <f t="shared" si="66"/>
        <v>11</v>
      </c>
      <c r="F1437" s="496">
        <v>25720</v>
      </c>
      <c r="G1437" s="496" t="str">
        <f t="shared" si="67"/>
        <v>20518538064</v>
      </c>
    </row>
    <row r="1438" spans="1:7">
      <c r="A1438" s="496">
        <f t="shared" si="68"/>
        <v>1437</v>
      </c>
      <c r="B1438" s="496" t="s">
        <v>1524</v>
      </c>
      <c r="C1438" s="495" t="s">
        <v>91</v>
      </c>
      <c r="D1438" s="497" t="s">
        <v>92</v>
      </c>
      <c r="E1438" s="496" t="str">
        <f t="shared" si="66"/>
        <v>12</v>
      </c>
      <c r="F1438" s="496">
        <v>25724</v>
      </c>
      <c r="G1438" s="496" t="str">
        <f t="shared" si="67"/>
        <v>20518630891</v>
      </c>
    </row>
    <row r="1439" spans="1:7">
      <c r="A1439" s="496">
        <f t="shared" si="68"/>
        <v>1438</v>
      </c>
      <c r="B1439" s="496" t="s">
        <v>1525</v>
      </c>
      <c r="C1439" s="495" t="s">
        <v>77</v>
      </c>
      <c r="D1439" s="497" t="s">
        <v>78</v>
      </c>
      <c r="E1439" s="496" t="str">
        <f t="shared" si="66"/>
        <v>07</v>
      </c>
      <c r="F1439" s="496">
        <v>25717</v>
      </c>
      <c r="G1439" s="496" t="str">
        <f t="shared" si="67"/>
        <v>20519327148</v>
      </c>
    </row>
    <row r="1440" spans="1:7">
      <c r="A1440" s="496">
        <f t="shared" si="68"/>
        <v>1439</v>
      </c>
      <c r="B1440" s="496" t="s">
        <v>1526</v>
      </c>
      <c r="C1440" s="495" t="s">
        <v>82</v>
      </c>
      <c r="D1440" s="497" t="s">
        <v>83</v>
      </c>
      <c r="E1440" s="496" t="str">
        <f t="shared" si="66"/>
        <v>08</v>
      </c>
      <c r="F1440" s="496">
        <v>25718</v>
      </c>
      <c r="G1440" s="496" t="str">
        <f t="shared" si="67"/>
        <v>20522576621</v>
      </c>
    </row>
    <row r="1441" spans="1:7">
      <c r="A1441" s="496">
        <f t="shared" si="68"/>
        <v>1440</v>
      </c>
      <c r="B1441" s="496" t="s">
        <v>1527</v>
      </c>
      <c r="C1441" s="495" t="s">
        <v>85</v>
      </c>
      <c r="D1441" s="497" t="s">
        <v>86</v>
      </c>
      <c r="E1441" s="496" t="str">
        <f t="shared" si="66"/>
        <v>09</v>
      </c>
      <c r="F1441" s="496">
        <v>25719</v>
      </c>
      <c r="G1441" s="496" t="str">
        <f t="shared" si="67"/>
        <v>20527030421</v>
      </c>
    </row>
    <row r="1442" spans="1:7">
      <c r="A1442" s="496">
        <f t="shared" si="68"/>
        <v>1441</v>
      </c>
      <c r="B1442" s="496" t="s">
        <v>1528</v>
      </c>
      <c r="C1442" s="495" t="s">
        <v>88</v>
      </c>
      <c r="D1442" s="497" t="s">
        <v>89</v>
      </c>
      <c r="E1442" s="496" t="str">
        <f t="shared" si="66"/>
        <v>11</v>
      </c>
      <c r="F1442" s="496">
        <v>25720</v>
      </c>
      <c r="G1442" s="496" t="str">
        <f t="shared" si="67"/>
        <v>20536126440</v>
      </c>
    </row>
    <row r="1443" spans="1:7">
      <c r="A1443" s="496">
        <f t="shared" si="68"/>
        <v>1442</v>
      </c>
      <c r="B1443" s="496" t="s">
        <v>1529</v>
      </c>
      <c r="C1443" s="495" t="s">
        <v>91</v>
      </c>
      <c r="D1443" s="497" t="s">
        <v>92</v>
      </c>
      <c r="E1443" s="496" t="str">
        <f t="shared" si="66"/>
        <v>12</v>
      </c>
      <c r="F1443" s="496">
        <v>25724</v>
      </c>
      <c r="G1443" s="496" t="str">
        <f t="shared" si="67"/>
        <v>20537521792</v>
      </c>
    </row>
    <row r="1444" spans="1:7">
      <c r="A1444" s="496">
        <f t="shared" si="68"/>
        <v>1443</v>
      </c>
      <c r="B1444" s="496" t="s">
        <v>1530</v>
      </c>
      <c r="C1444" s="495" t="s">
        <v>77</v>
      </c>
      <c r="D1444" s="497" t="s">
        <v>78</v>
      </c>
      <c r="E1444" s="496" t="str">
        <f t="shared" si="66"/>
        <v>07</v>
      </c>
      <c r="F1444" s="496">
        <v>25717</v>
      </c>
      <c r="G1444" s="496" t="str">
        <f t="shared" si="67"/>
        <v>20537942381</v>
      </c>
    </row>
    <row r="1445" spans="1:7">
      <c r="A1445" s="496">
        <f t="shared" si="68"/>
        <v>1444</v>
      </c>
      <c r="B1445" s="496" t="s">
        <v>1531</v>
      </c>
      <c r="C1445" s="495" t="s">
        <v>82</v>
      </c>
      <c r="D1445" s="497" t="s">
        <v>83</v>
      </c>
      <c r="E1445" s="496" t="str">
        <f t="shared" si="66"/>
        <v>08</v>
      </c>
      <c r="F1445" s="496">
        <v>25718</v>
      </c>
      <c r="G1445" s="496" t="str">
        <f t="shared" si="67"/>
        <v>20544542282</v>
      </c>
    </row>
    <row r="1446" spans="1:7">
      <c r="A1446" s="496">
        <f t="shared" si="68"/>
        <v>1445</v>
      </c>
      <c r="B1446" s="496" t="s">
        <v>1532</v>
      </c>
      <c r="C1446" s="495" t="s">
        <v>85</v>
      </c>
      <c r="D1446" s="497" t="s">
        <v>86</v>
      </c>
      <c r="E1446" s="496" t="str">
        <f t="shared" si="66"/>
        <v>09</v>
      </c>
      <c r="F1446" s="496">
        <v>25719</v>
      </c>
      <c r="G1446" s="496" t="str">
        <f t="shared" si="67"/>
        <v>20545914116</v>
      </c>
    </row>
    <row r="1447" spans="1:7">
      <c r="A1447" s="496">
        <f t="shared" si="68"/>
        <v>1446</v>
      </c>
      <c r="B1447" s="496" t="s">
        <v>1533</v>
      </c>
      <c r="C1447" s="495" t="s">
        <v>88</v>
      </c>
      <c r="D1447" s="497" t="s">
        <v>89</v>
      </c>
      <c r="E1447" s="496" t="str">
        <f t="shared" si="66"/>
        <v>11</v>
      </c>
      <c r="F1447" s="496">
        <v>25720</v>
      </c>
      <c r="G1447" s="496" t="str">
        <f t="shared" si="67"/>
        <v>20545925151</v>
      </c>
    </row>
    <row r="1448" spans="1:7">
      <c r="A1448" s="496">
        <f t="shared" si="68"/>
        <v>1447</v>
      </c>
      <c r="B1448" s="496" t="s">
        <v>1534</v>
      </c>
      <c r="C1448" s="495" t="s">
        <v>85</v>
      </c>
      <c r="D1448" s="497" t="s">
        <v>86</v>
      </c>
      <c r="E1448" s="496" t="str">
        <f t="shared" si="66"/>
        <v>09</v>
      </c>
      <c r="F1448" s="496">
        <v>25719</v>
      </c>
      <c r="G1448" s="496" t="str">
        <f t="shared" si="67"/>
        <v>20546406688</v>
      </c>
    </row>
    <row r="1449" spans="1:7">
      <c r="A1449" s="496">
        <f t="shared" si="68"/>
        <v>1448</v>
      </c>
      <c r="B1449" s="496" t="s">
        <v>1535</v>
      </c>
      <c r="C1449" s="495" t="s">
        <v>88</v>
      </c>
      <c r="D1449" s="497" t="s">
        <v>89</v>
      </c>
      <c r="E1449" s="496" t="str">
        <f t="shared" si="66"/>
        <v>11</v>
      </c>
      <c r="F1449" s="496">
        <v>25720</v>
      </c>
      <c r="G1449" s="496" t="str">
        <f t="shared" si="67"/>
        <v>20548185051</v>
      </c>
    </row>
    <row r="1450" spans="1:7">
      <c r="A1450" s="496">
        <f t="shared" si="68"/>
        <v>1449</v>
      </c>
      <c r="B1450" s="496" t="s">
        <v>1536</v>
      </c>
      <c r="C1450" s="495" t="s">
        <v>91</v>
      </c>
      <c r="D1450" s="497" t="s">
        <v>92</v>
      </c>
      <c r="E1450" s="496" t="str">
        <f t="shared" si="66"/>
        <v>12</v>
      </c>
      <c r="F1450" s="496">
        <v>25724</v>
      </c>
      <c r="G1450" s="496" t="str">
        <f t="shared" si="67"/>
        <v>20548971897</v>
      </c>
    </row>
    <row r="1451" spans="1:7">
      <c r="A1451" s="496">
        <f t="shared" si="68"/>
        <v>1450</v>
      </c>
      <c r="B1451" s="496" t="s">
        <v>1537</v>
      </c>
      <c r="C1451" s="495" t="s">
        <v>77</v>
      </c>
      <c r="D1451" s="497" t="s">
        <v>78</v>
      </c>
      <c r="E1451" s="496" t="str">
        <f t="shared" si="66"/>
        <v>07</v>
      </c>
      <c r="F1451" s="496">
        <v>25717</v>
      </c>
      <c r="G1451" s="496" t="str">
        <f t="shared" si="67"/>
        <v>20549105255</v>
      </c>
    </row>
    <row r="1452" spans="1:7">
      <c r="A1452" s="496">
        <f t="shared" si="68"/>
        <v>1451</v>
      </c>
      <c r="B1452" s="496" t="s">
        <v>1538</v>
      </c>
      <c r="C1452" s="495" t="s">
        <v>82</v>
      </c>
      <c r="D1452" s="497" t="s">
        <v>83</v>
      </c>
      <c r="E1452" s="496" t="str">
        <f t="shared" si="66"/>
        <v>08</v>
      </c>
      <c r="F1452" s="496">
        <v>25718</v>
      </c>
      <c r="G1452" s="496" t="str">
        <f t="shared" si="67"/>
        <v>20549521470</v>
      </c>
    </row>
    <row r="1453" spans="1:7">
      <c r="A1453" s="496">
        <f t="shared" si="68"/>
        <v>1452</v>
      </c>
      <c r="B1453" s="496" t="s">
        <v>1539</v>
      </c>
      <c r="C1453" s="495" t="s">
        <v>91</v>
      </c>
      <c r="D1453" s="497" t="s">
        <v>92</v>
      </c>
      <c r="E1453" s="496" t="str">
        <f t="shared" si="66"/>
        <v>12</v>
      </c>
      <c r="F1453" s="496">
        <v>25724</v>
      </c>
      <c r="G1453" s="496" t="str">
        <f t="shared" si="67"/>
        <v>20555271566</v>
      </c>
    </row>
    <row r="1454" spans="1:7">
      <c r="A1454" s="496">
        <f t="shared" si="68"/>
        <v>1453</v>
      </c>
      <c r="B1454" s="496" t="s">
        <v>1540</v>
      </c>
      <c r="C1454" s="495" t="s">
        <v>77</v>
      </c>
      <c r="D1454" s="497" t="s">
        <v>78</v>
      </c>
      <c r="E1454" s="496" t="str">
        <f t="shared" si="66"/>
        <v>07</v>
      </c>
      <c r="F1454" s="496">
        <v>25717</v>
      </c>
      <c r="G1454" s="496" t="str">
        <f t="shared" si="67"/>
        <v>20556126764</v>
      </c>
    </row>
    <row r="1455" spans="1:7">
      <c r="A1455" s="496">
        <f t="shared" si="68"/>
        <v>1454</v>
      </c>
      <c r="B1455" s="496" t="s">
        <v>1541</v>
      </c>
      <c r="C1455" s="495" t="s">
        <v>85</v>
      </c>
      <c r="D1455" s="497" t="s">
        <v>86</v>
      </c>
      <c r="E1455" s="496" t="str">
        <f t="shared" si="66"/>
        <v>09</v>
      </c>
      <c r="F1455" s="496">
        <v>25719</v>
      </c>
      <c r="G1455" s="496" t="str">
        <f t="shared" si="67"/>
        <v>20557644416</v>
      </c>
    </row>
    <row r="1456" spans="1:7">
      <c r="A1456" s="496">
        <f t="shared" si="68"/>
        <v>1455</v>
      </c>
      <c r="B1456" s="496" t="s">
        <v>1542</v>
      </c>
      <c r="C1456" s="495" t="s">
        <v>88</v>
      </c>
      <c r="D1456" s="497" t="s">
        <v>89</v>
      </c>
      <c r="E1456" s="496" t="str">
        <f t="shared" si="66"/>
        <v>11</v>
      </c>
      <c r="F1456" s="496">
        <v>25720</v>
      </c>
      <c r="G1456" s="496" t="str">
        <f t="shared" si="67"/>
        <v>20557987020</v>
      </c>
    </row>
    <row r="1457" spans="1:7">
      <c r="A1457" s="496">
        <f t="shared" si="68"/>
        <v>1456</v>
      </c>
      <c r="B1457" s="496" t="s">
        <v>1543</v>
      </c>
      <c r="C1457" s="495" t="s">
        <v>82</v>
      </c>
      <c r="D1457" s="497" t="s">
        <v>83</v>
      </c>
      <c r="E1457" s="496" t="str">
        <f t="shared" si="66"/>
        <v>08</v>
      </c>
      <c r="F1457" s="496">
        <v>25718</v>
      </c>
      <c r="G1457" s="496" t="str">
        <f t="shared" si="67"/>
        <v>20563664666</v>
      </c>
    </row>
    <row r="1458" spans="1:7">
      <c r="A1458" s="496">
        <f t="shared" si="68"/>
        <v>1457</v>
      </c>
      <c r="B1458" s="496" t="s">
        <v>1544</v>
      </c>
      <c r="C1458" s="495" t="s">
        <v>85</v>
      </c>
      <c r="D1458" s="497" t="s">
        <v>86</v>
      </c>
      <c r="E1458" s="496" t="str">
        <f t="shared" si="66"/>
        <v>09</v>
      </c>
      <c r="F1458" s="496">
        <v>25719</v>
      </c>
      <c r="G1458" s="496" t="str">
        <f t="shared" si="67"/>
        <v>20565405552</v>
      </c>
    </row>
    <row r="1459" spans="1:7">
      <c r="A1459" s="496">
        <f t="shared" si="68"/>
        <v>1458</v>
      </c>
      <c r="B1459" s="496" t="s">
        <v>1545</v>
      </c>
      <c r="C1459" s="495" t="s">
        <v>91</v>
      </c>
      <c r="D1459" s="497" t="s">
        <v>92</v>
      </c>
      <c r="E1459" s="496" t="str">
        <f t="shared" si="66"/>
        <v>12</v>
      </c>
      <c r="F1459" s="496">
        <v>25724</v>
      </c>
      <c r="G1459" s="496" t="str">
        <f t="shared" si="67"/>
        <v>20565739175</v>
      </c>
    </row>
    <row r="1460" spans="1:7">
      <c r="A1460" s="496">
        <f t="shared" si="68"/>
        <v>1459</v>
      </c>
      <c r="B1460" s="496" t="s">
        <v>1546</v>
      </c>
      <c r="C1460" s="495" t="s">
        <v>88</v>
      </c>
      <c r="D1460" s="497" t="s">
        <v>89</v>
      </c>
      <c r="E1460" s="496" t="str">
        <f t="shared" si="66"/>
        <v>11</v>
      </c>
      <c r="F1460" s="496">
        <v>25720</v>
      </c>
      <c r="G1460" s="496" t="str">
        <f t="shared" si="67"/>
        <v>20600734271</v>
      </c>
    </row>
    <row r="1461" spans="1:7">
      <c r="A1461" s="496">
        <f t="shared" si="68"/>
        <v>1460</v>
      </c>
      <c r="B1461" s="496" t="s">
        <v>1547</v>
      </c>
      <c r="C1461" s="495" t="s">
        <v>91</v>
      </c>
      <c r="D1461" s="497" t="s">
        <v>92</v>
      </c>
      <c r="E1461" s="496" t="str">
        <f t="shared" si="66"/>
        <v>12</v>
      </c>
      <c r="F1461" s="496">
        <v>25724</v>
      </c>
      <c r="G1461" s="496" t="str">
        <f t="shared" si="67"/>
        <v>20600785622</v>
      </c>
    </row>
    <row r="1462" spans="1:7">
      <c r="A1462" s="496">
        <f t="shared" si="68"/>
        <v>1461</v>
      </c>
      <c r="B1462" s="496" t="s">
        <v>1548</v>
      </c>
      <c r="C1462" s="495" t="s">
        <v>77</v>
      </c>
      <c r="D1462" s="497" t="s">
        <v>78</v>
      </c>
      <c r="E1462" s="496" t="str">
        <f t="shared" si="66"/>
        <v>07</v>
      </c>
      <c r="F1462" s="496">
        <v>25717</v>
      </c>
      <c r="G1462" s="496" t="str">
        <f t="shared" si="67"/>
        <v>20600869737</v>
      </c>
    </row>
    <row r="1463" spans="1:7">
      <c r="A1463" s="496">
        <f t="shared" si="68"/>
        <v>1462</v>
      </c>
      <c r="B1463" s="496" t="s">
        <v>1549</v>
      </c>
      <c r="C1463" s="495" t="s">
        <v>82</v>
      </c>
      <c r="D1463" s="497" t="s">
        <v>83</v>
      </c>
      <c r="E1463" s="496" t="str">
        <f t="shared" si="66"/>
        <v>08</v>
      </c>
      <c r="F1463" s="496">
        <v>25718</v>
      </c>
      <c r="G1463" s="496" t="str">
        <f t="shared" si="67"/>
        <v>20601047005</v>
      </c>
    </row>
    <row r="1464" spans="1:7">
      <c r="A1464" s="496">
        <f t="shared" si="68"/>
        <v>1463</v>
      </c>
      <c r="B1464" s="496" t="s">
        <v>1550</v>
      </c>
      <c r="C1464" s="495" t="s">
        <v>85</v>
      </c>
      <c r="D1464" s="497" t="s">
        <v>86</v>
      </c>
      <c r="E1464" s="496" t="str">
        <f t="shared" si="66"/>
        <v>09</v>
      </c>
      <c r="F1464" s="496">
        <v>25719</v>
      </c>
      <c r="G1464" s="496" t="str">
        <f t="shared" si="67"/>
        <v>20601189063</v>
      </c>
    </row>
    <row r="1465" spans="1:7">
      <c r="A1465" s="496">
        <f t="shared" si="68"/>
        <v>1464</v>
      </c>
      <c r="B1465" s="496" t="s">
        <v>1551</v>
      </c>
      <c r="C1465" s="495" t="s">
        <v>88</v>
      </c>
      <c r="D1465" s="497" t="s">
        <v>89</v>
      </c>
      <c r="E1465" s="496" t="str">
        <f t="shared" si="66"/>
        <v>11</v>
      </c>
      <c r="F1465" s="496">
        <v>25720</v>
      </c>
      <c r="G1465" s="496" t="str">
        <f t="shared" si="67"/>
        <v>20601398606</v>
      </c>
    </row>
    <row r="1466" spans="1:7">
      <c r="A1466" s="496">
        <f t="shared" si="68"/>
        <v>1465</v>
      </c>
      <c r="B1466" s="496" t="s">
        <v>1552</v>
      </c>
      <c r="C1466" s="495" t="s">
        <v>77</v>
      </c>
      <c r="D1466" s="497" t="s">
        <v>78</v>
      </c>
      <c r="E1466" s="496" t="str">
        <f t="shared" si="66"/>
        <v>07</v>
      </c>
      <c r="F1466" s="496">
        <v>25717</v>
      </c>
      <c r="G1466" s="496" t="str">
        <f t="shared" si="67"/>
        <v>20553143498</v>
      </c>
    </row>
    <row r="1467" spans="1:7">
      <c r="A1467" s="496">
        <f t="shared" si="68"/>
        <v>1466</v>
      </c>
      <c r="B1467" s="496" t="s">
        <v>1553</v>
      </c>
      <c r="C1467" s="495" t="s">
        <v>82</v>
      </c>
      <c r="D1467" s="497" t="s">
        <v>83</v>
      </c>
      <c r="E1467" s="496" t="str">
        <f t="shared" si="66"/>
        <v>08</v>
      </c>
      <c r="F1467" s="496">
        <v>25718</v>
      </c>
      <c r="G1467" s="496" t="str">
        <f t="shared" si="67"/>
        <v>20563579553</v>
      </c>
    </row>
    <row r="1468" spans="1:7">
      <c r="A1468" s="496">
        <f t="shared" si="68"/>
        <v>1467</v>
      </c>
      <c r="B1468" s="496" t="s">
        <v>1554</v>
      </c>
      <c r="C1468" s="495" t="s">
        <v>85</v>
      </c>
      <c r="D1468" s="497" t="s">
        <v>86</v>
      </c>
      <c r="E1468" s="496" t="str">
        <f t="shared" si="66"/>
        <v>09</v>
      </c>
      <c r="F1468" s="496">
        <v>25719</v>
      </c>
      <c r="G1468" s="496" t="str">
        <f t="shared" si="67"/>
        <v>20550344603</v>
      </c>
    </row>
    <row r="1469" spans="1:7">
      <c r="A1469" s="496">
        <f t="shared" si="68"/>
        <v>1468</v>
      </c>
      <c r="B1469" s="496" t="s">
        <v>1555</v>
      </c>
      <c r="C1469" s="495" t="s">
        <v>88</v>
      </c>
      <c r="D1469" s="497" t="s">
        <v>89</v>
      </c>
      <c r="E1469" s="496" t="str">
        <f t="shared" si="66"/>
        <v>11</v>
      </c>
      <c r="F1469" s="496">
        <v>25720</v>
      </c>
      <c r="G1469" s="496" t="str">
        <f t="shared" si="67"/>
        <v>20513358564</v>
      </c>
    </row>
    <row r="1470" spans="1:7">
      <c r="A1470" s="496">
        <f t="shared" si="68"/>
        <v>1469</v>
      </c>
      <c r="B1470" s="496" t="s">
        <v>1556</v>
      </c>
      <c r="C1470" s="495" t="s">
        <v>91</v>
      </c>
      <c r="D1470" s="497" t="s">
        <v>92</v>
      </c>
      <c r="E1470" s="496" t="str">
        <f t="shared" si="66"/>
        <v>12</v>
      </c>
      <c r="F1470" s="496">
        <v>25724</v>
      </c>
      <c r="G1470" s="496" t="str">
        <f t="shared" si="67"/>
        <v>20538761967</v>
      </c>
    </row>
    <row r="1471" spans="1:7">
      <c r="A1471" s="496">
        <f t="shared" si="68"/>
        <v>1470</v>
      </c>
      <c r="B1471" s="496" t="s">
        <v>1557</v>
      </c>
      <c r="C1471" s="495" t="s">
        <v>77</v>
      </c>
      <c r="D1471" s="497" t="s">
        <v>78</v>
      </c>
      <c r="E1471" s="496" t="str">
        <f t="shared" si="66"/>
        <v>07</v>
      </c>
      <c r="F1471" s="496">
        <v>25717</v>
      </c>
      <c r="G1471" s="496" t="str">
        <f t="shared" si="67"/>
        <v>20562613545</v>
      </c>
    </row>
    <row r="1472" spans="1:7">
      <c r="A1472" s="496">
        <f t="shared" si="68"/>
        <v>1471</v>
      </c>
      <c r="B1472" s="496" t="s">
        <v>1558</v>
      </c>
      <c r="C1472" s="495" t="s">
        <v>82</v>
      </c>
      <c r="D1472" s="497" t="s">
        <v>83</v>
      </c>
      <c r="E1472" s="496" t="str">
        <f t="shared" si="66"/>
        <v>08</v>
      </c>
      <c r="F1472" s="496">
        <v>25718</v>
      </c>
      <c r="G1472" s="496" t="str">
        <f t="shared" si="67"/>
        <v>20600281489</v>
      </c>
    </row>
    <row r="1473" spans="1:7">
      <c r="A1473" s="496">
        <f t="shared" si="68"/>
        <v>1472</v>
      </c>
      <c r="B1473" s="496" t="s">
        <v>1559</v>
      </c>
      <c r="C1473" s="495" t="s">
        <v>85</v>
      </c>
      <c r="D1473" s="497" t="s">
        <v>86</v>
      </c>
      <c r="E1473" s="496" t="str">
        <f t="shared" si="66"/>
        <v>09</v>
      </c>
      <c r="F1473" s="496">
        <v>25719</v>
      </c>
      <c r="G1473" s="496" t="str">
        <f t="shared" si="67"/>
        <v>20307146798</v>
      </c>
    </row>
    <row r="1474" spans="1:7">
      <c r="A1474" s="496">
        <f t="shared" si="68"/>
        <v>1473</v>
      </c>
      <c r="B1474" s="496" t="s">
        <v>1560</v>
      </c>
      <c r="C1474" s="495" t="s">
        <v>88</v>
      </c>
      <c r="D1474" s="497" t="s">
        <v>89</v>
      </c>
      <c r="E1474" s="496" t="str">
        <f t="shared" si="66"/>
        <v>11</v>
      </c>
      <c r="F1474" s="496">
        <v>25720</v>
      </c>
      <c r="G1474" s="496" t="str">
        <f t="shared" si="67"/>
        <v>20549517952</v>
      </c>
    </row>
    <row r="1475" spans="1:7">
      <c r="A1475" s="496">
        <f t="shared" si="68"/>
        <v>1474</v>
      </c>
      <c r="B1475" s="496" t="s">
        <v>1561</v>
      </c>
      <c r="C1475" s="495" t="s">
        <v>91</v>
      </c>
      <c r="D1475" s="497" t="s">
        <v>92</v>
      </c>
      <c r="E1475" s="496" t="str">
        <f t="shared" ref="E1475:E1538" si="69">IF(MID(D1475,14,1)="@",MID(D1475,12,2),"0"&amp;MID(D1475,12,1))</f>
        <v>12</v>
      </c>
      <c r="F1475" s="496">
        <v>25724</v>
      </c>
      <c r="G1475" s="496" t="str">
        <f t="shared" ref="G1475:G1538" si="70">CONCATENATE(B1475)</f>
        <v>20415932376</v>
      </c>
    </row>
    <row r="1476" spans="1:7">
      <c r="A1476" s="496">
        <f t="shared" ref="A1476:A1539" si="71">+A1475+1</f>
        <v>1475</v>
      </c>
      <c r="B1476" s="496" t="s">
        <v>1562</v>
      </c>
      <c r="C1476" s="495" t="s">
        <v>77</v>
      </c>
      <c r="D1476" s="497" t="s">
        <v>78</v>
      </c>
      <c r="E1476" s="496" t="str">
        <f t="shared" si="69"/>
        <v>07</v>
      </c>
      <c r="F1476" s="496">
        <v>25717</v>
      </c>
      <c r="G1476" s="496" t="str">
        <f t="shared" si="70"/>
        <v>20552395507</v>
      </c>
    </row>
    <row r="1477" spans="1:7">
      <c r="A1477" s="496">
        <f t="shared" si="71"/>
        <v>1476</v>
      </c>
      <c r="B1477" s="496" t="s">
        <v>1563</v>
      </c>
      <c r="C1477" s="495" t="s">
        <v>82</v>
      </c>
      <c r="D1477" s="497" t="s">
        <v>83</v>
      </c>
      <c r="E1477" s="496" t="str">
        <f t="shared" si="69"/>
        <v>08</v>
      </c>
      <c r="F1477" s="496">
        <v>25718</v>
      </c>
      <c r="G1477" s="496" t="str">
        <f t="shared" si="70"/>
        <v>20512797785</v>
      </c>
    </row>
    <row r="1478" spans="1:7">
      <c r="A1478" s="496">
        <f t="shared" si="71"/>
        <v>1477</v>
      </c>
      <c r="B1478" s="496" t="s">
        <v>1564</v>
      </c>
      <c r="C1478" s="495" t="s">
        <v>85</v>
      </c>
      <c r="D1478" s="497" t="s">
        <v>86</v>
      </c>
      <c r="E1478" s="496" t="str">
        <f t="shared" si="69"/>
        <v>09</v>
      </c>
      <c r="F1478" s="496">
        <v>25719</v>
      </c>
      <c r="G1478" s="496" t="str">
        <f t="shared" si="70"/>
        <v>20557606328</v>
      </c>
    </row>
    <row r="1479" spans="1:7">
      <c r="A1479" s="496">
        <f t="shared" si="71"/>
        <v>1478</v>
      </c>
      <c r="B1479" s="496" t="s">
        <v>1565</v>
      </c>
      <c r="C1479" s="495" t="s">
        <v>88</v>
      </c>
      <c r="D1479" s="497" t="s">
        <v>89</v>
      </c>
      <c r="E1479" s="496" t="str">
        <f t="shared" si="69"/>
        <v>11</v>
      </c>
      <c r="F1479" s="496">
        <v>25720</v>
      </c>
      <c r="G1479" s="496" t="str">
        <f t="shared" si="70"/>
        <v>20550087791</v>
      </c>
    </row>
    <row r="1480" spans="1:7">
      <c r="A1480" s="496">
        <f t="shared" si="71"/>
        <v>1479</v>
      </c>
      <c r="B1480" s="496" t="s">
        <v>1566</v>
      </c>
      <c r="C1480" s="495" t="s">
        <v>91</v>
      </c>
      <c r="D1480" s="497" t="s">
        <v>92</v>
      </c>
      <c r="E1480" s="496" t="str">
        <f t="shared" si="69"/>
        <v>12</v>
      </c>
      <c r="F1480" s="496">
        <v>25724</v>
      </c>
      <c r="G1480" s="496" t="str">
        <f t="shared" si="70"/>
        <v>20419952461</v>
      </c>
    </row>
    <row r="1481" spans="1:7">
      <c r="A1481" s="496">
        <f t="shared" si="71"/>
        <v>1480</v>
      </c>
      <c r="B1481" s="496" t="s">
        <v>1567</v>
      </c>
      <c r="C1481" s="495" t="s">
        <v>77</v>
      </c>
      <c r="D1481" s="497" t="s">
        <v>78</v>
      </c>
      <c r="E1481" s="496" t="str">
        <f t="shared" si="69"/>
        <v>07</v>
      </c>
      <c r="F1481" s="496">
        <v>25717</v>
      </c>
      <c r="G1481" s="496" t="str">
        <f t="shared" si="70"/>
        <v>20517406610</v>
      </c>
    </row>
    <row r="1482" spans="1:7">
      <c r="A1482" s="496">
        <f t="shared" si="71"/>
        <v>1481</v>
      </c>
      <c r="B1482" s="496" t="s">
        <v>1568</v>
      </c>
      <c r="C1482" s="495" t="s">
        <v>82</v>
      </c>
      <c r="D1482" s="497" t="s">
        <v>83</v>
      </c>
      <c r="E1482" s="496" t="str">
        <f t="shared" si="69"/>
        <v>08</v>
      </c>
      <c r="F1482" s="496">
        <v>25718</v>
      </c>
      <c r="G1482" s="496" t="str">
        <f t="shared" si="70"/>
        <v>20543482316</v>
      </c>
    </row>
    <row r="1483" spans="1:7">
      <c r="A1483" s="496">
        <f t="shared" si="71"/>
        <v>1482</v>
      </c>
      <c r="B1483" s="496" t="s">
        <v>1569</v>
      </c>
      <c r="C1483" s="495" t="s">
        <v>85</v>
      </c>
      <c r="D1483" s="497" t="s">
        <v>86</v>
      </c>
      <c r="E1483" s="496" t="str">
        <f t="shared" si="69"/>
        <v>09</v>
      </c>
      <c r="F1483" s="496">
        <v>25719</v>
      </c>
      <c r="G1483" s="496" t="str">
        <f t="shared" si="70"/>
        <v>20383380643</v>
      </c>
    </row>
    <row r="1484" spans="1:7">
      <c r="A1484" s="496">
        <f t="shared" si="71"/>
        <v>1483</v>
      </c>
      <c r="B1484" s="496" t="s">
        <v>1570</v>
      </c>
      <c r="C1484" s="495" t="s">
        <v>88</v>
      </c>
      <c r="D1484" s="497" t="s">
        <v>89</v>
      </c>
      <c r="E1484" s="496" t="str">
        <f t="shared" si="69"/>
        <v>11</v>
      </c>
      <c r="F1484" s="496">
        <v>25720</v>
      </c>
      <c r="G1484" s="496" t="str">
        <f t="shared" si="70"/>
        <v>20402885549</v>
      </c>
    </row>
    <row r="1485" spans="1:7">
      <c r="A1485" s="496">
        <f t="shared" si="71"/>
        <v>1484</v>
      </c>
      <c r="B1485" s="496" t="s">
        <v>1571</v>
      </c>
      <c r="C1485" s="495" t="s">
        <v>91</v>
      </c>
      <c r="D1485" s="497" t="s">
        <v>92</v>
      </c>
      <c r="E1485" s="496" t="str">
        <f t="shared" si="69"/>
        <v>12</v>
      </c>
      <c r="F1485" s="496">
        <v>25724</v>
      </c>
      <c r="G1485" s="496" t="str">
        <f t="shared" si="70"/>
        <v>20503957231</v>
      </c>
    </row>
    <row r="1486" spans="1:7">
      <c r="A1486" s="496">
        <f t="shared" si="71"/>
        <v>1485</v>
      </c>
      <c r="B1486" s="496" t="s">
        <v>1572</v>
      </c>
      <c r="C1486" s="495" t="s">
        <v>77</v>
      </c>
      <c r="D1486" s="497" t="s">
        <v>78</v>
      </c>
      <c r="E1486" s="496" t="str">
        <f t="shared" si="69"/>
        <v>07</v>
      </c>
      <c r="F1486" s="496">
        <v>25717</v>
      </c>
      <c r="G1486" s="496" t="str">
        <f t="shared" si="70"/>
        <v>20262518001</v>
      </c>
    </row>
    <row r="1487" spans="1:7">
      <c r="A1487" s="496">
        <f t="shared" si="71"/>
        <v>1486</v>
      </c>
      <c r="B1487" s="496" t="s">
        <v>1573</v>
      </c>
      <c r="C1487" s="495" t="s">
        <v>82</v>
      </c>
      <c r="D1487" s="497" t="s">
        <v>83</v>
      </c>
      <c r="E1487" s="496" t="str">
        <f t="shared" si="69"/>
        <v>08</v>
      </c>
      <c r="F1487" s="496">
        <v>25718</v>
      </c>
      <c r="G1487" s="496" t="str">
        <f t="shared" si="70"/>
        <v>20100102766</v>
      </c>
    </row>
    <row r="1488" spans="1:7">
      <c r="A1488" s="496">
        <f t="shared" si="71"/>
        <v>1487</v>
      </c>
      <c r="B1488" s="496" t="s">
        <v>1574</v>
      </c>
      <c r="C1488" s="495" t="s">
        <v>85</v>
      </c>
      <c r="D1488" s="497" t="s">
        <v>86</v>
      </c>
      <c r="E1488" s="496" t="str">
        <f t="shared" si="69"/>
        <v>09</v>
      </c>
      <c r="F1488" s="496">
        <v>25719</v>
      </c>
      <c r="G1488" s="496" t="str">
        <f t="shared" si="70"/>
        <v>20550251851</v>
      </c>
    </row>
    <row r="1489" spans="1:7">
      <c r="A1489" s="496">
        <f t="shared" si="71"/>
        <v>1488</v>
      </c>
      <c r="B1489" s="496" t="s">
        <v>1575</v>
      </c>
      <c r="C1489" s="495" t="s">
        <v>88</v>
      </c>
      <c r="D1489" s="497" t="s">
        <v>89</v>
      </c>
      <c r="E1489" s="496" t="str">
        <f t="shared" si="69"/>
        <v>11</v>
      </c>
      <c r="F1489" s="496">
        <v>25720</v>
      </c>
      <c r="G1489" s="496" t="str">
        <f t="shared" si="70"/>
        <v>20555881551</v>
      </c>
    </row>
    <row r="1490" spans="1:7">
      <c r="A1490" s="496">
        <f t="shared" si="71"/>
        <v>1489</v>
      </c>
      <c r="B1490" s="496" t="s">
        <v>1576</v>
      </c>
      <c r="C1490" s="495" t="s">
        <v>91</v>
      </c>
      <c r="D1490" s="497" t="s">
        <v>92</v>
      </c>
      <c r="E1490" s="496" t="str">
        <f t="shared" si="69"/>
        <v>12</v>
      </c>
      <c r="F1490" s="496">
        <v>25724</v>
      </c>
      <c r="G1490" s="496" t="str">
        <f t="shared" si="70"/>
        <v>20600216512</v>
      </c>
    </row>
    <row r="1491" spans="1:7">
      <c r="A1491" s="496">
        <f t="shared" si="71"/>
        <v>1490</v>
      </c>
      <c r="B1491" s="496" t="s">
        <v>1577</v>
      </c>
      <c r="C1491" s="495" t="s">
        <v>77</v>
      </c>
      <c r="D1491" s="497" t="s">
        <v>78</v>
      </c>
      <c r="E1491" s="496" t="str">
        <f t="shared" si="69"/>
        <v>07</v>
      </c>
      <c r="F1491" s="496">
        <v>25717</v>
      </c>
      <c r="G1491" s="496" t="str">
        <f t="shared" si="70"/>
        <v>20520628704</v>
      </c>
    </row>
    <row r="1492" spans="1:7">
      <c r="A1492" s="496">
        <f t="shared" si="71"/>
        <v>1491</v>
      </c>
      <c r="B1492" s="496" t="s">
        <v>1578</v>
      </c>
      <c r="C1492" s="495" t="s">
        <v>82</v>
      </c>
      <c r="D1492" s="497" t="s">
        <v>83</v>
      </c>
      <c r="E1492" s="496" t="str">
        <f t="shared" si="69"/>
        <v>08</v>
      </c>
      <c r="F1492" s="496">
        <v>25718</v>
      </c>
      <c r="G1492" s="496" t="str">
        <f t="shared" si="70"/>
        <v>20519233593</v>
      </c>
    </row>
    <row r="1493" spans="1:7">
      <c r="A1493" s="496">
        <f t="shared" si="71"/>
        <v>1492</v>
      </c>
      <c r="B1493" s="496" t="s">
        <v>1579</v>
      </c>
      <c r="C1493" s="495" t="s">
        <v>85</v>
      </c>
      <c r="D1493" s="497" t="s">
        <v>86</v>
      </c>
      <c r="E1493" s="496" t="str">
        <f t="shared" si="69"/>
        <v>09</v>
      </c>
      <c r="F1493" s="496">
        <v>25719</v>
      </c>
      <c r="G1493" s="496" t="str">
        <f t="shared" si="70"/>
        <v>20308287395</v>
      </c>
    </row>
    <row r="1494" spans="1:7">
      <c r="A1494" s="496">
        <f t="shared" si="71"/>
        <v>1493</v>
      </c>
      <c r="B1494" s="496" t="s">
        <v>1580</v>
      </c>
      <c r="C1494" s="495" t="s">
        <v>88</v>
      </c>
      <c r="D1494" s="497" t="s">
        <v>89</v>
      </c>
      <c r="E1494" s="496" t="str">
        <f t="shared" si="69"/>
        <v>11</v>
      </c>
      <c r="F1494" s="496">
        <v>25720</v>
      </c>
      <c r="G1494" s="496" t="str">
        <f t="shared" si="70"/>
        <v>20299688373</v>
      </c>
    </row>
    <row r="1495" spans="1:7">
      <c r="A1495" s="496">
        <f t="shared" si="71"/>
        <v>1494</v>
      </c>
      <c r="B1495" s="496" t="s">
        <v>1581</v>
      </c>
      <c r="C1495" s="495" t="s">
        <v>91</v>
      </c>
      <c r="D1495" s="497" t="s">
        <v>92</v>
      </c>
      <c r="E1495" s="496" t="str">
        <f t="shared" si="69"/>
        <v>12</v>
      </c>
      <c r="F1495" s="496">
        <v>25724</v>
      </c>
      <c r="G1495" s="496" t="str">
        <f t="shared" si="70"/>
        <v>20112273922</v>
      </c>
    </row>
    <row r="1496" spans="1:7">
      <c r="A1496" s="496">
        <f t="shared" si="71"/>
        <v>1495</v>
      </c>
      <c r="B1496" s="496" t="s">
        <v>1582</v>
      </c>
      <c r="C1496" s="495" t="s">
        <v>77</v>
      </c>
      <c r="D1496" s="497" t="s">
        <v>78</v>
      </c>
      <c r="E1496" s="496" t="str">
        <f t="shared" si="69"/>
        <v>07</v>
      </c>
      <c r="F1496" s="496">
        <v>25717</v>
      </c>
      <c r="G1496" s="496" t="str">
        <f t="shared" si="70"/>
        <v>20106758477</v>
      </c>
    </row>
    <row r="1497" spans="1:7">
      <c r="A1497" s="496">
        <f t="shared" si="71"/>
        <v>1496</v>
      </c>
      <c r="B1497" s="496" t="s">
        <v>1583</v>
      </c>
      <c r="C1497" s="495" t="s">
        <v>82</v>
      </c>
      <c r="D1497" s="497" t="s">
        <v>83</v>
      </c>
      <c r="E1497" s="496" t="str">
        <f t="shared" si="69"/>
        <v>08</v>
      </c>
      <c r="F1497" s="496">
        <v>25718</v>
      </c>
      <c r="G1497" s="496" t="str">
        <f t="shared" si="70"/>
        <v>20511015961</v>
      </c>
    </row>
    <row r="1498" spans="1:7">
      <c r="A1498" s="496">
        <f t="shared" si="71"/>
        <v>1497</v>
      </c>
      <c r="B1498" s="496" t="s">
        <v>1584</v>
      </c>
      <c r="C1498" s="495" t="s">
        <v>85</v>
      </c>
      <c r="D1498" s="497" t="s">
        <v>86</v>
      </c>
      <c r="E1498" s="496" t="str">
        <f t="shared" si="69"/>
        <v>09</v>
      </c>
      <c r="F1498" s="496">
        <v>25719</v>
      </c>
      <c r="G1498" s="496" t="str">
        <f t="shared" si="70"/>
        <v>20548156549</v>
      </c>
    </row>
    <row r="1499" spans="1:7">
      <c r="A1499" s="496">
        <f t="shared" si="71"/>
        <v>1498</v>
      </c>
      <c r="B1499" s="496" t="s">
        <v>1585</v>
      </c>
      <c r="C1499" s="495" t="s">
        <v>88</v>
      </c>
      <c r="D1499" s="497" t="s">
        <v>89</v>
      </c>
      <c r="E1499" s="496" t="str">
        <f t="shared" si="69"/>
        <v>11</v>
      </c>
      <c r="F1499" s="496">
        <v>25720</v>
      </c>
      <c r="G1499" s="496" t="str">
        <f t="shared" si="70"/>
        <v>20296977447</v>
      </c>
    </row>
    <row r="1500" spans="1:7">
      <c r="A1500" s="496">
        <f t="shared" si="71"/>
        <v>1499</v>
      </c>
      <c r="B1500" s="496" t="s">
        <v>1586</v>
      </c>
      <c r="C1500" s="495" t="s">
        <v>91</v>
      </c>
      <c r="D1500" s="497" t="s">
        <v>92</v>
      </c>
      <c r="E1500" s="496" t="str">
        <f t="shared" si="69"/>
        <v>12</v>
      </c>
      <c r="F1500" s="496">
        <v>25724</v>
      </c>
      <c r="G1500" s="496" t="str">
        <f t="shared" si="70"/>
        <v>20552010133</v>
      </c>
    </row>
    <row r="1501" spans="1:7">
      <c r="A1501" s="496">
        <f t="shared" si="71"/>
        <v>1500</v>
      </c>
      <c r="B1501" s="496" t="s">
        <v>1587</v>
      </c>
      <c r="C1501" s="495" t="s">
        <v>77</v>
      </c>
      <c r="D1501" s="497" t="s">
        <v>78</v>
      </c>
      <c r="E1501" s="496" t="str">
        <f t="shared" si="69"/>
        <v>07</v>
      </c>
      <c r="F1501" s="496">
        <v>25717</v>
      </c>
      <c r="G1501" s="496" t="str">
        <f t="shared" si="70"/>
        <v>20134522616</v>
      </c>
    </row>
    <row r="1502" spans="1:7">
      <c r="A1502" s="496">
        <f t="shared" si="71"/>
        <v>1501</v>
      </c>
      <c r="B1502" s="496" t="s">
        <v>1588</v>
      </c>
      <c r="C1502" s="495" t="s">
        <v>82</v>
      </c>
      <c r="D1502" s="497" t="s">
        <v>83</v>
      </c>
      <c r="E1502" s="496" t="str">
        <f t="shared" si="69"/>
        <v>08</v>
      </c>
      <c r="F1502" s="496">
        <v>25718</v>
      </c>
      <c r="G1502" s="496" t="str">
        <f t="shared" si="70"/>
        <v>20454505621</v>
      </c>
    </row>
    <row r="1503" spans="1:7">
      <c r="A1503" s="496">
        <f t="shared" si="71"/>
        <v>1502</v>
      </c>
      <c r="B1503" s="496" t="s">
        <v>1589</v>
      </c>
      <c r="C1503" s="495" t="s">
        <v>85</v>
      </c>
      <c r="D1503" s="497" t="s">
        <v>86</v>
      </c>
      <c r="E1503" s="496" t="str">
        <f t="shared" si="69"/>
        <v>09</v>
      </c>
      <c r="F1503" s="496">
        <v>25719</v>
      </c>
      <c r="G1503" s="496" t="str">
        <f t="shared" si="70"/>
        <v>20307308526</v>
      </c>
    </row>
    <row r="1504" spans="1:7">
      <c r="A1504" s="496">
        <f t="shared" si="71"/>
        <v>1503</v>
      </c>
      <c r="B1504" s="496" t="s">
        <v>1590</v>
      </c>
      <c r="C1504" s="495" t="s">
        <v>88</v>
      </c>
      <c r="D1504" s="497" t="s">
        <v>89</v>
      </c>
      <c r="E1504" s="496" t="str">
        <f t="shared" si="69"/>
        <v>11</v>
      </c>
      <c r="F1504" s="496">
        <v>25720</v>
      </c>
      <c r="G1504" s="496" t="str">
        <f t="shared" si="70"/>
        <v>20548184160</v>
      </c>
    </row>
    <row r="1505" spans="1:7">
      <c r="A1505" s="496">
        <f t="shared" si="71"/>
        <v>1504</v>
      </c>
      <c r="B1505" s="496" t="s">
        <v>1591</v>
      </c>
      <c r="C1505" s="495" t="s">
        <v>91</v>
      </c>
      <c r="D1505" s="497" t="s">
        <v>92</v>
      </c>
      <c r="E1505" s="496" t="str">
        <f t="shared" si="69"/>
        <v>12</v>
      </c>
      <c r="F1505" s="496">
        <v>25724</v>
      </c>
      <c r="G1505" s="496" t="str">
        <f t="shared" si="70"/>
        <v>20545757002</v>
      </c>
    </row>
    <row r="1506" spans="1:7">
      <c r="A1506" s="496">
        <f t="shared" si="71"/>
        <v>1505</v>
      </c>
      <c r="B1506" s="496" t="s">
        <v>1592</v>
      </c>
      <c r="C1506" s="495" t="s">
        <v>77</v>
      </c>
      <c r="D1506" s="497" t="s">
        <v>78</v>
      </c>
      <c r="E1506" s="496" t="str">
        <f t="shared" si="69"/>
        <v>07</v>
      </c>
      <c r="F1506" s="496">
        <v>25717</v>
      </c>
      <c r="G1506" s="496" t="str">
        <f t="shared" si="70"/>
        <v>20566587263</v>
      </c>
    </row>
    <row r="1507" spans="1:7">
      <c r="A1507" s="496">
        <f t="shared" si="71"/>
        <v>1506</v>
      </c>
      <c r="B1507" s="496" t="s">
        <v>1593</v>
      </c>
      <c r="C1507" s="495" t="s">
        <v>82</v>
      </c>
      <c r="D1507" s="497" t="s">
        <v>83</v>
      </c>
      <c r="E1507" s="496" t="str">
        <f t="shared" si="69"/>
        <v>08</v>
      </c>
      <c r="F1507" s="496">
        <v>25718</v>
      </c>
      <c r="G1507" s="496" t="str">
        <f t="shared" si="70"/>
        <v>20550523362</v>
      </c>
    </row>
    <row r="1508" spans="1:7">
      <c r="A1508" s="496">
        <f t="shared" si="71"/>
        <v>1507</v>
      </c>
      <c r="B1508" s="496" t="s">
        <v>1594</v>
      </c>
      <c r="C1508" s="495" t="s">
        <v>85</v>
      </c>
      <c r="D1508" s="497" t="s">
        <v>86</v>
      </c>
      <c r="E1508" s="496" t="str">
        <f t="shared" si="69"/>
        <v>09</v>
      </c>
      <c r="F1508" s="496">
        <v>25719</v>
      </c>
      <c r="G1508" s="496" t="str">
        <f t="shared" si="70"/>
        <v>20546121250</v>
      </c>
    </row>
    <row r="1509" spans="1:7">
      <c r="A1509" s="496">
        <f t="shared" si="71"/>
        <v>1508</v>
      </c>
      <c r="B1509" s="496" t="s">
        <v>1595</v>
      </c>
      <c r="C1509" s="495" t="s">
        <v>88</v>
      </c>
      <c r="D1509" s="497" t="s">
        <v>89</v>
      </c>
      <c r="E1509" s="496" t="str">
        <f t="shared" si="69"/>
        <v>11</v>
      </c>
      <c r="F1509" s="496">
        <v>25720</v>
      </c>
      <c r="G1509" s="496" t="str">
        <f t="shared" si="70"/>
        <v>20535627101</v>
      </c>
    </row>
    <row r="1510" spans="1:7">
      <c r="A1510" s="496">
        <f t="shared" si="71"/>
        <v>1509</v>
      </c>
      <c r="B1510" s="496" t="s">
        <v>1596</v>
      </c>
      <c r="C1510" s="495" t="s">
        <v>91</v>
      </c>
      <c r="D1510" s="497" t="s">
        <v>92</v>
      </c>
      <c r="E1510" s="496" t="str">
        <f t="shared" si="69"/>
        <v>12</v>
      </c>
      <c r="F1510" s="496">
        <v>25724</v>
      </c>
      <c r="G1510" s="496" t="str">
        <f t="shared" si="70"/>
        <v>20454332262</v>
      </c>
    </row>
    <row r="1511" spans="1:7">
      <c r="A1511" s="496">
        <f t="shared" si="71"/>
        <v>1510</v>
      </c>
      <c r="B1511" s="496" t="s">
        <v>1597</v>
      </c>
      <c r="C1511" s="495" t="s">
        <v>77</v>
      </c>
      <c r="D1511" s="497" t="s">
        <v>78</v>
      </c>
      <c r="E1511" s="496" t="str">
        <f t="shared" si="69"/>
        <v>07</v>
      </c>
      <c r="F1511" s="496">
        <v>25717</v>
      </c>
      <c r="G1511" s="496" t="str">
        <f t="shared" si="70"/>
        <v>20133877615</v>
      </c>
    </row>
    <row r="1512" spans="1:7">
      <c r="A1512" s="496">
        <f t="shared" si="71"/>
        <v>1511</v>
      </c>
      <c r="B1512" s="496" t="s">
        <v>1598</v>
      </c>
      <c r="C1512" s="495" t="s">
        <v>82</v>
      </c>
      <c r="D1512" s="497" t="s">
        <v>83</v>
      </c>
      <c r="E1512" s="496" t="str">
        <f t="shared" si="69"/>
        <v>08</v>
      </c>
      <c r="F1512" s="496">
        <v>25718</v>
      </c>
      <c r="G1512" s="496" t="str">
        <f t="shared" si="70"/>
        <v>20340546653</v>
      </c>
    </row>
    <row r="1513" spans="1:7">
      <c r="A1513" s="496">
        <f t="shared" si="71"/>
        <v>1512</v>
      </c>
      <c r="B1513" s="496" t="s">
        <v>1599</v>
      </c>
      <c r="C1513" s="495" t="s">
        <v>85</v>
      </c>
      <c r="D1513" s="497" t="s">
        <v>86</v>
      </c>
      <c r="E1513" s="496" t="str">
        <f t="shared" si="69"/>
        <v>09</v>
      </c>
      <c r="F1513" s="496">
        <v>25719</v>
      </c>
      <c r="G1513" s="496" t="str">
        <f t="shared" si="70"/>
        <v>20348858182</v>
      </c>
    </row>
    <row r="1514" spans="1:7">
      <c r="A1514" s="496">
        <f t="shared" si="71"/>
        <v>1513</v>
      </c>
      <c r="B1514" s="496" t="s">
        <v>1600</v>
      </c>
      <c r="C1514" s="495" t="s">
        <v>88</v>
      </c>
      <c r="D1514" s="497" t="s">
        <v>89</v>
      </c>
      <c r="E1514" s="496" t="str">
        <f t="shared" si="69"/>
        <v>11</v>
      </c>
      <c r="F1514" s="496">
        <v>25720</v>
      </c>
      <c r="G1514" s="496" t="str">
        <f t="shared" si="70"/>
        <v>20347323374</v>
      </c>
    </row>
    <row r="1515" spans="1:7">
      <c r="A1515" s="496">
        <f t="shared" si="71"/>
        <v>1514</v>
      </c>
      <c r="B1515" s="496" t="s">
        <v>1601</v>
      </c>
      <c r="C1515" s="495" t="s">
        <v>91</v>
      </c>
      <c r="D1515" s="497" t="s">
        <v>92</v>
      </c>
      <c r="E1515" s="496" t="str">
        <f t="shared" si="69"/>
        <v>12</v>
      </c>
      <c r="F1515" s="496">
        <v>25724</v>
      </c>
      <c r="G1515" s="496" t="str">
        <f t="shared" si="70"/>
        <v>20417531026</v>
      </c>
    </row>
    <row r="1516" spans="1:7">
      <c r="A1516" s="496">
        <f t="shared" si="71"/>
        <v>1515</v>
      </c>
      <c r="B1516" s="496" t="s">
        <v>1602</v>
      </c>
      <c r="C1516" s="495" t="s">
        <v>77</v>
      </c>
      <c r="D1516" s="497" t="s">
        <v>78</v>
      </c>
      <c r="E1516" s="496" t="str">
        <f t="shared" si="69"/>
        <v>07</v>
      </c>
      <c r="F1516" s="496">
        <v>25717</v>
      </c>
      <c r="G1516" s="496" t="str">
        <f t="shared" si="70"/>
        <v>20100151112</v>
      </c>
    </row>
    <row r="1517" spans="1:7">
      <c r="A1517" s="496">
        <f t="shared" si="71"/>
        <v>1516</v>
      </c>
      <c r="B1517" s="496" t="s">
        <v>1603</v>
      </c>
      <c r="C1517" s="495" t="s">
        <v>82</v>
      </c>
      <c r="D1517" s="497" t="s">
        <v>83</v>
      </c>
      <c r="E1517" s="496" t="str">
        <f t="shared" si="69"/>
        <v>08</v>
      </c>
      <c r="F1517" s="496">
        <v>25718</v>
      </c>
      <c r="G1517" s="496" t="str">
        <f t="shared" si="70"/>
        <v>20261677955</v>
      </c>
    </row>
    <row r="1518" spans="1:7">
      <c r="A1518" s="496">
        <f t="shared" si="71"/>
        <v>1517</v>
      </c>
      <c r="B1518" s="496" t="s">
        <v>1604</v>
      </c>
      <c r="C1518" s="495" t="s">
        <v>85</v>
      </c>
      <c r="D1518" s="497" t="s">
        <v>86</v>
      </c>
      <c r="E1518" s="496" t="str">
        <f t="shared" si="69"/>
        <v>09</v>
      </c>
      <c r="F1518" s="496">
        <v>25719</v>
      </c>
      <c r="G1518" s="496" t="str">
        <f t="shared" si="70"/>
        <v>20547425414</v>
      </c>
    </row>
    <row r="1519" spans="1:7">
      <c r="A1519" s="496">
        <f t="shared" si="71"/>
        <v>1518</v>
      </c>
      <c r="B1519" s="496" t="s">
        <v>1605</v>
      </c>
      <c r="C1519" s="495" t="s">
        <v>88</v>
      </c>
      <c r="D1519" s="497" t="s">
        <v>89</v>
      </c>
      <c r="E1519" s="496" t="str">
        <f t="shared" si="69"/>
        <v>11</v>
      </c>
      <c r="F1519" s="496">
        <v>25720</v>
      </c>
      <c r="G1519" s="496" t="str">
        <f t="shared" si="70"/>
        <v>20551706061</v>
      </c>
    </row>
    <row r="1520" spans="1:7">
      <c r="A1520" s="496">
        <f t="shared" si="71"/>
        <v>1519</v>
      </c>
      <c r="B1520" s="496" t="s">
        <v>1606</v>
      </c>
      <c r="C1520" s="495" t="s">
        <v>91</v>
      </c>
      <c r="D1520" s="497" t="s">
        <v>92</v>
      </c>
      <c r="E1520" s="496" t="str">
        <f t="shared" si="69"/>
        <v>12</v>
      </c>
      <c r="F1520" s="496">
        <v>25724</v>
      </c>
      <c r="G1520" s="496" t="str">
        <f t="shared" si="70"/>
        <v>20601150477</v>
      </c>
    </row>
    <row r="1521" spans="1:7">
      <c r="A1521" s="496">
        <f t="shared" si="71"/>
        <v>1520</v>
      </c>
      <c r="B1521" s="496" t="s">
        <v>1607</v>
      </c>
      <c r="C1521" s="495" t="s">
        <v>77</v>
      </c>
      <c r="D1521" s="497" t="s">
        <v>78</v>
      </c>
      <c r="E1521" s="496" t="str">
        <f t="shared" si="69"/>
        <v>07</v>
      </c>
      <c r="F1521" s="496">
        <v>25717</v>
      </c>
      <c r="G1521" s="496" t="str">
        <f t="shared" si="70"/>
        <v>20601120691</v>
      </c>
    </row>
    <row r="1522" spans="1:7">
      <c r="A1522" s="496">
        <f t="shared" si="71"/>
        <v>1521</v>
      </c>
      <c r="B1522" s="496" t="s">
        <v>1608</v>
      </c>
      <c r="C1522" s="495" t="s">
        <v>82</v>
      </c>
      <c r="D1522" s="497" t="s">
        <v>83</v>
      </c>
      <c r="E1522" s="496" t="str">
        <f t="shared" si="69"/>
        <v>08</v>
      </c>
      <c r="F1522" s="496">
        <v>25718</v>
      </c>
      <c r="G1522" s="496" t="str">
        <f t="shared" si="70"/>
        <v>20601071801</v>
      </c>
    </row>
    <row r="1523" spans="1:7">
      <c r="A1523" s="496">
        <f t="shared" si="71"/>
        <v>1522</v>
      </c>
      <c r="B1523" s="496" t="s">
        <v>1609</v>
      </c>
      <c r="C1523" s="495" t="s">
        <v>85</v>
      </c>
      <c r="D1523" s="497" t="s">
        <v>86</v>
      </c>
      <c r="E1523" s="496" t="str">
        <f t="shared" si="69"/>
        <v>09</v>
      </c>
      <c r="F1523" s="496">
        <v>25719</v>
      </c>
      <c r="G1523" s="496" t="str">
        <f t="shared" si="70"/>
        <v>20546844791</v>
      </c>
    </row>
    <row r="1524" spans="1:7">
      <c r="A1524" s="496">
        <f t="shared" si="71"/>
        <v>1523</v>
      </c>
      <c r="B1524" s="496" t="s">
        <v>1610</v>
      </c>
      <c r="C1524" s="495" t="s">
        <v>88</v>
      </c>
      <c r="D1524" s="497" t="s">
        <v>89</v>
      </c>
      <c r="E1524" s="496" t="str">
        <f t="shared" si="69"/>
        <v>11</v>
      </c>
      <c r="F1524" s="496">
        <v>25720</v>
      </c>
      <c r="G1524" s="496" t="str">
        <f t="shared" si="70"/>
        <v>20539454731</v>
      </c>
    </row>
    <row r="1525" spans="1:7">
      <c r="A1525" s="496">
        <f t="shared" si="71"/>
        <v>1524</v>
      </c>
      <c r="B1525" s="496" t="s">
        <v>1611</v>
      </c>
      <c r="C1525" s="495" t="s">
        <v>91</v>
      </c>
      <c r="D1525" s="497" t="s">
        <v>92</v>
      </c>
      <c r="E1525" s="496" t="str">
        <f t="shared" si="69"/>
        <v>12</v>
      </c>
      <c r="F1525" s="496">
        <v>25724</v>
      </c>
      <c r="G1525" s="496" t="str">
        <f t="shared" si="70"/>
        <v>20307825423</v>
      </c>
    </row>
    <row r="1526" spans="1:7">
      <c r="A1526" s="496">
        <f t="shared" si="71"/>
        <v>1525</v>
      </c>
      <c r="B1526" s="496" t="s">
        <v>1612</v>
      </c>
      <c r="C1526" s="495" t="s">
        <v>77</v>
      </c>
      <c r="D1526" s="497" t="s">
        <v>78</v>
      </c>
      <c r="E1526" s="496" t="str">
        <f t="shared" si="69"/>
        <v>07</v>
      </c>
      <c r="F1526" s="496">
        <v>25717</v>
      </c>
      <c r="G1526" s="496" t="str">
        <f t="shared" si="70"/>
        <v>20535654094</v>
      </c>
    </row>
    <row r="1527" spans="1:7">
      <c r="A1527" s="496">
        <f t="shared" si="71"/>
        <v>1526</v>
      </c>
      <c r="B1527" s="496" t="s">
        <v>1613</v>
      </c>
      <c r="C1527" s="495" t="s">
        <v>82</v>
      </c>
      <c r="D1527" s="497" t="s">
        <v>83</v>
      </c>
      <c r="E1527" s="496" t="str">
        <f t="shared" si="69"/>
        <v>08</v>
      </c>
      <c r="F1527" s="496">
        <v>25718</v>
      </c>
      <c r="G1527" s="496" t="str">
        <f t="shared" si="70"/>
        <v>20601317037</v>
      </c>
    </row>
    <row r="1528" spans="1:7">
      <c r="A1528" s="496">
        <f t="shared" si="71"/>
        <v>1527</v>
      </c>
      <c r="B1528" s="496" t="s">
        <v>1614</v>
      </c>
      <c r="C1528" s="495" t="s">
        <v>85</v>
      </c>
      <c r="D1528" s="497" t="s">
        <v>86</v>
      </c>
      <c r="E1528" s="496" t="str">
        <f t="shared" si="69"/>
        <v>09</v>
      </c>
      <c r="F1528" s="496">
        <v>25719</v>
      </c>
      <c r="G1528" s="496" t="str">
        <f t="shared" si="70"/>
        <v>20601317231</v>
      </c>
    </row>
    <row r="1529" spans="1:7">
      <c r="A1529" s="496">
        <f t="shared" si="71"/>
        <v>1528</v>
      </c>
      <c r="B1529" s="496" t="s">
        <v>1615</v>
      </c>
      <c r="C1529" s="495" t="s">
        <v>88</v>
      </c>
      <c r="D1529" s="497" t="s">
        <v>89</v>
      </c>
      <c r="E1529" s="496" t="str">
        <f t="shared" si="69"/>
        <v>11</v>
      </c>
      <c r="F1529" s="496">
        <v>25720</v>
      </c>
      <c r="G1529" s="496" t="str">
        <f t="shared" si="70"/>
        <v>20547228775</v>
      </c>
    </row>
    <row r="1530" spans="1:7">
      <c r="A1530" s="496">
        <f t="shared" si="71"/>
        <v>1529</v>
      </c>
      <c r="B1530" s="496" t="s">
        <v>1616</v>
      </c>
      <c r="C1530" s="495" t="s">
        <v>91</v>
      </c>
      <c r="D1530" s="497" t="s">
        <v>92</v>
      </c>
      <c r="E1530" s="496" t="str">
        <f t="shared" si="69"/>
        <v>12</v>
      </c>
      <c r="F1530" s="496">
        <v>25724</v>
      </c>
      <c r="G1530" s="496" t="str">
        <f t="shared" si="70"/>
        <v>20425809882</v>
      </c>
    </row>
    <row r="1531" spans="1:7">
      <c r="A1531" s="496">
        <f t="shared" si="71"/>
        <v>1530</v>
      </c>
      <c r="B1531" s="496" t="s">
        <v>1617</v>
      </c>
      <c r="C1531" s="495" t="s">
        <v>77</v>
      </c>
      <c r="D1531" s="497" t="s">
        <v>78</v>
      </c>
      <c r="E1531" s="496" t="str">
        <f t="shared" si="69"/>
        <v>07</v>
      </c>
      <c r="F1531" s="496">
        <v>25717</v>
      </c>
      <c r="G1531" s="496" t="str">
        <f t="shared" si="70"/>
        <v>20405479592</v>
      </c>
    </row>
    <row r="1532" spans="1:7">
      <c r="A1532" s="496">
        <f t="shared" si="71"/>
        <v>1531</v>
      </c>
      <c r="B1532" s="496" t="s">
        <v>1618</v>
      </c>
      <c r="C1532" s="495" t="s">
        <v>82</v>
      </c>
      <c r="D1532" s="497" t="s">
        <v>83</v>
      </c>
      <c r="E1532" s="496" t="str">
        <f t="shared" si="69"/>
        <v>08</v>
      </c>
      <c r="F1532" s="496">
        <v>25718</v>
      </c>
      <c r="G1532" s="496" t="str">
        <f t="shared" si="70"/>
        <v>20157385292</v>
      </c>
    </row>
    <row r="1533" spans="1:7">
      <c r="A1533" s="496">
        <f t="shared" si="71"/>
        <v>1532</v>
      </c>
      <c r="B1533" s="496" t="s">
        <v>1619</v>
      </c>
      <c r="C1533" s="495" t="s">
        <v>85</v>
      </c>
      <c r="D1533" s="497" t="s">
        <v>86</v>
      </c>
      <c r="E1533" s="496" t="str">
        <f t="shared" si="69"/>
        <v>09</v>
      </c>
      <c r="F1533" s="496">
        <v>25719</v>
      </c>
      <c r="G1533" s="496" t="str">
        <f t="shared" si="70"/>
        <v>20256391202</v>
      </c>
    </row>
    <row r="1534" spans="1:7">
      <c r="A1534" s="496">
        <f t="shared" si="71"/>
        <v>1533</v>
      </c>
      <c r="B1534" s="496" t="s">
        <v>1620</v>
      </c>
      <c r="C1534" s="495" t="s">
        <v>88</v>
      </c>
      <c r="D1534" s="497" t="s">
        <v>89</v>
      </c>
      <c r="E1534" s="496" t="str">
        <f t="shared" si="69"/>
        <v>11</v>
      </c>
      <c r="F1534" s="496">
        <v>25720</v>
      </c>
      <c r="G1534" s="496" t="str">
        <f t="shared" si="70"/>
        <v>20502759575</v>
      </c>
    </row>
    <row r="1535" spans="1:7">
      <c r="A1535" s="496">
        <f t="shared" si="71"/>
        <v>1534</v>
      </c>
      <c r="B1535" s="496" t="s">
        <v>1621</v>
      </c>
      <c r="C1535" s="495" t="s">
        <v>91</v>
      </c>
      <c r="D1535" s="497" t="s">
        <v>92</v>
      </c>
      <c r="E1535" s="496" t="str">
        <f t="shared" si="69"/>
        <v>12</v>
      </c>
      <c r="F1535" s="496">
        <v>25724</v>
      </c>
      <c r="G1535" s="496" t="str">
        <f t="shared" si="70"/>
        <v>20555189631</v>
      </c>
    </row>
    <row r="1536" spans="1:7">
      <c r="A1536" s="496">
        <f t="shared" si="71"/>
        <v>1535</v>
      </c>
      <c r="B1536" s="496" t="s">
        <v>1622</v>
      </c>
      <c r="C1536" s="495" t="s">
        <v>77</v>
      </c>
      <c r="D1536" s="497" t="s">
        <v>78</v>
      </c>
      <c r="E1536" s="496" t="str">
        <f t="shared" si="69"/>
        <v>07</v>
      </c>
      <c r="F1536" s="496">
        <v>25717</v>
      </c>
      <c r="G1536" s="496" t="str">
        <f t="shared" si="70"/>
        <v>20600676084</v>
      </c>
    </row>
    <row r="1537" spans="1:7">
      <c r="A1537" s="496">
        <f t="shared" si="71"/>
        <v>1536</v>
      </c>
      <c r="B1537" s="496" t="s">
        <v>1623</v>
      </c>
      <c r="C1537" s="495" t="s">
        <v>82</v>
      </c>
      <c r="D1537" s="497" t="s">
        <v>83</v>
      </c>
      <c r="E1537" s="496" t="str">
        <f t="shared" si="69"/>
        <v>08</v>
      </c>
      <c r="F1537" s="496">
        <v>25718</v>
      </c>
      <c r="G1537" s="496" t="str">
        <f t="shared" si="70"/>
        <v>20514768324</v>
      </c>
    </row>
    <row r="1538" spans="1:7">
      <c r="A1538" s="496">
        <f t="shared" si="71"/>
        <v>1537</v>
      </c>
      <c r="B1538" s="496" t="s">
        <v>1624</v>
      </c>
      <c r="C1538" s="495" t="s">
        <v>85</v>
      </c>
      <c r="D1538" s="497" t="s">
        <v>86</v>
      </c>
      <c r="E1538" s="496" t="str">
        <f t="shared" si="69"/>
        <v>09</v>
      </c>
      <c r="F1538" s="496">
        <v>25719</v>
      </c>
      <c r="G1538" s="496" t="str">
        <f t="shared" si="70"/>
        <v>20565851251</v>
      </c>
    </row>
    <row r="1539" spans="1:7">
      <c r="A1539" s="496">
        <f t="shared" si="71"/>
        <v>1538</v>
      </c>
      <c r="B1539" s="496" t="s">
        <v>1625</v>
      </c>
      <c r="C1539" s="495" t="s">
        <v>88</v>
      </c>
      <c r="D1539" s="497" t="s">
        <v>89</v>
      </c>
      <c r="E1539" s="496" t="str">
        <f t="shared" ref="E1539:E1602" si="72">IF(MID(D1539,14,1)="@",MID(D1539,12,2),"0"&amp;MID(D1539,12,1))</f>
        <v>11</v>
      </c>
      <c r="F1539" s="496">
        <v>25720</v>
      </c>
      <c r="G1539" s="496" t="str">
        <f t="shared" ref="G1539:G1602" si="73">CONCATENATE(B1539)</f>
        <v>20100027705</v>
      </c>
    </row>
    <row r="1540" spans="1:7">
      <c r="A1540" s="496">
        <f t="shared" ref="A1540:A1603" si="74">+A1539+1</f>
        <v>1539</v>
      </c>
      <c r="B1540" s="496" t="s">
        <v>1626</v>
      </c>
      <c r="C1540" s="495" t="s">
        <v>91</v>
      </c>
      <c r="D1540" s="497" t="s">
        <v>92</v>
      </c>
      <c r="E1540" s="496" t="str">
        <f t="shared" si="72"/>
        <v>12</v>
      </c>
      <c r="F1540" s="496">
        <v>25724</v>
      </c>
      <c r="G1540" s="496" t="str">
        <f t="shared" si="73"/>
        <v>20119205949</v>
      </c>
    </row>
    <row r="1541" spans="1:7">
      <c r="A1541" s="496">
        <f t="shared" si="74"/>
        <v>1540</v>
      </c>
      <c r="B1541" s="496" t="s">
        <v>1627</v>
      </c>
      <c r="C1541" s="495" t="s">
        <v>77</v>
      </c>
      <c r="D1541" s="497" t="s">
        <v>78</v>
      </c>
      <c r="E1541" s="496" t="str">
        <f t="shared" si="72"/>
        <v>07</v>
      </c>
      <c r="F1541" s="496">
        <v>25717</v>
      </c>
      <c r="G1541" s="496" t="str">
        <f t="shared" si="73"/>
        <v>20259033072</v>
      </c>
    </row>
    <row r="1542" spans="1:7">
      <c r="A1542" s="496">
        <f t="shared" si="74"/>
        <v>1541</v>
      </c>
      <c r="B1542" s="496" t="s">
        <v>1628</v>
      </c>
      <c r="C1542" s="495" t="s">
        <v>82</v>
      </c>
      <c r="D1542" s="497" t="s">
        <v>83</v>
      </c>
      <c r="E1542" s="496" t="str">
        <f t="shared" si="72"/>
        <v>08</v>
      </c>
      <c r="F1542" s="496">
        <v>25718</v>
      </c>
      <c r="G1542" s="496" t="str">
        <f t="shared" si="73"/>
        <v>20601050120</v>
      </c>
    </row>
    <row r="1543" spans="1:7">
      <c r="A1543" s="496">
        <f t="shared" si="74"/>
        <v>1542</v>
      </c>
      <c r="B1543" s="496" t="s">
        <v>1629</v>
      </c>
      <c r="C1543" s="495" t="s">
        <v>85</v>
      </c>
      <c r="D1543" s="497" t="s">
        <v>86</v>
      </c>
      <c r="E1543" s="496" t="str">
        <f t="shared" si="72"/>
        <v>09</v>
      </c>
      <c r="F1543" s="496">
        <v>25719</v>
      </c>
      <c r="G1543" s="496" t="str">
        <f t="shared" si="73"/>
        <v>20566558247</v>
      </c>
    </row>
    <row r="1544" spans="1:7">
      <c r="A1544" s="496">
        <f t="shared" si="74"/>
        <v>1543</v>
      </c>
      <c r="B1544" s="496" t="s">
        <v>1630</v>
      </c>
      <c r="C1544" s="495" t="s">
        <v>88</v>
      </c>
      <c r="D1544" s="497" t="s">
        <v>89</v>
      </c>
      <c r="E1544" s="496" t="str">
        <f t="shared" si="72"/>
        <v>11</v>
      </c>
      <c r="F1544" s="496">
        <v>25720</v>
      </c>
      <c r="G1544" s="496" t="str">
        <f t="shared" si="73"/>
        <v>20526095261</v>
      </c>
    </row>
    <row r="1545" spans="1:7">
      <c r="A1545" s="496">
        <f t="shared" si="74"/>
        <v>1544</v>
      </c>
      <c r="B1545" s="496" t="s">
        <v>1631</v>
      </c>
      <c r="C1545" s="495" t="s">
        <v>91</v>
      </c>
      <c r="D1545" s="497" t="s">
        <v>92</v>
      </c>
      <c r="E1545" s="496" t="str">
        <f t="shared" si="72"/>
        <v>12</v>
      </c>
      <c r="F1545" s="496">
        <v>25724</v>
      </c>
      <c r="G1545" s="496" t="str">
        <f t="shared" si="73"/>
        <v>20601254582</v>
      </c>
    </row>
    <row r="1546" spans="1:7">
      <c r="A1546" s="496">
        <f t="shared" si="74"/>
        <v>1545</v>
      </c>
      <c r="B1546" s="496" t="s">
        <v>1632</v>
      </c>
      <c r="C1546" s="495" t="s">
        <v>77</v>
      </c>
      <c r="D1546" s="497" t="s">
        <v>78</v>
      </c>
      <c r="E1546" s="496" t="str">
        <f t="shared" si="72"/>
        <v>07</v>
      </c>
      <c r="F1546" s="496">
        <v>25717</v>
      </c>
      <c r="G1546" s="496" t="str">
        <f t="shared" si="73"/>
        <v>20554698817</v>
      </c>
    </row>
    <row r="1547" spans="1:7">
      <c r="A1547" s="496">
        <f t="shared" si="74"/>
        <v>1546</v>
      </c>
      <c r="B1547" s="496" t="s">
        <v>1633</v>
      </c>
      <c r="C1547" s="495" t="s">
        <v>82</v>
      </c>
      <c r="D1547" s="497" t="s">
        <v>83</v>
      </c>
      <c r="E1547" s="496" t="str">
        <f t="shared" si="72"/>
        <v>08</v>
      </c>
      <c r="F1547" s="496">
        <v>25718</v>
      </c>
      <c r="G1547" s="496" t="str">
        <f t="shared" si="73"/>
        <v>20557294849</v>
      </c>
    </row>
    <row r="1548" spans="1:7">
      <c r="A1548" s="496">
        <f t="shared" si="74"/>
        <v>1547</v>
      </c>
      <c r="B1548" s="496" t="s">
        <v>1634</v>
      </c>
      <c r="C1548" s="495" t="s">
        <v>85</v>
      </c>
      <c r="D1548" s="497" t="s">
        <v>86</v>
      </c>
      <c r="E1548" s="496" t="str">
        <f t="shared" si="72"/>
        <v>09</v>
      </c>
      <c r="F1548" s="496">
        <v>25719</v>
      </c>
      <c r="G1548" s="496" t="str">
        <f t="shared" si="73"/>
        <v>20563588544</v>
      </c>
    </row>
    <row r="1549" spans="1:7">
      <c r="A1549" s="496">
        <f t="shared" si="74"/>
        <v>1548</v>
      </c>
      <c r="B1549" s="496" t="s">
        <v>1635</v>
      </c>
      <c r="C1549" s="495" t="s">
        <v>88</v>
      </c>
      <c r="D1549" s="497" t="s">
        <v>89</v>
      </c>
      <c r="E1549" s="496" t="str">
        <f t="shared" si="72"/>
        <v>11</v>
      </c>
      <c r="F1549" s="496">
        <v>25720</v>
      </c>
      <c r="G1549" s="496" t="str">
        <f t="shared" si="73"/>
        <v>20544955102</v>
      </c>
    </row>
    <row r="1550" spans="1:7">
      <c r="A1550" s="496">
        <f t="shared" si="74"/>
        <v>1549</v>
      </c>
      <c r="B1550" s="496" t="s">
        <v>1636</v>
      </c>
      <c r="C1550" s="495" t="s">
        <v>91</v>
      </c>
      <c r="D1550" s="497" t="s">
        <v>92</v>
      </c>
      <c r="E1550" s="496" t="str">
        <f t="shared" si="72"/>
        <v>12</v>
      </c>
      <c r="F1550" s="496">
        <v>25724</v>
      </c>
      <c r="G1550" s="496" t="str">
        <f t="shared" si="73"/>
        <v>20555763868</v>
      </c>
    </row>
    <row r="1551" spans="1:7">
      <c r="A1551" s="496">
        <f t="shared" si="74"/>
        <v>1550</v>
      </c>
      <c r="B1551" s="496" t="s">
        <v>1637</v>
      </c>
      <c r="C1551" s="495" t="s">
        <v>77</v>
      </c>
      <c r="D1551" s="497" t="s">
        <v>78</v>
      </c>
      <c r="E1551" s="496" t="str">
        <f t="shared" si="72"/>
        <v>07</v>
      </c>
      <c r="F1551" s="496">
        <v>25717</v>
      </c>
      <c r="G1551" s="496" t="str">
        <f t="shared" si="73"/>
        <v>20552349815</v>
      </c>
    </row>
    <row r="1552" spans="1:7">
      <c r="A1552" s="496">
        <f t="shared" si="74"/>
        <v>1551</v>
      </c>
      <c r="B1552" s="496" t="s">
        <v>1638</v>
      </c>
      <c r="C1552" s="495" t="s">
        <v>82</v>
      </c>
      <c r="D1552" s="497" t="s">
        <v>83</v>
      </c>
      <c r="E1552" s="496" t="str">
        <f t="shared" si="72"/>
        <v>08</v>
      </c>
      <c r="F1552" s="496">
        <v>25718</v>
      </c>
      <c r="G1552" s="496" t="str">
        <f t="shared" si="73"/>
        <v>20522890171</v>
      </c>
    </row>
    <row r="1553" spans="1:7">
      <c r="A1553" s="496">
        <f t="shared" si="74"/>
        <v>1552</v>
      </c>
      <c r="B1553" s="496" t="s">
        <v>1639</v>
      </c>
      <c r="C1553" s="495" t="s">
        <v>85</v>
      </c>
      <c r="D1553" s="497" t="s">
        <v>86</v>
      </c>
      <c r="E1553" s="496" t="str">
        <f t="shared" si="72"/>
        <v>09</v>
      </c>
      <c r="F1553" s="496">
        <v>25719</v>
      </c>
      <c r="G1553" s="496" t="str">
        <f t="shared" si="73"/>
        <v>20601272670</v>
      </c>
    </row>
    <row r="1554" spans="1:7">
      <c r="A1554" s="496">
        <f t="shared" si="74"/>
        <v>1553</v>
      </c>
      <c r="B1554" s="496" t="s">
        <v>1640</v>
      </c>
      <c r="C1554" s="495" t="s">
        <v>88</v>
      </c>
      <c r="D1554" s="497" t="s">
        <v>89</v>
      </c>
      <c r="E1554" s="496" t="str">
        <f t="shared" si="72"/>
        <v>11</v>
      </c>
      <c r="F1554" s="496">
        <v>25720</v>
      </c>
      <c r="G1554" s="496" t="str">
        <f t="shared" si="73"/>
        <v>20601284791</v>
      </c>
    </row>
    <row r="1555" spans="1:7">
      <c r="A1555" s="496">
        <f t="shared" si="74"/>
        <v>1554</v>
      </c>
      <c r="B1555" s="496" t="s">
        <v>1641</v>
      </c>
      <c r="C1555" s="495" t="s">
        <v>91</v>
      </c>
      <c r="D1555" s="497" t="s">
        <v>92</v>
      </c>
      <c r="E1555" s="496" t="str">
        <f t="shared" si="72"/>
        <v>12</v>
      </c>
      <c r="F1555" s="496">
        <v>25724</v>
      </c>
      <c r="G1555" s="496" t="str">
        <f t="shared" si="73"/>
        <v>20601332222</v>
      </c>
    </row>
    <row r="1556" spans="1:7">
      <c r="A1556" s="496">
        <f t="shared" si="74"/>
        <v>1555</v>
      </c>
      <c r="B1556" s="496" t="s">
        <v>1642</v>
      </c>
      <c r="C1556" s="495" t="s">
        <v>77</v>
      </c>
      <c r="D1556" s="497" t="s">
        <v>78</v>
      </c>
      <c r="E1556" s="496" t="str">
        <f t="shared" si="72"/>
        <v>07</v>
      </c>
      <c r="F1556" s="496">
        <v>25717</v>
      </c>
      <c r="G1556" s="496" t="str">
        <f t="shared" si="73"/>
        <v>20554062785</v>
      </c>
    </row>
    <row r="1557" spans="1:7">
      <c r="A1557" s="496">
        <f t="shared" si="74"/>
        <v>1556</v>
      </c>
      <c r="B1557" s="496" t="s">
        <v>1643</v>
      </c>
      <c r="C1557" s="495" t="s">
        <v>82</v>
      </c>
      <c r="D1557" s="497" t="s">
        <v>83</v>
      </c>
      <c r="E1557" s="496" t="str">
        <f t="shared" si="72"/>
        <v>08</v>
      </c>
      <c r="F1557" s="496">
        <v>25718</v>
      </c>
      <c r="G1557" s="496" t="str">
        <f t="shared" si="73"/>
        <v>20545026725</v>
      </c>
    </row>
    <row r="1558" spans="1:7">
      <c r="A1558" s="496">
        <f t="shared" si="74"/>
        <v>1557</v>
      </c>
      <c r="B1558" s="496" t="s">
        <v>1644</v>
      </c>
      <c r="C1558" s="495" t="s">
        <v>85</v>
      </c>
      <c r="D1558" s="497" t="s">
        <v>86</v>
      </c>
      <c r="E1558" s="496" t="str">
        <f t="shared" si="72"/>
        <v>09</v>
      </c>
      <c r="F1558" s="496">
        <v>25719</v>
      </c>
      <c r="G1558" s="496" t="str">
        <f t="shared" si="73"/>
        <v>20565337298</v>
      </c>
    </row>
    <row r="1559" spans="1:7">
      <c r="A1559" s="496">
        <f t="shared" si="74"/>
        <v>1558</v>
      </c>
      <c r="B1559" s="496" t="s">
        <v>1645</v>
      </c>
      <c r="C1559" s="495" t="s">
        <v>88</v>
      </c>
      <c r="D1559" s="497" t="s">
        <v>89</v>
      </c>
      <c r="E1559" s="496" t="str">
        <f t="shared" si="72"/>
        <v>11</v>
      </c>
      <c r="F1559" s="496">
        <v>25720</v>
      </c>
      <c r="G1559" s="496" t="str">
        <f t="shared" si="73"/>
        <v>20600703499</v>
      </c>
    </row>
    <row r="1560" spans="1:7">
      <c r="A1560" s="496">
        <f t="shared" si="74"/>
        <v>1559</v>
      </c>
      <c r="B1560" s="496" t="s">
        <v>1646</v>
      </c>
      <c r="C1560" s="495" t="s">
        <v>91</v>
      </c>
      <c r="D1560" s="497" t="s">
        <v>92</v>
      </c>
      <c r="E1560" s="496" t="str">
        <f t="shared" si="72"/>
        <v>12</v>
      </c>
      <c r="F1560" s="496">
        <v>25724</v>
      </c>
      <c r="G1560" s="496" t="str">
        <f t="shared" si="73"/>
        <v>20559902048</v>
      </c>
    </row>
    <row r="1561" spans="1:7">
      <c r="A1561" s="496">
        <f t="shared" si="74"/>
        <v>1560</v>
      </c>
      <c r="B1561" s="496" t="s">
        <v>1647</v>
      </c>
      <c r="C1561" s="495" t="s">
        <v>77</v>
      </c>
      <c r="D1561" s="497" t="s">
        <v>78</v>
      </c>
      <c r="E1561" s="496" t="str">
        <f t="shared" si="72"/>
        <v>07</v>
      </c>
      <c r="F1561" s="496">
        <v>25717</v>
      </c>
      <c r="G1561" s="496" t="str">
        <f t="shared" si="73"/>
        <v>20537464543</v>
      </c>
    </row>
    <row r="1562" spans="1:7">
      <c r="A1562" s="496">
        <f t="shared" si="74"/>
        <v>1561</v>
      </c>
      <c r="B1562" s="496" t="s">
        <v>1648</v>
      </c>
      <c r="C1562" s="495" t="s">
        <v>82</v>
      </c>
      <c r="D1562" s="497" t="s">
        <v>83</v>
      </c>
      <c r="E1562" s="496" t="str">
        <f t="shared" si="72"/>
        <v>08</v>
      </c>
      <c r="F1562" s="496">
        <v>25718</v>
      </c>
      <c r="G1562" s="496" t="str">
        <f t="shared" si="73"/>
        <v>20478963719</v>
      </c>
    </row>
    <row r="1563" spans="1:7">
      <c r="A1563" s="496">
        <f t="shared" si="74"/>
        <v>1562</v>
      </c>
      <c r="B1563" s="496" t="s">
        <v>1649</v>
      </c>
      <c r="C1563" s="495" t="s">
        <v>85</v>
      </c>
      <c r="D1563" s="497" t="s">
        <v>86</v>
      </c>
      <c r="E1563" s="496" t="str">
        <f t="shared" si="72"/>
        <v>09</v>
      </c>
      <c r="F1563" s="496">
        <v>25719</v>
      </c>
      <c r="G1563" s="496" t="str">
        <f t="shared" si="73"/>
        <v>20518153278</v>
      </c>
    </row>
    <row r="1564" spans="1:7">
      <c r="A1564" s="496">
        <f t="shared" si="74"/>
        <v>1563</v>
      </c>
      <c r="B1564" s="496" t="s">
        <v>1650</v>
      </c>
      <c r="C1564" s="495" t="s">
        <v>88</v>
      </c>
      <c r="D1564" s="497" t="s">
        <v>89</v>
      </c>
      <c r="E1564" s="496" t="str">
        <f t="shared" si="72"/>
        <v>11</v>
      </c>
      <c r="F1564" s="496">
        <v>25720</v>
      </c>
      <c r="G1564" s="496" t="str">
        <f t="shared" si="73"/>
        <v>20563343193</v>
      </c>
    </row>
    <row r="1565" spans="1:7">
      <c r="A1565" s="496">
        <f t="shared" si="74"/>
        <v>1564</v>
      </c>
      <c r="B1565" s="496" t="s">
        <v>1651</v>
      </c>
      <c r="C1565" s="495" t="s">
        <v>91</v>
      </c>
      <c r="D1565" s="497" t="s">
        <v>92</v>
      </c>
      <c r="E1565" s="496" t="str">
        <f t="shared" si="72"/>
        <v>12</v>
      </c>
      <c r="F1565" s="496">
        <v>25724</v>
      </c>
      <c r="G1565" s="496" t="str">
        <f t="shared" si="73"/>
        <v>20481464499</v>
      </c>
    </row>
    <row r="1566" spans="1:7">
      <c r="A1566" s="496">
        <f t="shared" si="74"/>
        <v>1565</v>
      </c>
      <c r="B1566" s="496" t="s">
        <v>1652</v>
      </c>
      <c r="C1566" s="495" t="s">
        <v>77</v>
      </c>
      <c r="D1566" s="497" t="s">
        <v>78</v>
      </c>
      <c r="E1566" s="496" t="str">
        <f t="shared" si="72"/>
        <v>07</v>
      </c>
      <c r="F1566" s="496">
        <v>25717</v>
      </c>
      <c r="G1566" s="496" t="str">
        <f t="shared" si="73"/>
        <v>20477542833</v>
      </c>
    </row>
    <row r="1567" spans="1:7">
      <c r="A1567" s="496">
        <f t="shared" si="74"/>
        <v>1566</v>
      </c>
      <c r="B1567" s="496" t="s">
        <v>1653</v>
      </c>
      <c r="C1567" s="495" t="s">
        <v>82</v>
      </c>
      <c r="D1567" s="497" t="s">
        <v>83</v>
      </c>
      <c r="E1567" s="496" t="str">
        <f t="shared" si="72"/>
        <v>08</v>
      </c>
      <c r="F1567" s="496">
        <v>25718</v>
      </c>
      <c r="G1567" s="496" t="str">
        <f t="shared" si="73"/>
        <v>20539927494</v>
      </c>
    </row>
    <row r="1568" spans="1:7">
      <c r="A1568" s="496">
        <f t="shared" si="74"/>
        <v>1567</v>
      </c>
      <c r="B1568" s="496" t="s">
        <v>1654</v>
      </c>
      <c r="C1568" s="495" t="s">
        <v>85</v>
      </c>
      <c r="D1568" s="497" t="s">
        <v>86</v>
      </c>
      <c r="E1568" s="496" t="str">
        <f t="shared" si="72"/>
        <v>09</v>
      </c>
      <c r="F1568" s="496">
        <v>25719</v>
      </c>
      <c r="G1568" s="496" t="str">
        <f t="shared" si="73"/>
        <v>20481661057</v>
      </c>
    </row>
    <row r="1569" spans="1:7">
      <c r="A1569" s="496">
        <f t="shared" si="74"/>
        <v>1568</v>
      </c>
      <c r="B1569" s="496" t="s">
        <v>1655</v>
      </c>
      <c r="C1569" s="495" t="s">
        <v>91</v>
      </c>
      <c r="D1569" s="497" t="s">
        <v>92</v>
      </c>
      <c r="E1569" s="496" t="str">
        <f t="shared" si="72"/>
        <v>12</v>
      </c>
      <c r="F1569" s="496">
        <v>25724</v>
      </c>
      <c r="G1569" s="496" t="str">
        <f t="shared" si="73"/>
        <v>20510246307</v>
      </c>
    </row>
    <row r="1570" spans="1:7">
      <c r="A1570" s="496">
        <f t="shared" si="74"/>
        <v>1569</v>
      </c>
      <c r="B1570" s="496" t="s">
        <v>1656</v>
      </c>
      <c r="C1570" s="495" t="s">
        <v>77</v>
      </c>
      <c r="D1570" s="497" t="s">
        <v>78</v>
      </c>
      <c r="E1570" s="496" t="str">
        <f t="shared" si="72"/>
        <v>07</v>
      </c>
      <c r="F1570" s="496">
        <v>25717</v>
      </c>
      <c r="G1570" s="496" t="str">
        <f t="shared" si="73"/>
        <v>20511721912</v>
      </c>
    </row>
    <row r="1571" spans="1:7">
      <c r="A1571" s="496">
        <f t="shared" si="74"/>
        <v>1570</v>
      </c>
      <c r="B1571" s="496" t="s">
        <v>1657</v>
      </c>
      <c r="C1571" s="495" t="s">
        <v>82</v>
      </c>
      <c r="D1571" s="497" t="s">
        <v>83</v>
      </c>
      <c r="E1571" s="496" t="str">
        <f t="shared" si="72"/>
        <v>08</v>
      </c>
      <c r="F1571" s="496">
        <v>25718</v>
      </c>
      <c r="G1571" s="496" t="str">
        <f t="shared" si="73"/>
        <v>20512638393</v>
      </c>
    </row>
    <row r="1572" spans="1:7">
      <c r="A1572" s="496">
        <f t="shared" si="74"/>
        <v>1571</v>
      </c>
      <c r="B1572" s="496" t="s">
        <v>1658</v>
      </c>
      <c r="C1572" s="495" t="s">
        <v>85</v>
      </c>
      <c r="D1572" s="497" t="s">
        <v>86</v>
      </c>
      <c r="E1572" s="496" t="str">
        <f t="shared" si="72"/>
        <v>09</v>
      </c>
      <c r="F1572" s="496">
        <v>25719</v>
      </c>
      <c r="G1572" s="496" t="str">
        <f t="shared" si="73"/>
        <v>20514469505</v>
      </c>
    </row>
    <row r="1573" spans="1:7">
      <c r="A1573" s="496">
        <f t="shared" si="74"/>
        <v>1572</v>
      </c>
      <c r="B1573" s="496" t="s">
        <v>1659</v>
      </c>
      <c r="C1573" s="495" t="s">
        <v>88</v>
      </c>
      <c r="D1573" s="497" t="s">
        <v>89</v>
      </c>
      <c r="E1573" s="496" t="str">
        <f t="shared" si="72"/>
        <v>11</v>
      </c>
      <c r="F1573" s="496">
        <v>25720</v>
      </c>
      <c r="G1573" s="496" t="str">
        <f t="shared" si="73"/>
        <v>20556406881</v>
      </c>
    </row>
    <row r="1574" spans="1:7">
      <c r="A1574" s="496">
        <f t="shared" si="74"/>
        <v>1573</v>
      </c>
      <c r="B1574" s="496" t="s">
        <v>1660</v>
      </c>
      <c r="C1574" s="495" t="s">
        <v>88</v>
      </c>
      <c r="D1574" s="497" t="s">
        <v>89</v>
      </c>
      <c r="E1574" s="496" t="str">
        <f t="shared" si="72"/>
        <v>11</v>
      </c>
      <c r="F1574" s="496">
        <v>25720</v>
      </c>
      <c r="G1574" s="496" t="str">
        <f t="shared" si="73"/>
        <v>20566385989</v>
      </c>
    </row>
    <row r="1575" spans="1:7">
      <c r="A1575" s="496">
        <f t="shared" si="74"/>
        <v>1574</v>
      </c>
      <c r="B1575" s="496" t="s">
        <v>1661</v>
      </c>
      <c r="C1575" s="495" t="s">
        <v>91</v>
      </c>
      <c r="D1575" s="497" t="s">
        <v>92</v>
      </c>
      <c r="E1575" s="496" t="str">
        <f t="shared" si="72"/>
        <v>12</v>
      </c>
      <c r="F1575" s="496">
        <v>25724</v>
      </c>
      <c r="G1575" s="496" t="str">
        <f t="shared" si="73"/>
        <v>20600686691</v>
      </c>
    </row>
    <row r="1576" spans="1:7">
      <c r="A1576" s="496">
        <f t="shared" si="74"/>
        <v>1575</v>
      </c>
      <c r="B1576" s="496" t="s">
        <v>1662</v>
      </c>
      <c r="C1576" s="495" t="s">
        <v>91</v>
      </c>
      <c r="D1576" s="497" t="s">
        <v>92</v>
      </c>
      <c r="E1576" s="496" t="str">
        <f t="shared" si="72"/>
        <v>12</v>
      </c>
      <c r="F1576" s="496">
        <v>25724</v>
      </c>
      <c r="G1576" s="496" t="str">
        <f t="shared" si="73"/>
        <v>20329973256</v>
      </c>
    </row>
    <row r="1577" spans="1:7">
      <c r="A1577" s="496">
        <f t="shared" si="74"/>
        <v>1576</v>
      </c>
      <c r="B1577" s="496" t="s">
        <v>1663</v>
      </c>
      <c r="C1577" s="495" t="s">
        <v>77</v>
      </c>
      <c r="D1577" s="497" t="s">
        <v>78</v>
      </c>
      <c r="E1577" s="496" t="str">
        <f t="shared" si="72"/>
        <v>07</v>
      </c>
      <c r="F1577" s="496">
        <v>25717</v>
      </c>
      <c r="G1577" s="496" t="str">
        <f t="shared" si="73"/>
        <v>20100054184</v>
      </c>
    </row>
    <row r="1578" spans="1:7">
      <c r="A1578" s="496">
        <f t="shared" si="74"/>
        <v>1577</v>
      </c>
      <c r="B1578" s="496" t="s">
        <v>1664</v>
      </c>
      <c r="C1578" s="495" t="s">
        <v>77</v>
      </c>
      <c r="D1578" s="497" t="s">
        <v>78</v>
      </c>
      <c r="E1578" s="496" t="str">
        <f t="shared" si="72"/>
        <v>07</v>
      </c>
      <c r="F1578" s="496">
        <v>25717</v>
      </c>
      <c r="G1578" s="496" t="str">
        <f t="shared" si="73"/>
        <v>20568326963</v>
      </c>
    </row>
    <row r="1579" spans="1:7">
      <c r="A1579" s="496">
        <f t="shared" si="74"/>
        <v>1578</v>
      </c>
      <c r="B1579" s="496" t="s">
        <v>1665</v>
      </c>
      <c r="C1579" s="495" t="s">
        <v>82</v>
      </c>
      <c r="D1579" s="497" t="s">
        <v>83</v>
      </c>
      <c r="E1579" s="496" t="str">
        <f t="shared" si="72"/>
        <v>08</v>
      </c>
      <c r="F1579" s="496">
        <v>25718</v>
      </c>
      <c r="G1579" s="496" t="str">
        <f t="shared" si="73"/>
        <v>20408809682</v>
      </c>
    </row>
    <row r="1580" spans="1:7">
      <c r="A1580" s="496">
        <f t="shared" si="74"/>
        <v>1579</v>
      </c>
      <c r="B1580" s="496" t="s">
        <v>1666</v>
      </c>
      <c r="C1580" s="495" t="s">
        <v>85</v>
      </c>
      <c r="D1580" s="497" t="s">
        <v>86</v>
      </c>
      <c r="E1580" s="496" t="str">
        <f t="shared" si="72"/>
        <v>09</v>
      </c>
      <c r="F1580" s="496">
        <v>25719</v>
      </c>
      <c r="G1580" s="496" t="str">
        <f t="shared" si="73"/>
        <v>20601194164</v>
      </c>
    </row>
    <row r="1581" spans="1:7">
      <c r="A1581" s="496">
        <f t="shared" si="74"/>
        <v>1580</v>
      </c>
      <c r="B1581" s="496" t="s">
        <v>1667</v>
      </c>
      <c r="C1581" s="495" t="s">
        <v>88</v>
      </c>
      <c r="D1581" s="497" t="s">
        <v>89</v>
      </c>
      <c r="E1581" s="496" t="str">
        <f t="shared" si="72"/>
        <v>11</v>
      </c>
      <c r="F1581" s="496">
        <v>25720</v>
      </c>
      <c r="G1581" s="496" t="str">
        <f t="shared" si="73"/>
        <v>20551455476</v>
      </c>
    </row>
    <row r="1582" spans="1:7">
      <c r="A1582" s="496">
        <f t="shared" si="74"/>
        <v>1581</v>
      </c>
      <c r="B1582" s="496" t="s">
        <v>1668</v>
      </c>
      <c r="C1582" s="495" t="s">
        <v>91</v>
      </c>
      <c r="D1582" s="497" t="s">
        <v>92</v>
      </c>
      <c r="E1582" s="496" t="str">
        <f t="shared" si="72"/>
        <v>12</v>
      </c>
      <c r="F1582" s="496">
        <v>25724</v>
      </c>
      <c r="G1582" s="496" t="str">
        <f t="shared" si="73"/>
        <v>20418686350</v>
      </c>
    </row>
    <row r="1583" spans="1:7">
      <c r="A1583" s="496">
        <f t="shared" si="74"/>
        <v>1582</v>
      </c>
      <c r="B1583" s="496" t="s">
        <v>1669</v>
      </c>
      <c r="C1583" s="495" t="s">
        <v>82</v>
      </c>
      <c r="D1583" s="497" t="s">
        <v>83</v>
      </c>
      <c r="E1583" s="496" t="str">
        <f t="shared" si="72"/>
        <v>08</v>
      </c>
      <c r="F1583" s="496">
        <v>25718</v>
      </c>
      <c r="G1583" s="496" t="str">
        <f t="shared" si="73"/>
        <v>20600703723</v>
      </c>
    </row>
    <row r="1584" spans="1:7">
      <c r="A1584" s="496">
        <f t="shared" si="74"/>
        <v>1583</v>
      </c>
      <c r="B1584" s="496" t="s">
        <v>1670</v>
      </c>
      <c r="C1584" s="495" t="s">
        <v>85</v>
      </c>
      <c r="D1584" s="497" t="s">
        <v>86</v>
      </c>
      <c r="E1584" s="496" t="str">
        <f t="shared" si="72"/>
        <v>09</v>
      </c>
      <c r="F1584" s="496">
        <v>25719</v>
      </c>
      <c r="G1584" s="496" t="str">
        <f t="shared" si="73"/>
        <v>20334461875</v>
      </c>
    </row>
    <row r="1585" spans="1:7">
      <c r="A1585" s="496">
        <f t="shared" si="74"/>
        <v>1584</v>
      </c>
      <c r="B1585" s="496" t="s">
        <v>1671</v>
      </c>
      <c r="C1585" s="495" t="s">
        <v>88</v>
      </c>
      <c r="D1585" s="497" t="s">
        <v>89</v>
      </c>
      <c r="E1585" s="496" t="str">
        <f t="shared" si="72"/>
        <v>11</v>
      </c>
      <c r="F1585" s="496">
        <v>25720</v>
      </c>
      <c r="G1585" s="496" t="str">
        <f t="shared" si="73"/>
        <v>20549510940</v>
      </c>
    </row>
    <row r="1586" spans="1:7">
      <c r="A1586" s="496">
        <f t="shared" si="74"/>
        <v>1585</v>
      </c>
      <c r="B1586" s="496" t="s">
        <v>1672</v>
      </c>
      <c r="C1586" s="495" t="s">
        <v>91</v>
      </c>
      <c r="D1586" s="497" t="s">
        <v>92</v>
      </c>
      <c r="E1586" s="496" t="str">
        <f t="shared" si="72"/>
        <v>12</v>
      </c>
      <c r="F1586" s="496">
        <v>25724</v>
      </c>
      <c r="G1586" s="496" t="str">
        <f t="shared" si="73"/>
        <v>20129531275</v>
      </c>
    </row>
    <row r="1587" spans="1:7">
      <c r="A1587" s="496">
        <f t="shared" si="74"/>
        <v>1586</v>
      </c>
      <c r="B1587" s="496" t="s">
        <v>1673</v>
      </c>
      <c r="C1587" s="495" t="s">
        <v>77</v>
      </c>
      <c r="D1587" s="497" t="s">
        <v>78</v>
      </c>
      <c r="E1587" s="496" t="str">
        <f t="shared" si="72"/>
        <v>07</v>
      </c>
      <c r="F1587" s="496">
        <v>25717</v>
      </c>
      <c r="G1587" s="496" t="str">
        <f t="shared" si="73"/>
        <v>20218339167</v>
      </c>
    </row>
    <row r="1588" spans="1:7">
      <c r="A1588" s="496">
        <f t="shared" si="74"/>
        <v>1587</v>
      </c>
      <c r="B1588" s="496" t="s">
        <v>1674</v>
      </c>
      <c r="C1588" s="495" t="s">
        <v>82</v>
      </c>
      <c r="D1588" s="497" t="s">
        <v>83</v>
      </c>
      <c r="E1588" s="496" t="str">
        <f t="shared" si="72"/>
        <v>08</v>
      </c>
      <c r="F1588" s="496">
        <v>25718</v>
      </c>
      <c r="G1588" s="496" t="str">
        <f t="shared" si="73"/>
        <v>20279889208</v>
      </c>
    </row>
    <row r="1589" spans="1:7">
      <c r="A1589" s="496">
        <f t="shared" si="74"/>
        <v>1588</v>
      </c>
      <c r="B1589" s="496" t="s">
        <v>1675</v>
      </c>
      <c r="C1589" s="495" t="s">
        <v>85</v>
      </c>
      <c r="D1589" s="497" t="s">
        <v>86</v>
      </c>
      <c r="E1589" s="496" t="str">
        <f t="shared" si="72"/>
        <v>09</v>
      </c>
      <c r="F1589" s="496">
        <v>25719</v>
      </c>
      <c r="G1589" s="496" t="str">
        <f t="shared" si="73"/>
        <v>20103117560</v>
      </c>
    </row>
    <row r="1590" spans="1:7">
      <c r="A1590" s="496">
        <f t="shared" si="74"/>
        <v>1589</v>
      </c>
      <c r="B1590" s="496" t="s">
        <v>1676</v>
      </c>
      <c r="C1590" s="495" t="s">
        <v>88</v>
      </c>
      <c r="D1590" s="497" t="s">
        <v>89</v>
      </c>
      <c r="E1590" s="496" t="str">
        <f t="shared" si="72"/>
        <v>11</v>
      </c>
      <c r="F1590" s="496">
        <v>25720</v>
      </c>
      <c r="G1590" s="496" t="str">
        <f t="shared" si="73"/>
        <v>20232236273</v>
      </c>
    </row>
    <row r="1591" spans="1:7">
      <c r="A1591" s="496">
        <f t="shared" si="74"/>
        <v>1590</v>
      </c>
      <c r="B1591" s="496" t="s">
        <v>1677</v>
      </c>
      <c r="C1591" s="495" t="s">
        <v>91</v>
      </c>
      <c r="D1591" s="497" t="s">
        <v>92</v>
      </c>
      <c r="E1591" s="496" t="str">
        <f t="shared" si="72"/>
        <v>12</v>
      </c>
      <c r="F1591" s="496">
        <v>25724</v>
      </c>
      <c r="G1591" s="496" t="str">
        <f t="shared" si="73"/>
        <v>20288529087</v>
      </c>
    </row>
    <row r="1592" spans="1:7">
      <c r="A1592" s="496">
        <f t="shared" si="74"/>
        <v>1591</v>
      </c>
      <c r="B1592" s="496" t="s">
        <v>1678</v>
      </c>
      <c r="C1592" s="495" t="s">
        <v>77</v>
      </c>
      <c r="D1592" s="497" t="s">
        <v>78</v>
      </c>
      <c r="E1592" s="496" t="str">
        <f t="shared" si="72"/>
        <v>07</v>
      </c>
      <c r="F1592" s="496">
        <v>25717</v>
      </c>
      <c r="G1592" s="496" t="str">
        <f t="shared" si="73"/>
        <v>20473955939</v>
      </c>
    </row>
    <row r="1593" spans="1:7">
      <c r="A1593" s="496">
        <f t="shared" si="74"/>
        <v>1592</v>
      </c>
      <c r="B1593" s="496" t="s">
        <v>1679</v>
      </c>
      <c r="C1593" s="495" t="s">
        <v>82</v>
      </c>
      <c r="D1593" s="497" t="s">
        <v>83</v>
      </c>
      <c r="E1593" s="496" t="str">
        <f t="shared" si="72"/>
        <v>08</v>
      </c>
      <c r="F1593" s="496">
        <v>25718</v>
      </c>
      <c r="G1593" s="496" t="str">
        <f t="shared" si="73"/>
        <v>20100116805</v>
      </c>
    </row>
    <row r="1594" spans="1:7">
      <c r="A1594" s="496">
        <f t="shared" si="74"/>
        <v>1593</v>
      </c>
      <c r="B1594" s="496" t="s">
        <v>1680</v>
      </c>
      <c r="C1594" s="495" t="s">
        <v>85</v>
      </c>
      <c r="D1594" s="497" t="s">
        <v>86</v>
      </c>
      <c r="E1594" s="496" t="str">
        <f t="shared" si="72"/>
        <v>09</v>
      </c>
      <c r="F1594" s="496">
        <v>25719</v>
      </c>
      <c r="G1594" s="496" t="str">
        <f t="shared" si="73"/>
        <v>20481509778</v>
      </c>
    </row>
    <row r="1595" spans="1:7">
      <c r="A1595" s="496">
        <f t="shared" si="74"/>
        <v>1594</v>
      </c>
      <c r="B1595" s="496" t="s">
        <v>1681</v>
      </c>
      <c r="C1595" s="495" t="s">
        <v>88</v>
      </c>
      <c r="D1595" s="497" t="s">
        <v>89</v>
      </c>
      <c r="E1595" s="496" t="str">
        <f t="shared" si="72"/>
        <v>11</v>
      </c>
      <c r="F1595" s="496">
        <v>25720</v>
      </c>
      <c r="G1595" s="496" t="str">
        <f t="shared" si="73"/>
        <v>20510704291</v>
      </c>
    </row>
    <row r="1596" spans="1:7">
      <c r="A1596" s="496">
        <f t="shared" si="74"/>
        <v>1595</v>
      </c>
      <c r="B1596" s="496" t="s">
        <v>1682</v>
      </c>
      <c r="C1596" s="495" t="s">
        <v>91</v>
      </c>
      <c r="D1596" s="497" t="s">
        <v>92</v>
      </c>
      <c r="E1596" s="496" t="str">
        <f t="shared" si="72"/>
        <v>12</v>
      </c>
      <c r="F1596" s="496">
        <v>25724</v>
      </c>
      <c r="G1596" s="496" t="str">
        <f t="shared" si="73"/>
        <v>20546191541</v>
      </c>
    </row>
    <row r="1597" spans="1:7">
      <c r="A1597" s="496">
        <f t="shared" si="74"/>
        <v>1596</v>
      </c>
      <c r="B1597" s="496" t="s">
        <v>1683</v>
      </c>
      <c r="C1597" s="495" t="s">
        <v>77</v>
      </c>
      <c r="D1597" s="497" t="s">
        <v>78</v>
      </c>
      <c r="E1597" s="496" t="str">
        <f t="shared" si="72"/>
        <v>07</v>
      </c>
      <c r="F1597" s="496">
        <v>25717</v>
      </c>
      <c r="G1597" s="496" t="str">
        <f t="shared" si="73"/>
        <v>20555723645</v>
      </c>
    </row>
    <row r="1598" spans="1:7">
      <c r="A1598" s="496">
        <f t="shared" si="74"/>
        <v>1597</v>
      </c>
      <c r="B1598" s="496" t="s">
        <v>1684</v>
      </c>
      <c r="C1598" s="495" t="s">
        <v>82</v>
      </c>
      <c r="D1598" s="497" t="s">
        <v>83</v>
      </c>
      <c r="E1598" s="496" t="str">
        <f t="shared" si="72"/>
        <v>08</v>
      </c>
      <c r="F1598" s="496">
        <v>25718</v>
      </c>
      <c r="G1598" s="496" t="str">
        <f t="shared" si="73"/>
        <v>20545764807</v>
      </c>
    </row>
    <row r="1599" spans="1:7">
      <c r="A1599" s="496">
        <f t="shared" si="74"/>
        <v>1598</v>
      </c>
      <c r="B1599" s="496" t="s">
        <v>1685</v>
      </c>
      <c r="C1599" s="495" t="s">
        <v>85</v>
      </c>
      <c r="D1599" s="497" t="s">
        <v>86</v>
      </c>
      <c r="E1599" s="496" t="str">
        <f t="shared" si="72"/>
        <v>09</v>
      </c>
      <c r="F1599" s="496">
        <v>25719</v>
      </c>
      <c r="G1599" s="496" t="str">
        <f t="shared" si="73"/>
        <v>20538243079</v>
      </c>
    </row>
    <row r="1600" spans="1:7">
      <c r="A1600" s="496">
        <f t="shared" si="74"/>
        <v>1599</v>
      </c>
      <c r="B1600" s="496" t="s">
        <v>1686</v>
      </c>
      <c r="C1600" s="495" t="s">
        <v>88</v>
      </c>
      <c r="D1600" s="497" t="s">
        <v>89</v>
      </c>
      <c r="E1600" s="496" t="str">
        <f t="shared" si="72"/>
        <v>11</v>
      </c>
      <c r="F1600" s="496">
        <v>25720</v>
      </c>
      <c r="G1600" s="496" t="str">
        <f t="shared" si="73"/>
        <v>20517749142</v>
      </c>
    </row>
    <row r="1601" spans="1:7">
      <c r="A1601" s="496">
        <f t="shared" si="74"/>
        <v>1600</v>
      </c>
      <c r="B1601" s="496" t="s">
        <v>1687</v>
      </c>
      <c r="C1601" s="495" t="s">
        <v>91</v>
      </c>
      <c r="D1601" s="497" t="s">
        <v>92</v>
      </c>
      <c r="E1601" s="496" t="str">
        <f t="shared" si="72"/>
        <v>12</v>
      </c>
      <c r="F1601" s="496">
        <v>25724</v>
      </c>
      <c r="G1601" s="496" t="str">
        <f t="shared" si="73"/>
        <v>20600323289</v>
      </c>
    </row>
    <row r="1602" spans="1:7">
      <c r="A1602" s="496">
        <f t="shared" si="74"/>
        <v>1601</v>
      </c>
      <c r="B1602" s="496" t="s">
        <v>1688</v>
      </c>
      <c r="C1602" s="495" t="s">
        <v>77</v>
      </c>
      <c r="D1602" s="497" t="s">
        <v>78</v>
      </c>
      <c r="E1602" s="496" t="str">
        <f t="shared" si="72"/>
        <v>07</v>
      </c>
      <c r="F1602" s="496">
        <v>25717</v>
      </c>
      <c r="G1602" s="496" t="str">
        <f t="shared" si="73"/>
        <v>20600934130</v>
      </c>
    </row>
    <row r="1603" spans="1:7">
      <c r="A1603" s="496">
        <f t="shared" si="74"/>
        <v>1602</v>
      </c>
      <c r="B1603" s="496" t="s">
        <v>1689</v>
      </c>
      <c r="C1603" s="495" t="s">
        <v>82</v>
      </c>
      <c r="D1603" s="497" t="s">
        <v>83</v>
      </c>
      <c r="E1603" s="496" t="str">
        <f t="shared" ref="E1603:E1666" si="75">IF(MID(D1603,14,1)="@",MID(D1603,12,2),"0"&amp;MID(D1603,12,1))</f>
        <v>08</v>
      </c>
      <c r="F1603" s="496">
        <v>25718</v>
      </c>
      <c r="G1603" s="496" t="str">
        <f t="shared" ref="G1603:G1666" si="76">CONCATENATE(B1603)</f>
        <v>20143611893</v>
      </c>
    </row>
    <row r="1604" spans="1:7">
      <c r="A1604" s="496">
        <f t="shared" ref="A1604:A1667" si="77">+A1603+1</f>
        <v>1603</v>
      </c>
      <c r="B1604" s="496" t="s">
        <v>1690</v>
      </c>
      <c r="C1604" s="495" t="s">
        <v>85</v>
      </c>
      <c r="D1604" s="497" t="s">
        <v>86</v>
      </c>
      <c r="E1604" s="496" t="str">
        <f t="shared" si="75"/>
        <v>09</v>
      </c>
      <c r="F1604" s="496">
        <v>25719</v>
      </c>
      <c r="G1604" s="496" t="str">
        <f t="shared" si="76"/>
        <v>20518723040</v>
      </c>
    </row>
    <row r="1605" spans="1:7">
      <c r="A1605" s="496">
        <f t="shared" si="77"/>
        <v>1604</v>
      </c>
      <c r="B1605" s="496" t="s">
        <v>1691</v>
      </c>
      <c r="C1605" s="495" t="s">
        <v>88</v>
      </c>
      <c r="D1605" s="497" t="s">
        <v>89</v>
      </c>
      <c r="E1605" s="496" t="str">
        <f t="shared" si="75"/>
        <v>11</v>
      </c>
      <c r="F1605" s="496">
        <v>25720</v>
      </c>
      <c r="G1605" s="496" t="str">
        <f t="shared" si="76"/>
        <v>20600935918</v>
      </c>
    </row>
    <row r="1606" spans="1:7">
      <c r="A1606" s="496">
        <f t="shared" si="77"/>
        <v>1605</v>
      </c>
      <c r="B1606" s="496" t="s">
        <v>1692</v>
      </c>
      <c r="C1606" s="495" t="s">
        <v>91</v>
      </c>
      <c r="D1606" s="497" t="s">
        <v>92</v>
      </c>
      <c r="E1606" s="496" t="str">
        <f t="shared" si="75"/>
        <v>12</v>
      </c>
      <c r="F1606" s="496">
        <v>25724</v>
      </c>
      <c r="G1606" s="496" t="str">
        <f t="shared" si="76"/>
        <v>20554347607</v>
      </c>
    </row>
    <row r="1607" spans="1:7">
      <c r="A1607" s="496">
        <f t="shared" si="77"/>
        <v>1606</v>
      </c>
      <c r="B1607" s="496" t="s">
        <v>1693</v>
      </c>
      <c r="C1607" s="495" t="s">
        <v>77</v>
      </c>
      <c r="D1607" s="497" t="s">
        <v>78</v>
      </c>
      <c r="E1607" s="496" t="str">
        <f t="shared" si="75"/>
        <v>07</v>
      </c>
      <c r="F1607" s="496">
        <v>25717</v>
      </c>
      <c r="G1607" s="496" t="str">
        <f t="shared" si="76"/>
        <v>20492925030</v>
      </c>
    </row>
    <row r="1608" spans="1:7">
      <c r="A1608" s="496">
        <f t="shared" si="77"/>
        <v>1607</v>
      </c>
      <c r="B1608" s="496" t="s">
        <v>1694</v>
      </c>
      <c r="C1608" s="495" t="s">
        <v>82</v>
      </c>
      <c r="D1608" s="497" t="s">
        <v>83</v>
      </c>
      <c r="E1608" s="496" t="str">
        <f t="shared" si="75"/>
        <v>08</v>
      </c>
      <c r="F1608" s="496">
        <v>25718</v>
      </c>
      <c r="G1608" s="496" t="str">
        <f t="shared" si="76"/>
        <v>20517270297</v>
      </c>
    </row>
    <row r="1609" spans="1:7">
      <c r="A1609" s="496">
        <f t="shared" si="77"/>
        <v>1608</v>
      </c>
      <c r="B1609" s="496" t="s">
        <v>1695</v>
      </c>
      <c r="C1609" s="495" t="s">
        <v>85</v>
      </c>
      <c r="D1609" s="497" t="s">
        <v>86</v>
      </c>
      <c r="E1609" s="496" t="str">
        <f t="shared" si="75"/>
        <v>09</v>
      </c>
      <c r="F1609" s="496">
        <v>25719</v>
      </c>
      <c r="G1609" s="496" t="str">
        <f t="shared" si="76"/>
        <v>20563587220</v>
      </c>
    </row>
    <row r="1610" spans="1:7">
      <c r="A1610" s="496">
        <f t="shared" si="77"/>
        <v>1609</v>
      </c>
      <c r="B1610" s="496" t="s">
        <v>1696</v>
      </c>
      <c r="C1610" s="495" t="s">
        <v>88</v>
      </c>
      <c r="D1610" s="497" t="s">
        <v>89</v>
      </c>
      <c r="E1610" s="496" t="str">
        <f t="shared" si="75"/>
        <v>11</v>
      </c>
      <c r="F1610" s="496">
        <v>25720</v>
      </c>
      <c r="G1610" s="496" t="str">
        <f t="shared" si="76"/>
        <v>20554066349</v>
      </c>
    </row>
    <row r="1611" spans="1:7">
      <c r="A1611" s="496">
        <f t="shared" si="77"/>
        <v>1610</v>
      </c>
      <c r="B1611" s="496" t="s">
        <v>1697</v>
      </c>
      <c r="C1611" s="495" t="s">
        <v>91</v>
      </c>
      <c r="D1611" s="497" t="s">
        <v>92</v>
      </c>
      <c r="E1611" s="496" t="str">
        <f t="shared" si="75"/>
        <v>12</v>
      </c>
      <c r="F1611" s="496">
        <v>25724</v>
      </c>
      <c r="G1611" s="496" t="str">
        <f t="shared" si="76"/>
        <v>20524522871</v>
      </c>
    </row>
    <row r="1612" spans="1:7">
      <c r="A1612" s="496">
        <f t="shared" si="77"/>
        <v>1611</v>
      </c>
      <c r="B1612" s="496" t="s">
        <v>1698</v>
      </c>
      <c r="C1612" s="495" t="s">
        <v>77</v>
      </c>
      <c r="D1612" s="497" t="s">
        <v>78</v>
      </c>
      <c r="E1612" s="496" t="str">
        <f t="shared" si="75"/>
        <v>07</v>
      </c>
      <c r="F1612" s="496">
        <v>25717</v>
      </c>
      <c r="G1612" s="496" t="str">
        <f t="shared" si="76"/>
        <v>20480901844</v>
      </c>
    </row>
    <row r="1613" spans="1:7">
      <c r="A1613" s="496">
        <f t="shared" si="77"/>
        <v>1612</v>
      </c>
      <c r="B1613" s="496" t="s">
        <v>1699</v>
      </c>
      <c r="C1613" s="495" t="s">
        <v>82</v>
      </c>
      <c r="D1613" s="497" t="s">
        <v>83</v>
      </c>
      <c r="E1613" s="496" t="str">
        <f t="shared" si="75"/>
        <v>08</v>
      </c>
      <c r="F1613" s="496">
        <v>25718</v>
      </c>
      <c r="G1613" s="496" t="str">
        <f t="shared" si="76"/>
        <v>20525019200</v>
      </c>
    </row>
    <row r="1614" spans="1:7">
      <c r="A1614" s="496">
        <f t="shared" si="77"/>
        <v>1613</v>
      </c>
      <c r="B1614" s="496" t="s">
        <v>1700</v>
      </c>
      <c r="C1614" s="495" t="s">
        <v>85</v>
      </c>
      <c r="D1614" s="497" t="s">
        <v>86</v>
      </c>
      <c r="E1614" s="496" t="str">
        <f t="shared" si="75"/>
        <v>09</v>
      </c>
      <c r="F1614" s="496">
        <v>25719</v>
      </c>
      <c r="G1614" s="496" t="str">
        <f t="shared" si="76"/>
        <v>20513120584</v>
      </c>
    </row>
    <row r="1615" spans="1:7">
      <c r="A1615" s="496">
        <f t="shared" si="77"/>
        <v>1614</v>
      </c>
      <c r="B1615" s="496" t="s">
        <v>1701</v>
      </c>
      <c r="C1615" s="495" t="s">
        <v>88</v>
      </c>
      <c r="D1615" s="497" t="s">
        <v>89</v>
      </c>
      <c r="E1615" s="496" t="str">
        <f t="shared" si="75"/>
        <v>11</v>
      </c>
      <c r="F1615" s="496">
        <v>25720</v>
      </c>
      <c r="G1615" s="496" t="str">
        <f t="shared" si="76"/>
        <v>20389177220</v>
      </c>
    </row>
    <row r="1616" spans="1:7">
      <c r="A1616" s="496">
        <f t="shared" si="77"/>
        <v>1615</v>
      </c>
      <c r="B1616" s="496" t="s">
        <v>1702</v>
      </c>
      <c r="C1616" s="495" t="s">
        <v>91</v>
      </c>
      <c r="D1616" s="497" t="s">
        <v>92</v>
      </c>
      <c r="E1616" s="496" t="str">
        <f t="shared" si="75"/>
        <v>12</v>
      </c>
      <c r="F1616" s="496">
        <v>25724</v>
      </c>
      <c r="G1616" s="496" t="str">
        <f t="shared" si="76"/>
        <v>20106903230</v>
      </c>
    </row>
    <row r="1617" spans="1:7">
      <c r="A1617" s="496">
        <f t="shared" si="77"/>
        <v>1616</v>
      </c>
      <c r="B1617" s="496" t="s">
        <v>1703</v>
      </c>
      <c r="C1617" s="495" t="s">
        <v>77</v>
      </c>
      <c r="D1617" s="497" t="s">
        <v>78</v>
      </c>
      <c r="E1617" s="496" t="str">
        <f t="shared" si="75"/>
        <v>07</v>
      </c>
      <c r="F1617" s="496">
        <v>25717</v>
      </c>
      <c r="G1617" s="496" t="str">
        <f t="shared" si="76"/>
        <v>20556295876</v>
      </c>
    </row>
    <row r="1618" spans="1:7">
      <c r="A1618" s="496">
        <f t="shared" si="77"/>
        <v>1617</v>
      </c>
      <c r="B1618" s="496" t="s">
        <v>1704</v>
      </c>
      <c r="C1618" s="495" t="s">
        <v>82</v>
      </c>
      <c r="D1618" s="497" t="s">
        <v>83</v>
      </c>
      <c r="E1618" s="496" t="str">
        <f t="shared" si="75"/>
        <v>08</v>
      </c>
      <c r="F1618" s="496">
        <v>25718</v>
      </c>
      <c r="G1618" s="496" t="str">
        <f t="shared" si="76"/>
        <v>20253757931</v>
      </c>
    </row>
    <row r="1619" spans="1:7">
      <c r="A1619" s="496">
        <f t="shared" si="77"/>
        <v>1618</v>
      </c>
      <c r="B1619" s="496" t="s">
        <v>1705</v>
      </c>
      <c r="C1619" s="495" t="s">
        <v>85</v>
      </c>
      <c r="D1619" s="497" t="s">
        <v>86</v>
      </c>
      <c r="E1619" s="496" t="str">
        <f t="shared" si="75"/>
        <v>09</v>
      </c>
      <c r="F1619" s="496">
        <v>25719</v>
      </c>
      <c r="G1619" s="496" t="str">
        <f t="shared" si="76"/>
        <v>20518685016</v>
      </c>
    </row>
    <row r="1620" spans="1:7">
      <c r="A1620" s="496">
        <f t="shared" si="77"/>
        <v>1619</v>
      </c>
      <c r="B1620" s="496" t="s">
        <v>1706</v>
      </c>
      <c r="C1620" s="495" t="s">
        <v>88</v>
      </c>
      <c r="D1620" s="497" t="s">
        <v>89</v>
      </c>
      <c r="E1620" s="496" t="str">
        <f t="shared" si="75"/>
        <v>11</v>
      </c>
      <c r="F1620" s="496">
        <v>25720</v>
      </c>
      <c r="G1620" s="496" t="str">
        <f t="shared" si="76"/>
        <v>20536742248</v>
      </c>
    </row>
    <row r="1621" spans="1:7">
      <c r="A1621" s="496">
        <f t="shared" si="77"/>
        <v>1620</v>
      </c>
      <c r="B1621" s="496" t="s">
        <v>1707</v>
      </c>
      <c r="C1621" s="495" t="s">
        <v>91</v>
      </c>
      <c r="D1621" s="497" t="s">
        <v>92</v>
      </c>
      <c r="E1621" s="496" t="str">
        <f t="shared" si="75"/>
        <v>12</v>
      </c>
      <c r="F1621" s="496">
        <v>25724</v>
      </c>
      <c r="G1621" s="496" t="str">
        <f t="shared" si="76"/>
        <v>20543791700</v>
      </c>
    </row>
    <row r="1622" spans="1:7">
      <c r="A1622" s="496">
        <f t="shared" si="77"/>
        <v>1621</v>
      </c>
      <c r="B1622" s="496" t="s">
        <v>1708</v>
      </c>
      <c r="C1622" s="495" t="s">
        <v>77</v>
      </c>
      <c r="D1622" s="497" t="s">
        <v>78</v>
      </c>
      <c r="E1622" s="496" t="str">
        <f t="shared" si="75"/>
        <v>07</v>
      </c>
      <c r="F1622" s="496">
        <v>25717</v>
      </c>
      <c r="G1622" s="496" t="str">
        <f t="shared" si="76"/>
        <v>20521834642</v>
      </c>
    </row>
    <row r="1623" spans="1:7">
      <c r="A1623" s="496">
        <f t="shared" si="77"/>
        <v>1622</v>
      </c>
      <c r="B1623" s="496" t="s">
        <v>1709</v>
      </c>
      <c r="C1623" s="495" t="s">
        <v>82</v>
      </c>
      <c r="D1623" s="497" t="s">
        <v>83</v>
      </c>
      <c r="E1623" s="496" t="str">
        <f t="shared" si="75"/>
        <v>08</v>
      </c>
      <c r="F1623" s="496">
        <v>25718</v>
      </c>
      <c r="G1623" s="496" t="str">
        <f t="shared" si="76"/>
        <v>20103030791</v>
      </c>
    </row>
    <row r="1624" spans="1:7">
      <c r="A1624" s="496">
        <f t="shared" si="77"/>
        <v>1623</v>
      </c>
      <c r="B1624" s="496" t="s">
        <v>1710</v>
      </c>
      <c r="C1624" s="495" t="s">
        <v>85</v>
      </c>
      <c r="D1624" s="497" t="s">
        <v>86</v>
      </c>
      <c r="E1624" s="496" t="str">
        <f t="shared" si="75"/>
        <v>09</v>
      </c>
      <c r="F1624" s="496">
        <v>25719</v>
      </c>
      <c r="G1624" s="496" t="str">
        <f t="shared" si="76"/>
        <v>20306841506</v>
      </c>
    </row>
    <row r="1625" spans="1:7">
      <c r="A1625" s="496">
        <f t="shared" si="77"/>
        <v>1624</v>
      </c>
      <c r="B1625" s="496" t="s">
        <v>1711</v>
      </c>
      <c r="C1625" s="495" t="s">
        <v>88</v>
      </c>
      <c r="D1625" s="497" t="s">
        <v>89</v>
      </c>
      <c r="E1625" s="496" t="str">
        <f t="shared" si="75"/>
        <v>11</v>
      </c>
      <c r="F1625" s="496">
        <v>25720</v>
      </c>
      <c r="G1625" s="496" t="str">
        <f t="shared" si="76"/>
        <v>20551464971</v>
      </c>
    </row>
    <row r="1626" spans="1:7">
      <c r="A1626" s="496">
        <f t="shared" si="77"/>
        <v>1625</v>
      </c>
      <c r="B1626" s="496" t="s">
        <v>1712</v>
      </c>
      <c r="C1626" s="495" t="s">
        <v>91</v>
      </c>
      <c r="D1626" s="497" t="s">
        <v>92</v>
      </c>
      <c r="E1626" s="496" t="str">
        <f t="shared" si="75"/>
        <v>12</v>
      </c>
      <c r="F1626" s="496">
        <v>25724</v>
      </c>
      <c r="G1626" s="496" t="str">
        <f t="shared" si="76"/>
        <v>20157036794</v>
      </c>
    </row>
    <row r="1627" spans="1:7">
      <c r="A1627" s="496">
        <f t="shared" si="77"/>
        <v>1626</v>
      </c>
      <c r="B1627" s="496" t="s">
        <v>1713</v>
      </c>
      <c r="C1627" s="495" t="s">
        <v>77</v>
      </c>
      <c r="D1627" s="497" t="s">
        <v>78</v>
      </c>
      <c r="E1627" s="496" t="str">
        <f t="shared" si="75"/>
        <v>07</v>
      </c>
      <c r="F1627" s="496">
        <v>25717</v>
      </c>
      <c r="G1627" s="496" t="str">
        <f t="shared" si="76"/>
        <v>20547706774</v>
      </c>
    </row>
    <row r="1628" spans="1:7">
      <c r="A1628" s="496">
        <f t="shared" si="77"/>
        <v>1627</v>
      </c>
      <c r="B1628" s="496" t="s">
        <v>1714</v>
      </c>
      <c r="C1628" s="495" t="s">
        <v>82</v>
      </c>
      <c r="D1628" s="497" t="s">
        <v>83</v>
      </c>
      <c r="E1628" s="496" t="str">
        <f t="shared" si="75"/>
        <v>08</v>
      </c>
      <c r="F1628" s="496">
        <v>25718</v>
      </c>
      <c r="G1628" s="496" t="str">
        <f t="shared" si="76"/>
        <v>20132377783</v>
      </c>
    </row>
    <row r="1629" spans="1:7">
      <c r="A1629" s="496">
        <f t="shared" si="77"/>
        <v>1628</v>
      </c>
      <c r="B1629" s="496" t="s">
        <v>1715</v>
      </c>
      <c r="C1629" s="495" t="s">
        <v>85</v>
      </c>
      <c r="D1629" s="497" t="s">
        <v>86</v>
      </c>
      <c r="E1629" s="496" t="str">
        <f t="shared" si="75"/>
        <v>09</v>
      </c>
      <c r="F1629" s="496">
        <v>25719</v>
      </c>
      <c r="G1629" s="496" t="str">
        <f t="shared" si="76"/>
        <v>20297660536</v>
      </c>
    </row>
    <row r="1630" spans="1:7">
      <c r="A1630" s="496">
        <f t="shared" si="77"/>
        <v>1629</v>
      </c>
      <c r="B1630" s="496" t="s">
        <v>1716</v>
      </c>
      <c r="C1630" s="495" t="s">
        <v>88</v>
      </c>
      <c r="D1630" s="497" t="s">
        <v>89</v>
      </c>
      <c r="E1630" s="496" t="str">
        <f t="shared" si="75"/>
        <v>11</v>
      </c>
      <c r="F1630" s="496">
        <v>25720</v>
      </c>
      <c r="G1630" s="496" t="str">
        <f t="shared" si="76"/>
        <v>20331061655</v>
      </c>
    </row>
    <row r="1631" spans="1:7">
      <c r="A1631" s="496">
        <f t="shared" si="77"/>
        <v>1630</v>
      </c>
      <c r="B1631" s="496" t="s">
        <v>1717</v>
      </c>
      <c r="C1631" s="495" t="s">
        <v>91</v>
      </c>
      <c r="D1631" s="497" t="s">
        <v>92</v>
      </c>
      <c r="E1631" s="496" t="str">
        <f t="shared" si="75"/>
        <v>12</v>
      </c>
      <c r="F1631" s="496">
        <v>25724</v>
      </c>
      <c r="G1631" s="496" t="str">
        <f t="shared" si="76"/>
        <v>20100085063</v>
      </c>
    </row>
    <row r="1632" spans="1:7">
      <c r="A1632" s="496">
        <f t="shared" si="77"/>
        <v>1631</v>
      </c>
      <c r="B1632" s="496" t="s">
        <v>1718</v>
      </c>
      <c r="C1632" s="495" t="s">
        <v>77</v>
      </c>
      <c r="D1632" s="497" t="s">
        <v>78</v>
      </c>
      <c r="E1632" s="496" t="str">
        <f t="shared" si="75"/>
        <v>07</v>
      </c>
      <c r="F1632" s="496">
        <v>25717</v>
      </c>
      <c r="G1632" s="496" t="str">
        <f t="shared" si="76"/>
        <v>20100055237</v>
      </c>
    </row>
    <row r="1633" spans="1:7">
      <c r="A1633" s="496">
        <f t="shared" si="77"/>
        <v>1632</v>
      </c>
      <c r="B1633" s="496" t="s">
        <v>1719</v>
      </c>
      <c r="C1633" s="495" t="s">
        <v>82</v>
      </c>
      <c r="D1633" s="497" t="s">
        <v>83</v>
      </c>
      <c r="E1633" s="496" t="str">
        <f t="shared" si="75"/>
        <v>08</v>
      </c>
      <c r="F1633" s="496">
        <v>25718</v>
      </c>
      <c r="G1633" s="496" t="str">
        <f t="shared" si="76"/>
        <v>20467534026</v>
      </c>
    </row>
    <row r="1634" spans="1:7">
      <c r="A1634" s="496">
        <f t="shared" si="77"/>
        <v>1633</v>
      </c>
      <c r="B1634" s="496" t="s">
        <v>1720</v>
      </c>
      <c r="C1634" s="495" t="s">
        <v>85</v>
      </c>
      <c r="D1634" s="497" t="s">
        <v>86</v>
      </c>
      <c r="E1634" s="496" t="str">
        <f t="shared" si="75"/>
        <v>09</v>
      </c>
      <c r="F1634" s="496">
        <v>25719</v>
      </c>
      <c r="G1634" s="496" t="str">
        <f t="shared" si="76"/>
        <v>20428698569</v>
      </c>
    </row>
    <row r="1635" spans="1:7">
      <c r="A1635" s="496">
        <f t="shared" si="77"/>
        <v>1634</v>
      </c>
      <c r="B1635" s="496" t="s">
        <v>1721</v>
      </c>
      <c r="C1635" s="495" t="s">
        <v>88</v>
      </c>
      <c r="D1635" s="497" t="s">
        <v>89</v>
      </c>
      <c r="E1635" s="496" t="str">
        <f t="shared" si="75"/>
        <v>11</v>
      </c>
      <c r="F1635" s="496">
        <v>25720</v>
      </c>
      <c r="G1635" s="496" t="str">
        <f t="shared" si="76"/>
        <v>20100114420</v>
      </c>
    </row>
    <row r="1636" spans="1:7">
      <c r="A1636" s="496">
        <f t="shared" si="77"/>
        <v>1635</v>
      </c>
      <c r="B1636" s="496" t="s">
        <v>1722</v>
      </c>
      <c r="C1636" s="495" t="s">
        <v>91</v>
      </c>
      <c r="D1636" s="497" t="s">
        <v>92</v>
      </c>
      <c r="E1636" s="496" t="str">
        <f t="shared" si="75"/>
        <v>12</v>
      </c>
      <c r="F1636" s="496">
        <v>25724</v>
      </c>
      <c r="G1636" s="496" t="str">
        <f t="shared" si="76"/>
        <v>20511230188</v>
      </c>
    </row>
    <row r="1637" spans="1:7">
      <c r="A1637" s="496">
        <f t="shared" si="77"/>
        <v>1636</v>
      </c>
      <c r="B1637" s="496" t="s">
        <v>1723</v>
      </c>
      <c r="C1637" s="495" t="s">
        <v>77</v>
      </c>
      <c r="D1637" s="497" t="s">
        <v>78</v>
      </c>
      <c r="E1637" s="496" t="str">
        <f t="shared" si="75"/>
        <v>07</v>
      </c>
      <c r="F1637" s="496">
        <v>25717</v>
      </c>
      <c r="G1637" s="496" t="str">
        <f t="shared" si="76"/>
        <v>20516023318</v>
      </c>
    </row>
    <row r="1638" spans="1:7">
      <c r="A1638" s="496">
        <f t="shared" si="77"/>
        <v>1637</v>
      </c>
      <c r="B1638" s="496" t="s">
        <v>1724</v>
      </c>
      <c r="C1638" s="495" t="s">
        <v>82</v>
      </c>
      <c r="D1638" s="497" t="s">
        <v>83</v>
      </c>
      <c r="E1638" s="496" t="str">
        <f t="shared" si="75"/>
        <v>08</v>
      </c>
      <c r="F1638" s="496">
        <v>25718</v>
      </c>
      <c r="G1638" s="496" t="str">
        <f t="shared" si="76"/>
        <v>20137913250</v>
      </c>
    </row>
    <row r="1639" spans="1:7">
      <c r="A1639" s="496">
        <f t="shared" si="77"/>
        <v>1638</v>
      </c>
      <c r="B1639" s="496" t="s">
        <v>1725</v>
      </c>
      <c r="C1639" s="495" t="s">
        <v>85</v>
      </c>
      <c r="D1639" s="497" t="s">
        <v>86</v>
      </c>
      <c r="E1639" s="496" t="str">
        <f t="shared" si="75"/>
        <v>09</v>
      </c>
      <c r="F1639" s="496">
        <v>25719</v>
      </c>
      <c r="G1639" s="496" t="str">
        <f t="shared" si="76"/>
        <v>20543083888</v>
      </c>
    </row>
    <row r="1640" spans="1:7">
      <c r="A1640" s="496">
        <f t="shared" si="77"/>
        <v>1639</v>
      </c>
      <c r="B1640" s="496" t="s">
        <v>1726</v>
      </c>
      <c r="C1640" s="495" t="s">
        <v>88</v>
      </c>
      <c r="D1640" s="497" t="s">
        <v>89</v>
      </c>
      <c r="E1640" s="496" t="str">
        <f t="shared" si="75"/>
        <v>11</v>
      </c>
      <c r="F1640" s="496">
        <v>25720</v>
      </c>
      <c r="G1640" s="496" t="str">
        <f t="shared" si="76"/>
        <v>20379251286</v>
      </c>
    </row>
    <row r="1641" spans="1:7">
      <c r="A1641" s="496">
        <f t="shared" si="77"/>
        <v>1640</v>
      </c>
      <c r="B1641" s="496" t="s">
        <v>1727</v>
      </c>
      <c r="C1641" s="495" t="s">
        <v>91</v>
      </c>
      <c r="D1641" s="497" t="s">
        <v>92</v>
      </c>
      <c r="E1641" s="496" t="str">
        <f t="shared" si="75"/>
        <v>12</v>
      </c>
      <c r="F1641" s="496">
        <v>25724</v>
      </c>
      <c r="G1641" s="496" t="str">
        <f t="shared" si="76"/>
        <v>20514987395</v>
      </c>
    </row>
    <row r="1642" spans="1:7">
      <c r="A1642" s="496">
        <f t="shared" si="77"/>
        <v>1641</v>
      </c>
      <c r="B1642" s="496" t="s">
        <v>1728</v>
      </c>
      <c r="C1642" s="495" t="s">
        <v>77</v>
      </c>
      <c r="D1642" s="497" t="s">
        <v>78</v>
      </c>
      <c r="E1642" s="496" t="str">
        <f t="shared" si="75"/>
        <v>07</v>
      </c>
      <c r="F1642" s="496">
        <v>25717</v>
      </c>
      <c r="G1642" s="496" t="str">
        <f t="shared" si="76"/>
        <v>20306713923</v>
      </c>
    </row>
    <row r="1643" spans="1:7">
      <c r="A1643" s="496">
        <f t="shared" si="77"/>
        <v>1642</v>
      </c>
      <c r="B1643" s="496" t="s">
        <v>1729</v>
      </c>
      <c r="C1643" s="495" t="s">
        <v>82</v>
      </c>
      <c r="D1643" s="497" t="s">
        <v>83</v>
      </c>
      <c r="E1643" s="496" t="str">
        <f t="shared" si="75"/>
        <v>08</v>
      </c>
      <c r="F1643" s="496">
        <v>25718</v>
      </c>
      <c r="G1643" s="496" t="str">
        <f t="shared" si="76"/>
        <v>20421421669</v>
      </c>
    </row>
    <row r="1644" spans="1:7">
      <c r="A1644" s="496">
        <f t="shared" si="77"/>
        <v>1643</v>
      </c>
      <c r="B1644" s="496" t="s">
        <v>1730</v>
      </c>
      <c r="C1644" s="495" t="s">
        <v>85</v>
      </c>
      <c r="D1644" s="497" t="s">
        <v>86</v>
      </c>
      <c r="E1644" s="496" t="str">
        <f t="shared" si="75"/>
        <v>09</v>
      </c>
      <c r="F1644" s="496">
        <v>25719</v>
      </c>
      <c r="G1644" s="496" t="str">
        <f t="shared" si="76"/>
        <v>20338054115</v>
      </c>
    </row>
    <row r="1645" spans="1:7">
      <c r="A1645" s="496">
        <f t="shared" si="77"/>
        <v>1644</v>
      </c>
      <c r="B1645" s="496" t="s">
        <v>1731</v>
      </c>
      <c r="C1645" s="495" t="s">
        <v>88</v>
      </c>
      <c r="D1645" s="497" t="s">
        <v>89</v>
      </c>
      <c r="E1645" s="496" t="str">
        <f t="shared" si="75"/>
        <v>11</v>
      </c>
      <c r="F1645" s="496">
        <v>25720</v>
      </c>
      <c r="G1645" s="496" t="str">
        <f t="shared" si="76"/>
        <v>20520929658</v>
      </c>
    </row>
    <row r="1646" spans="1:7">
      <c r="A1646" s="496">
        <f t="shared" si="77"/>
        <v>1645</v>
      </c>
      <c r="B1646" s="496" t="s">
        <v>1732</v>
      </c>
      <c r="C1646" s="495" t="s">
        <v>91</v>
      </c>
      <c r="D1646" s="497" t="s">
        <v>92</v>
      </c>
      <c r="E1646" s="496" t="str">
        <f t="shared" si="75"/>
        <v>12</v>
      </c>
      <c r="F1646" s="496">
        <v>25724</v>
      </c>
      <c r="G1646" s="496" t="str">
        <f t="shared" si="76"/>
        <v>20513669560</v>
      </c>
    </row>
    <row r="1647" spans="1:7">
      <c r="A1647" s="496">
        <f t="shared" si="77"/>
        <v>1646</v>
      </c>
      <c r="B1647" s="496" t="s">
        <v>1733</v>
      </c>
      <c r="C1647" s="495" t="s">
        <v>77</v>
      </c>
      <c r="D1647" s="497" t="s">
        <v>78</v>
      </c>
      <c r="E1647" s="496" t="str">
        <f t="shared" si="75"/>
        <v>07</v>
      </c>
      <c r="F1647" s="496">
        <v>25717</v>
      </c>
      <c r="G1647" s="496" t="str">
        <f t="shared" si="76"/>
        <v>20517476405</v>
      </c>
    </row>
    <row r="1648" spans="1:7">
      <c r="A1648" s="496">
        <f t="shared" si="77"/>
        <v>1647</v>
      </c>
      <c r="B1648" s="496" t="s">
        <v>1734</v>
      </c>
      <c r="C1648" s="495" t="s">
        <v>82</v>
      </c>
      <c r="D1648" s="497" t="s">
        <v>83</v>
      </c>
      <c r="E1648" s="496" t="str">
        <f t="shared" si="75"/>
        <v>08</v>
      </c>
      <c r="F1648" s="496">
        <v>25718</v>
      </c>
      <c r="G1648" s="496" t="str">
        <f t="shared" si="76"/>
        <v>20543166660</v>
      </c>
    </row>
    <row r="1649" spans="1:7">
      <c r="A1649" s="496">
        <f t="shared" si="77"/>
        <v>1648</v>
      </c>
      <c r="B1649" s="496" t="s">
        <v>1735</v>
      </c>
      <c r="C1649" s="495" t="s">
        <v>85</v>
      </c>
      <c r="D1649" s="497" t="s">
        <v>86</v>
      </c>
      <c r="E1649" s="496" t="str">
        <f t="shared" si="75"/>
        <v>09</v>
      </c>
      <c r="F1649" s="496">
        <v>25719</v>
      </c>
      <c r="G1649" s="496" t="str">
        <f t="shared" si="76"/>
        <v>20509507199</v>
      </c>
    </row>
    <row r="1650" spans="1:7">
      <c r="A1650" s="496">
        <f t="shared" si="77"/>
        <v>1649</v>
      </c>
      <c r="B1650" s="496" t="s">
        <v>1736</v>
      </c>
      <c r="C1650" s="495" t="s">
        <v>88</v>
      </c>
      <c r="D1650" s="497" t="s">
        <v>89</v>
      </c>
      <c r="E1650" s="496" t="str">
        <f t="shared" si="75"/>
        <v>11</v>
      </c>
      <c r="F1650" s="496">
        <v>25720</v>
      </c>
      <c r="G1650" s="496" t="str">
        <f t="shared" si="76"/>
        <v>20100047218</v>
      </c>
    </row>
    <row r="1651" spans="1:7">
      <c r="A1651" s="496">
        <f t="shared" si="77"/>
        <v>1650</v>
      </c>
      <c r="B1651" s="496" t="s">
        <v>1737</v>
      </c>
      <c r="C1651" s="495" t="s">
        <v>91</v>
      </c>
      <c r="D1651" s="497" t="s">
        <v>92</v>
      </c>
      <c r="E1651" s="496" t="str">
        <f t="shared" si="75"/>
        <v>12</v>
      </c>
      <c r="F1651" s="496">
        <v>25724</v>
      </c>
      <c r="G1651" s="496" t="str">
        <f t="shared" si="76"/>
        <v>20100030595</v>
      </c>
    </row>
    <row r="1652" spans="1:7">
      <c r="A1652" s="496">
        <f t="shared" si="77"/>
        <v>1651</v>
      </c>
      <c r="B1652" s="496" t="s">
        <v>1738</v>
      </c>
      <c r="C1652" s="495" t="s">
        <v>77</v>
      </c>
      <c r="D1652" s="497" t="s">
        <v>78</v>
      </c>
      <c r="E1652" s="496" t="str">
        <f t="shared" si="75"/>
        <v>07</v>
      </c>
      <c r="F1652" s="496">
        <v>25717</v>
      </c>
      <c r="G1652" s="496" t="str">
        <f t="shared" si="76"/>
        <v>20330401991</v>
      </c>
    </row>
    <row r="1653" spans="1:7">
      <c r="A1653" s="496">
        <f t="shared" si="77"/>
        <v>1652</v>
      </c>
      <c r="B1653" s="496" t="s">
        <v>1739</v>
      </c>
      <c r="C1653" s="495" t="s">
        <v>82</v>
      </c>
      <c r="D1653" s="497" t="s">
        <v>83</v>
      </c>
      <c r="E1653" s="496" t="str">
        <f t="shared" si="75"/>
        <v>08</v>
      </c>
      <c r="F1653" s="496">
        <v>25718</v>
      </c>
      <c r="G1653" s="496" t="str">
        <f t="shared" si="76"/>
        <v>20100105862</v>
      </c>
    </row>
    <row r="1654" spans="1:7">
      <c r="A1654" s="496">
        <f t="shared" si="77"/>
        <v>1653</v>
      </c>
      <c r="B1654" s="496" t="s">
        <v>1740</v>
      </c>
      <c r="C1654" s="495" t="s">
        <v>85</v>
      </c>
      <c r="D1654" s="497" t="s">
        <v>86</v>
      </c>
      <c r="E1654" s="496" t="str">
        <f t="shared" si="75"/>
        <v>09</v>
      </c>
      <c r="F1654" s="496">
        <v>25719</v>
      </c>
      <c r="G1654" s="496" t="str">
        <f t="shared" si="76"/>
        <v>20513074370</v>
      </c>
    </row>
    <row r="1655" spans="1:7">
      <c r="A1655" s="496">
        <f t="shared" si="77"/>
        <v>1654</v>
      </c>
      <c r="B1655" s="496" t="s">
        <v>1741</v>
      </c>
      <c r="C1655" s="495" t="s">
        <v>88</v>
      </c>
      <c r="D1655" s="497" t="s">
        <v>89</v>
      </c>
      <c r="E1655" s="496" t="str">
        <f t="shared" si="75"/>
        <v>11</v>
      </c>
      <c r="F1655" s="496">
        <v>25720</v>
      </c>
      <c r="G1655" s="496" t="str">
        <f t="shared" si="76"/>
        <v>20101036813</v>
      </c>
    </row>
    <row r="1656" spans="1:7">
      <c r="A1656" s="496">
        <f t="shared" si="77"/>
        <v>1655</v>
      </c>
      <c r="B1656" s="496" t="s">
        <v>1742</v>
      </c>
      <c r="C1656" s="495" t="s">
        <v>91</v>
      </c>
      <c r="D1656" s="497" t="s">
        <v>92</v>
      </c>
      <c r="E1656" s="496" t="str">
        <f t="shared" si="75"/>
        <v>12</v>
      </c>
      <c r="F1656" s="496">
        <v>25724</v>
      </c>
      <c r="G1656" s="496" t="str">
        <f t="shared" si="76"/>
        <v>20100053455</v>
      </c>
    </row>
    <row r="1657" spans="1:7">
      <c r="A1657" s="496">
        <f t="shared" si="77"/>
        <v>1656</v>
      </c>
      <c r="B1657" s="496" t="s">
        <v>1743</v>
      </c>
      <c r="C1657" s="495" t="s">
        <v>77</v>
      </c>
      <c r="D1657" s="497" t="s">
        <v>78</v>
      </c>
      <c r="E1657" s="496" t="str">
        <f t="shared" si="75"/>
        <v>07</v>
      </c>
      <c r="F1657" s="496">
        <v>25717</v>
      </c>
      <c r="G1657" s="496" t="str">
        <f t="shared" si="76"/>
        <v>20259702411</v>
      </c>
    </row>
    <row r="1658" spans="1:7">
      <c r="A1658" s="496">
        <f t="shared" si="77"/>
        <v>1657</v>
      </c>
      <c r="B1658" s="496" t="s">
        <v>1744</v>
      </c>
      <c r="C1658" s="495" t="s">
        <v>82</v>
      </c>
      <c r="D1658" s="497" t="s">
        <v>83</v>
      </c>
      <c r="E1658" s="496" t="str">
        <f t="shared" si="75"/>
        <v>08</v>
      </c>
      <c r="F1658" s="496">
        <v>25718</v>
      </c>
      <c r="G1658" s="496" t="str">
        <f t="shared" si="76"/>
        <v>20516711559</v>
      </c>
    </row>
    <row r="1659" spans="1:7">
      <c r="A1659" s="496">
        <f t="shared" si="77"/>
        <v>1658</v>
      </c>
      <c r="B1659" s="496" t="s">
        <v>1745</v>
      </c>
      <c r="C1659" s="495" t="s">
        <v>85</v>
      </c>
      <c r="D1659" s="497" t="s">
        <v>86</v>
      </c>
      <c r="E1659" s="496" t="str">
        <f t="shared" si="75"/>
        <v>09</v>
      </c>
      <c r="F1659" s="496">
        <v>25719</v>
      </c>
      <c r="G1659" s="496" t="str">
        <f t="shared" si="76"/>
        <v>20101072453</v>
      </c>
    </row>
    <row r="1660" spans="1:7">
      <c r="A1660" s="496">
        <f t="shared" si="77"/>
        <v>1659</v>
      </c>
      <c r="B1660" s="496" t="s">
        <v>1746</v>
      </c>
      <c r="C1660" s="495" t="s">
        <v>88</v>
      </c>
      <c r="D1660" s="497" t="s">
        <v>89</v>
      </c>
      <c r="E1660" s="496" t="str">
        <f t="shared" si="75"/>
        <v>11</v>
      </c>
      <c r="F1660" s="496">
        <v>25720</v>
      </c>
      <c r="G1660" s="496" t="str">
        <f t="shared" si="76"/>
        <v>20100006376</v>
      </c>
    </row>
    <row r="1661" spans="1:7">
      <c r="A1661" s="496">
        <f t="shared" si="77"/>
        <v>1660</v>
      </c>
      <c r="B1661" s="496" t="s">
        <v>1747</v>
      </c>
      <c r="C1661" s="495" t="s">
        <v>91</v>
      </c>
      <c r="D1661" s="497" t="s">
        <v>92</v>
      </c>
      <c r="E1661" s="496" t="str">
        <f t="shared" si="75"/>
        <v>12</v>
      </c>
      <c r="F1661" s="496">
        <v>25724</v>
      </c>
      <c r="G1661" s="496" t="str">
        <f t="shared" si="76"/>
        <v>20100130204</v>
      </c>
    </row>
    <row r="1662" spans="1:7">
      <c r="A1662" s="496">
        <f t="shared" si="77"/>
        <v>1661</v>
      </c>
      <c r="B1662" s="496" t="s">
        <v>1748</v>
      </c>
      <c r="C1662" s="495" t="s">
        <v>77</v>
      </c>
      <c r="D1662" s="497" t="s">
        <v>78</v>
      </c>
      <c r="E1662" s="496" t="str">
        <f t="shared" si="75"/>
        <v>07</v>
      </c>
      <c r="F1662" s="496">
        <v>25717</v>
      </c>
      <c r="G1662" s="496" t="str">
        <f t="shared" si="76"/>
        <v>20503238463</v>
      </c>
    </row>
    <row r="1663" spans="1:7">
      <c r="A1663" s="496">
        <f t="shared" si="77"/>
        <v>1662</v>
      </c>
      <c r="B1663" s="496" t="s">
        <v>1749</v>
      </c>
      <c r="C1663" s="495" t="s">
        <v>82</v>
      </c>
      <c r="D1663" s="497" t="s">
        <v>83</v>
      </c>
      <c r="E1663" s="496" t="str">
        <f t="shared" si="75"/>
        <v>08</v>
      </c>
      <c r="F1663" s="496">
        <v>25718</v>
      </c>
      <c r="G1663" s="496" t="str">
        <f t="shared" si="76"/>
        <v>20378813761</v>
      </c>
    </row>
    <row r="1664" spans="1:7">
      <c r="A1664" s="496">
        <f t="shared" si="77"/>
        <v>1663</v>
      </c>
      <c r="B1664" s="496" t="s">
        <v>1750</v>
      </c>
      <c r="C1664" s="495" t="s">
        <v>85</v>
      </c>
      <c r="D1664" s="497" t="s">
        <v>86</v>
      </c>
      <c r="E1664" s="496" t="str">
        <f t="shared" si="75"/>
        <v>09</v>
      </c>
      <c r="F1664" s="496">
        <v>25719</v>
      </c>
      <c r="G1664" s="496" t="str">
        <f t="shared" si="76"/>
        <v>20100124492</v>
      </c>
    </row>
    <row r="1665" spans="1:7">
      <c r="A1665" s="496">
        <f t="shared" si="77"/>
        <v>1664</v>
      </c>
      <c r="B1665" s="496" t="s">
        <v>1751</v>
      </c>
      <c r="C1665" s="495" t="s">
        <v>88</v>
      </c>
      <c r="D1665" s="497" t="s">
        <v>89</v>
      </c>
      <c r="E1665" s="496" t="str">
        <f t="shared" si="75"/>
        <v>11</v>
      </c>
      <c r="F1665" s="496">
        <v>25720</v>
      </c>
      <c r="G1665" s="496" t="str">
        <f t="shared" si="76"/>
        <v>20261180937</v>
      </c>
    </row>
    <row r="1666" spans="1:7">
      <c r="A1666" s="496">
        <f t="shared" si="77"/>
        <v>1665</v>
      </c>
      <c r="B1666" s="496" t="s">
        <v>1752</v>
      </c>
      <c r="C1666" s="495" t="s">
        <v>91</v>
      </c>
      <c r="D1666" s="497" t="s">
        <v>92</v>
      </c>
      <c r="E1666" s="496" t="str">
        <f t="shared" si="75"/>
        <v>12</v>
      </c>
      <c r="F1666" s="496">
        <v>25724</v>
      </c>
      <c r="G1666" s="496" t="str">
        <f t="shared" si="76"/>
        <v>20419811646</v>
      </c>
    </row>
    <row r="1667" spans="1:7">
      <c r="A1667" s="496">
        <f t="shared" si="77"/>
        <v>1666</v>
      </c>
      <c r="B1667" s="496" t="s">
        <v>1753</v>
      </c>
      <c r="C1667" s="495" t="s">
        <v>77</v>
      </c>
      <c r="D1667" s="497" t="s">
        <v>78</v>
      </c>
      <c r="E1667" s="496" t="str">
        <f t="shared" ref="E1667:E1730" si="78">IF(MID(D1667,14,1)="@",MID(D1667,12,2),"0"&amp;MID(D1667,12,1))</f>
        <v>07</v>
      </c>
      <c r="F1667" s="496">
        <v>25717</v>
      </c>
      <c r="G1667" s="496" t="str">
        <f t="shared" ref="G1667:G1730" si="79">CONCATENATE(B1667)</f>
        <v>20340584237</v>
      </c>
    </row>
    <row r="1668" spans="1:7">
      <c r="A1668" s="496">
        <f t="shared" ref="A1668:A1731" si="80">+A1667+1</f>
        <v>1667</v>
      </c>
      <c r="B1668" s="496" t="s">
        <v>1754</v>
      </c>
      <c r="C1668" s="495" t="s">
        <v>82</v>
      </c>
      <c r="D1668" s="497" t="s">
        <v>83</v>
      </c>
      <c r="E1668" s="496" t="str">
        <f t="shared" si="78"/>
        <v>08</v>
      </c>
      <c r="F1668" s="496">
        <v>25718</v>
      </c>
      <c r="G1668" s="496" t="str">
        <f t="shared" si="79"/>
        <v>20100127912</v>
      </c>
    </row>
    <row r="1669" spans="1:7">
      <c r="A1669" s="496">
        <f t="shared" si="80"/>
        <v>1668</v>
      </c>
      <c r="B1669" s="496" t="s">
        <v>1755</v>
      </c>
      <c r="C1669" s="495" t="s">
        <v>85</v>
      </c>
      <c r="D1669" s="497" t="s">
        <v>86</v>
      </c>
      <c r="E1669" s="496" t="str">
        <f t="shared" si="78"/>
        <v>09</v>
      </c>
      <c r="F1669" s="496">
        <v>25719</v>
      </c>
      <c r="G1669" s="496" t="str">
        <f t="shared" si="79"/>
        <v>20424964990</v>
      </c>
    </row>
    <row r="1670" spans="1:7">
      <c r="A1670" s="496">
        <f t="shared" si="80"/>
        <v>1669</v>
      </c>
      <c r="B1670" s="496" t="s">
        <v>1756</v>
      </c>
      <c r="C1670" s="495" t="s">
        <v>88</v>
      </c>
      <c r="D1670" s="497" t="s">
        <v>89</v>
      </c>
      <c r="E1670" s="496" t="str">
        <f t="shared" si="78"/>
        <v>11</v>
      </c>
      <c r="F1670" s="496">
        <v>25720</v>
      </c>
      <c r="G1670" s="496" t="str">
        <f t="shared" si="79"/>
        <v>20100115400</v>
      </c>
    </row>
    <row r="1671" spans="1:7">
      <c r="A1671" s="496">
        <f t="shared" si="80"/>
        <v>1670</v>
      </c>
      <c r="B1671" s="496" t="s">
        <v>1757</v>
      </c>
      <c r="C1671" s="495" t="s">
        <v>91</v>
      </c>
      <c r="D1671" s="497" t="s">
        <v>92</v>
      </c>
      <c r="E1671" s="496" t="str">
        <f t="shared" si="78"/>
        <v>12</v>
      </c>
      <c r="F1671" s="496">
        <v>25724</v>
      </c>
      <c r="G1671" s="496" t="str">
        <f t="shared" si="79"/>
        <v>20498513086</v>
      </c>
    </row>
    <row r="1672" spans="1:7">
      <c r="A1672" s="496">
        <f t="shared" si="80"/>
        <v>1671</v>
      </c>
      <c r="B1672" s="496" t="s">
        <v>1758</v>
      </c>
      <c r="C1672" s="495" t="s">
        <v>77</v>
      </c>
      <c r="D1672" s="497" t="s">
        <v>78</v>
      </c>
      <c r="E1672" s="496" t="str">
        <f t="shared" si="78"/>
        <v>07</v>
      </c>
      <c r="F1672" s="496">
        <v>25717</v>
      </c>
      <c r="G1672" s="496" t="str">
        <f t="shared" si="79"/>
        <v>20419387658</v>
      </c>
    </row>
    <row r="1673" spans="1:7">
      <c r="A1673" s="496">
        <f t="shared" si="80"/>
        <v>1672</v>
      </c>
      <c r="B1673" s="496" t="s">
        <v>1759</v>
      </c>
      <c r="C1673" s="495" t="s">
        <v>82</v>
      </c>
      <c r="D1673" s="497" t="s">
        <v>83</v>
      </c>
      <c r="E1673" s="496" t="str">
        <f t="shared" si="78"/>
        <v>08</v>
      </c>
      <c r="F1673" s="496">
        <v>25718</v>
      </c>
      <c r="G1673" s="496" t="str">
        <f t="shared" si="79"/>
        <v>20516504685</v>
      </c>
    </row>
    <row r="1674" spans="1:7">
      <c r="A1674" s="496">
        <f t="shared" si="80"/>
        <v>1673</v>
      </c>
      <c r="B1674" s="496" t="s">
        <v>1760</v>
      </c>
      <c r="C1674" s="495" t="s">
        <v>85</v>
      </c>
      <c r="D1674" s="497" t="s">
        <v>86</v>
      </c>
      <c r="E1674" s="496" t="str">
        <f t="shared" si="78"/>
        <v>09</v>
      </c>
      <c r="F1674" s="496">
        <v>25719</v>
      </c>
      <c r="G1674" s="496" t="str">
        <f t="shared" si="79"/>
        <v>20516020301</v>
      </c>
    </row>
    <row r="1675" spans="1:7">
      <c r="A1675" s="496">
        <f t="shared" si="80"/>
        <v>1674</v>
      </c>
      <c r="B1675" s="496" t="s">
        <v>1761</v>
      </c>
      <c r="C1675" s="495" t="s">
        <v>88</v>
      </c>
      <c r="D1675" s="497" t="s">
        <v>89</v>
      </c>
      <c r="E1675" s="496" t="str">
        <f t="shared" si="78"/>
        <v>11</v>
      </c>
      <c r="F1675" s="496">
        <v>25720</v>
      </c>
      <c r="G1675" s="496" t="str">
        <f t="shared" si="79"/>
        <v>20517905454</v>
      </c>
    </row>
    <row r="1676" spans="1:7">
      <c r="A1676" s="496">
        <f t="shared" si="80"/>
        <v>1675</v>
      </c>
      <c r="B1676" s="496" t="s">
        <v>1762</v>
      </c>
      <c r="C1676" s="495" t="s">
        <v>91</v>
      </c>
      <c r="D1676" s="497" t="s">
        <v>92</v>
      </c>
      <c r="E1676" s="496" t="str">
        <f t="shared" si="78"/>
        <v>12</v>
      </c>
      <c r="F1676" s="496">
        <v>25724</v>
      </c>
      <c r="G1676" s="496" t="str">
        <f t="shared" si="79"/>
        <v>20109072177</v>
      </c>
    </row>
    <row r="1677" spans="1:7">
      <c r="A1677" s="496">
        <f t="shared" si="80"/>
        <v>1676</v>
      </c>
      <c r="B1677" s="496" t="s">
        <v>1763</v>
      </c>
      <c r="C1677" s="495" t="s">
        <v>77</v>
      </c>
      <c r="D1677" s="497" t="s">
        <v>78</v>
      </c>
      <c r="E1677" s="496" t="str">
        <f t="shared" si="78"/>
        <v>07</v>
      </c>
      <c r="F1677" s="496">
        <v>25717</v>
      </c>
      <c r="G1677" s="496" t="str">
        <f t="shared" si="79"/>
        <v>20101026001</v>
      </c>
    </row>
    <row r="1678" spans="1:7">
      <c r="A1678" s="496">
        <f t="shared" si="80"/>
        <v>1677</v>
      </c>
      <c r="B1678" s="496" t="s">
        <v>1764</v>
      </c>
      <c r="C1678" s="495" t="s">
        <v>82</v>
      </c>
      <c r="D1678" s="497" t="s">
        <v>83</v>
      </c>
      <c r="E1678" s="496" t="str">
        <f t="shared" si="78"/>
        <v>08</v>
      </c>
      <c r="F1678" s="496">
        <v>25718</v>
      </c>
      <c r="G1678" s="496" t="str">
        <f t="shared" si="79"/>
        <v>20538810682</v>
      </c>
    </row>
    <row r="1679" spans="1:7">
      <c r="A1679" s="496">
        <f t="shared" si="80"/>
        <v>1678</v>
      </c>
      <c r="B1679" s="496" t="s">
        <v>1765</v>
      </c>
      <c r="C1679" s="495" t="s">
        <v>85</v>
      </c>
      <c r="D1679" s="497" t="s">
        <v>86</v>
      </c>
      <c r="E1679" s="496" t="str">
        <f t="shared" si="78"/>
        <v>09</v>
      </c>
      <c r="F1679" s="496">
        <v>25719</v>
      </c>
      <c r="G1679" s="496" t="str">
        <f t="shared" si="79"/>
        <v>20100123763</v>
      </c>
    </row>
    <row r="1680" spans="1:7">
      <c r="A1680" s="496">
        <f t="shared" si="80"/>
        <v>1679</v>
      </c>
      <c r="B1680" s="496" t="s">
        <v>1766</v>
      </c>
      <c r="C1680" s="495" t="s">
        <v>88</v>
      </c>
      <c r="D1680" s="497" t="s">
        <v>89</v>
      </c>
      <c r="E1680" s="496" t="str">
        <f t="shared" si="78"/>
        <v>11</v>
      </c>
      <c r="F1680" s="496">
        <v>25720</v>
      </c>
      <c r="G1680" s="496" t="str">
        <f t="shared" si="79"/>
        <v>20492304604</v>
      </c>
    </row>
    <row r="1681" spans="1:7">
      <c r="A1681" s="496">
        <f t="shared" si="80"/>
        <v>1680</v>
      </c>
      <c r="B1681" s="496" t="s">
        <v>1767</v>
      </c>
      <c r="C1681" s="495" t="s">
        <v>91</v>
      </c>
      <c r="D1681" s="497" t="s">
        <v>92</v>
      </c>
      <c r="E1681" s="496" t="str">
        <f t="shared" si="78"/>
        <v>12</v>
      </c>
      <c r="F1681" s="496">
        <v>25724</v>
      </c>
      <c r="G1681" s="496" t="str">
        <f t="shared" si="79"/>
        <v>20565536223</v>
      </c>
    </row>
    <row r="1682" spans="1:7">
      <c r="A1682" s="496">
        <f t="shared" si="80"/>
        <v>1681</v>
      </c>
      <c r="B1682" s="496" t="s">
        <v>1768</v>
      </c>
      <c r="C1682" s="495" t="s">
        <v>77</v>
      </c>
      <c r="D1682" s="497" t="s">
        <v>78</v>
      </c>
      <c r="E1682" s="496" t="str">
        <f t="shared" si="78"/>
        <v>07</v>
      </c>
      <c r="F1682" s="496">
        <v>25717</v>
      </c>
      <c r="G1682" s="496" t="str">
        <f t="shared" si="79"/>
        <v>20100148162</v>
      </c>
    </row>
    <row r="1683" spans="1:7">
      <c r="A1683" s="496">
        <f t="shared" si="80"/>
        <v>1682</v>
      </c>
      <c r="B1683" s="496" t="s">
        <v>1769</v>
      </c>
      <c r="C1683" s="495" t="s">
        <v>82</v>
      </c>
      <c r="D1683" s="497" t="s">
        <v>83</v>
      </c>
      <c r="E1683" s="496" t="str">
        <f t="shared" si="78"/>
        <v>08</v>
      </c>
      <c r="F1683" s="496">
        <v>25718</v>
      </c>
      <c r="G1683" s="496" t="str">
        <f t="shared" si="79"/>
        <v>20137025354</v>
      </c>
    </row>
    <row r="1684" spans="1:7">
      <c r="A1684" s="496">
        <f t="shared" si="80"/>
        <v>1683</v>
      </c>
      <c r="B1684" s="496" t="s">
        <v>1770</v>
      </c>
      <c r="C1684" s="495" t="s">
        <v>85</v>
      </c>
      <c r="D1684" s="497" t="s">
        <v>86</v>
      </c>
      <c r="E1684" s="496" t="str">
        <f t="shared" si="78"/>
        <v>09</v>
      </c>
      <c r="F1684" s="496">
        <v>25719</v>
      </c>
      <c r="G1684" s="496" t="str">
        <f t="shared" si="79"/>
        <v>20100049008</v>
      </c>
    </row>
    <row r="1685" spans="1:7">
      <c r="A1685" s="496">
        <f t="shared" si="80"/>
        <v>1684</v>
      </c>
      <c r="B1685" s="496" t="s">
        <v>1771</v>
      </c>
      <c r="C1685" s="495" t="s">
        <v>88</v>
      </c>
      <c r="D1685" s="497" t="s">
        <v>89</v>
      </c>
      <c r="E1685" s="496" t="str">
        <f t="shared" si="78"/>
        <v>11</v>
      </c>
      <c r="F1685" s="496">
        <v>25720</v>
      </c>
      <c r="G1685" s="496" t="str">
        <f t="shared" si="79"/>
        <v>20429683581</v>
      </c>
    </row>
    <row r="1686" spans="1:7">
      <c r="A1686" s="496">
        <f t="shared" si="80"/>
        <v>1685</v>
      </c>
      <c r="B1686" s="496" t="s">
        <v>1772</v>
      </c>
      <c r="C1686" s="495" t="s">
        <v>91</v>
      </c>
      <c r="D1686" s="497" t="s">
        <v>92</v>
      </c>
      <c r="E1686" s="496" t="str">
        <f t="shared" si="78"/>
        <v>12</v>
      </c>
      <c r="F1686" s="496">
        <v>25724</v>
      </c>
      <c r="G1686" s="496" t="str">
        <f t="shared" si="79"/>
        <v>20100116635</v>
      </c>
    </row>
    <row r="1687" spans="1:7">
      <c r="A1687" s="496">
        <f t="shared" si="80"/>
        <v>1686</v>
      </c>
      <c r="B1687" s="496" t="s">
        <v>1773</v>
      </c>
      <c r="C1687" s="495" t="s">
        <v>77</v>
      </c>
      <c r="D1687" s="497" t="s">
        <v>78</v>
      </c>
      <c r="E1687" s="496" t="str">
        <f t="shared" si="78"/>
        <v>07</v>
      </c>
      <c r="F1687" s="496">
        <v>25717</v>
      </c>
      <c r="G1687" s="496" t="str">
        <f t="shared" si="79"/>
        <v>20101956327</v>
      </c>
    </row>
    <row r="1688" spans="1:7">
      <c r="A1688" s="496">
        <f t="shared" si="80"/>
        <v>1687</v>
      </c>
      <c r="B1688" s="496" t="s">
        <v>1774</v>
      </c>
      <c r="C1688" s="495" t="s">
        <v>82</v>
      </c>
      <c r="D1688" s="497" t="s">
        <v>83</v>
      </c>
      <c r="E1688" s="496" t="str">
        <f t="shared" si="78"/>
        <v>08</v>
      </c>
      <c r="F1688" s="496">
        <v>25718</v>
      </c>
      <c r="G1688" s="496" t="str">
        <f t="shared" si="79"/>
        <v>20329790682</v>
      </c>
    </row>
    <row r="1689" spans="1:7">
      <c r="A1689" s="496">
        <f t="shared" si="80"/>
        <v>1688</v>
      </c>
      <c r="B1689" s="496" t="s">
        <v>1775</v>
      </c>
      <c r="C1689" s="495" t="s">
        <v>85</v>
      </c>
      <c r="D1689" s="497" t="s">
        <v>86</v>
      </c>
      <c r="E1689" s="496" t="str">
        <f t="shared" si="78"/>
        <v>09</v>
      </c>
      <c r="F1689" s="496">
        <v>25719</v>
      </c>
      <c r="G1689" s="496" t="str">
        <f t="shared" si="79"/>
        <v>20356476434</v>
      </c>
    </row>
    <row r="1690" spans="1:7">
      <c r="A1690" s="496">
        <f t="shared" si="80"/>
        <v>1689</v>
      </c>
      <c r="B1690" s="496" t="s">
        <v>1776</v>
      </c>
      <c r="C1690" s="495" t="s">
        <v>88</v>
      </c>
      <c r="D1690" s="497" t="s">
        <v>89</v>
      </c>
      <c r="E1690" s="496" t="str">
        <f t="shared" si="78"/>
        <v>11</v>
      </c>
      <c r="F1690" s="496">
        <v>25720</v>
      </c>
      <c r="G1690" s="496" t="str">
        <f t="shared" si="79"/>
        <v>20253881438</v>
      </c>
    </row>
    <row r="1691" spans="1:7">
      <c r="A1691" s="496">
        <f t="shared" si="80"/>
        <v>1690</v>
      </c>
      <c r="B1691" s="496" t="s">
        <v>1777</v>
      </c>
      <c r="C1691" s="495" t="s">
        <v>91</v>
      </c>
      <c r="D1691" s="497" t="s">
        <v>92</v>
      </c>
      <c r="E1691" s="496" t="str">
        <f t="shared" si="78"/>
        <v>12</v>
      </c>
      <c r="F1691" s="496">
        <v>25724</v>
      </c>
      <c r="G1691" s="496" t="str">
        <f t="shared" si="79"/>
        <v>20100919002</v>
      </c>
    </row>
    <row r="1692" spans="1:7">
      <c r="A1692" s="496">
        <f t="shared" si="80"/>
        <v>1691</v>
      </c>
      <c r="B1692" s="496" t="s">
        <v>1778</v>
      </c>
      <c r="C1692" s="495" t="s">
        <v>77</v>
      </c>
      <c r="D1692" s="497" t="s">
        <v>78</v>
      </c>
      <c r="E1692" s="496" t="str">
        <f t="shared" si="78"/>
        <v>07</v>
      </c>
      <c r="F1692" s="496">
        <v>25717</v>
      </c>
      <c r="G1692" s="496" t="str">
        <f t="shared" si="79"/>
        <v>20478000996</v>
      </c>
    </row>
    <row r="1693" spans="1:7">
      <c r="A1693" s="496">
        <f t="shared" si="80"/>
        <v>1692</v>
      </c>
      <c r="B1693" s="496" t="s">
        <v>1779</v>
      </c>
      <c r="C1693" s="495" t="s">
        <v>82</v>
      </c>
      <c r="D1693" s="497" t="s">
        <v>83</v>
      </c>
      <c r="E1693" s="496" t="str">
        <f t="shared" si="78"/>
        <v>08</v>
      </c>
      <c r="F1693" s="496">
        <v>25718</v>
      </c>
      <c r="G1693" s="496" t="str">
        <f t="shared" si="79"/>
        <v>20330262428</v>
      </c>
    </row>
    <row r="1694" spans="1:7">
      <c r="A1694" s="496">
        <f t="shared" si="80"/>
        <v>1693</v>
      </c>
      <c r="B1694" s="496" t="s">
        <v>1780</v>
      </c>
      <c r="C1694" s="495" t="s">
        <v>85</v>
      </c>
      <c r="D1694" s="497" t="s">
        <v>86</v>
      </c>
      <c r="E1694" s="496" t="str">
        <f t="shared" si="78"/>
        <v>09</v>
      </c>
      <c r="F1694" s="496">
        <v>25719</v>
      </c>
      <c r="G1694" s="496" t="str">
        <f t="shared" si="79"/>
        <v>20192779333</v>
      </c>
    </row>
    <row r="1695" spans="1:7">
      <c r="A1695" s="496">
        <f t="shared" si="80"/>
        <v>1694</v>
      </c>
      <c r="B1695" s="496" t="s">
        <v>1781</v>
      </c>
      <c r="C1695" s="495" t="s">
        <v>88</v>
      </c>
      <c r="D1695" s="497" t="s">
        <v>89</v>
      </c>
      <c r="E1695" s="496" t="str">
        <f t="shared" si="78"/>
        <v>11</v>
      </c>
      <c r="F1695" s="496">
        <v>25720</v>
      </c>
      <c r="G1695" s="496" t="str">
        <f t="shared" si="79"/>
        <v>20100079501</v>
      </c>
    </row>
    <row r="1696" spans="1:7">
      <c r="A1696" s="496">
        <f t="shared" si="80"/>
        <v>1695</v>
      </c>
      <c r="B1696" s="496" t="s">
        <v>1782</v>
      </c>
      <c r="C1696" s="495" t="s">
        <v>91</v>
      </c>
      <c r="D1696" s="497" t="s">
        <v>92</v>
      </c>
      <c r="E1696" s="496" t="str">
        <f t="shared" si="78"/>
        <v>12</v>
      </c>
      <c r="F1696" s="496">
        <v>25724</v>
      </c>
      <c r="G1696" s="496" t="str">
        <f t="shared" si="79"/>
        <v>20512481125</v>
      </c>
    </row>
    <row r="1697" spans="1:7">
      <c r="A1697" s="496">
        <f t="shared" si="80"/>
        <v>1696</v>
      </c>
      <c r="B1697" s="496" t="s">
        <v>1783</v>
      </c>
      <c r="C1697" s="495" t="s">
        <v>77</v>
      </c>
      <c r="D1697" s="497" t="s">
        <v>78</v>
      </c>
      <c r="E1697" s="496" t="str">
        <f t="shared" si="78"/>
        <v>07</v>
      </c>
      <c r="F1697" s="496">
        <v>25717</v>
      </c>
      <c r="G1697" s="496" t="str">
        <f t="shared" si="79"/>
        <v>20100012856</v>
      </c>
    </row>
    <row r="1698" spans="1:7">
      <c r="A1698" s="496">
        <f t="shared" si="80"/>
        <v>1697</v>
      </c>
      <c r="B1698" s="496" t="s">
        <v>1784</v>
      </c>
      <c r="C1698" s="495" t="s">
        <v>82</v>
      </c>
      <c r="D1698" s="497" t="s">
        <v>83</v>
      </c>
      <c r="E1698" s="496" t="str">
        <f t="shared" si="78"/>
        <v>08</v>
      </c>
      <c r="F1698" s="496">
        <v>25718</v>
      </c>
      <c r="G1698" s="496" t="str">
        <f t="shared" si="79"/>
        <v>20114915026</v>
      </c>
    </row>
    <row r="1699" spans="1:7">
      <c r="A1699" s="496">
        <f t="shared" si="80"/>
        <v>1698</v>
      </c>
      <c r="B1699" s="496" t="s">
        <v>1785</v>
      </c>
      <c r="C1699" s="495" t="s">
        <v>85</v>
      </c>
      <c r="D1699" s="497" t="s">
        <v>86</v>
      </c>
      <c r="E1699" s="496" t="str">
        <f t="shared" si="78"/>
        <v>09</v>
      </c>
      <c r="F1699" s="496">
        <v>25719</v>
      </c>
      <c r="G1699" s="496" t="str">
        <f t="shared" si="79"/>
        <v>20100123500</v>
      </c>
    </row>
    <row r="1700" spans="1:7">
      <c r="A1700" s="496">
        <f t="shared" si="80"/>
        <v>1699</v>
      </c>
      <c r="B1700" s="496" t="s">
        <v>1786</v>
      </c>
      <c r="C1700" s="495" t="s">
        <v>88</v>
      </c>
      <c r="D1700" s="497" t="s">
        <v>89</v>
      </c>
      <c r="E1700" s="496" t="str">
        <f t="shared" si="78"/>
        <v>11</v>
      </c>
      <c r="F1700" s="496">
        <v>25720</v>
      </c>
      <c r="G1700" s="496" t="str">
        <f t="shared" si="79"/>
        <v>20100110513</v>
      </c>
    </row>
    <row r="1701" spans="1:7">
      <c r="A1701" s="496">
        <f t="shared" si="80"/>
        <v>1700</v>
      </c>
      <c r="B1701" s="496" t="s">
        <v>1787</v>
      </c>
      <c r="C1701" s="495" t="s">
        <v>91</v>
      </c>
      <c r="D1701" s="497" t="s">
        <v>92</v>
      </c>
      <c r="E1701" s="496" t="str">
        <f t="shared" si="78"/>
        <v>12</v>
      </c>
      <c r="F1701" s="496">
        <v>25724</v>
      </c>
      <c r="G1701" s="496" t="str">
        <f t="shared" si="79"/>
        <v>20506285314</v>
      </c>
    </row>
    <row r="1702" spans="1:7">
      <c r="A1702" s="496">
        <f t="shared" si="80"/>
        <v>1701</v>
      </c>
      <c r="B1702" s="496" t="s">
        <v>1788</v>
      </c>
      <c r="C1702" s="495" t="s">
        <v>77</v>
      </c>
      <c r="D1702" s="497" t="s">
        <v>78</v>
      </c>
      <c r="E1702" s="496" t="str">
        <f t="shared" si="78"/>
        <v>07</v>
      </c>
      <c r="F1702" s="496">
        <v>25717</v>
      </c>
      <c r="G1702" s="496" t="str">
        <f t="shared" si="79"/>
        <v>20100120152</v>
      </c>
    </row>
    <row r="1703" spans="1:7">
      <c r="A1703" s="496">
        <f t="shared" si="80"/>
        <v>1702</v>
      </c>
      <c r="B1703" s="496" t="s">
        <v>1789</v>
      </c>
      <c r="C1703" s="495" t="s">
        <v>82</v>
      </c>
      <c r="D1703" s="497" t="s">
        <v>83</v>
      </c>
      <c r="E1703" s="496" t="str">
        <f t="shared" si="78"/>
        <v>08</v>
      </c>
      <c r="F1703" s="496">
        <v>25718</v>
      </c>
      <c r="G1703" s="496" t="str">
        <f t="shared" si="79"/>
        <v>20341198217</v>
      </c>
    </row>
    <row r="1704" spans="1:7">
      <c r="A1704" s="496">
        <f t="shared" si="80"/>
        <v>1703</v>
      </c>
      <c r="B1704" s="496" t="s">
        <v>1790</v>
      </c>
      <c r="C1704" s="495" t="s">
        <v>85</v>
      </c>
      <c r="D1704" s="497" t="s">
        <v>86</v>
      </c>
      <c r="E1704" s="496" t="str">
        <f t="shared" si="78"/>
        <v>09</v>
      </c>
      <c r="F1704" s="496">
        <v>25719</v>
      </c>
      <c r="G1704" s="496" t="str">
        <f t="shared" si="79"/>
        <v>20369155360</v>
      </c>
    </row>
    <row r="1705" spans="1:7">
      <c r="A1705" s="496">
        <f t="shared" si="80"/>
        <v>1704</v>
      </c>
      <c r="B1705" s="496" t="s">
        <v>1791</v>
      </c>
      <c r="C1705" s="495" t="s">
        <v>88</v>
      </c>
      <c r="D1705" s="497" t="s">
        <v>89</v>
      </c>
      <c r="E1705" s="496" t="str">
        <f t="shared" si="78"/>
        <v>11</v>
      </c>
      <c r="F1705" s="496">
        <v>25720</v>
      </c>
      <c r="G1705" s="496" t="str">
        <f t="shared" si="79"/>
        <v>20503955882</v>
      </c>
    </row>
    <row r="1706" spans="1:7">
      <c r="A1706" s="496">
        <f t="shared" si="80"/>
        <v>1705</v>
      </c>
      <c r="B1706" s="496" t="s">
        <v>1792</v>
      </c>
      <c r="C1706" s="495" t="s">
        <v>91</v>
      </c>
      <c r="D1706" s="497" t="s">
        <v>92</v>
      </c>
      <c r="E1706" s="496" t="str">
        <f t="shared" si="78"/>
        <v>12</v>
      </c>
      <c r="F1706" s="496">
        <v>25724</v>
      </c>
      <c r="G1706" s="496" t="str">
        <f t="shared" si="79"/>
        <v>20509586986</v>
      </c>
    </row>
    <row r="1707" spans="1:7">
      <c r="A1707" s="496">
        <f t="shared" si="80"/>
        <v>1706</v>
      </c>
      <c r="B1707" s="496" t="s">
        <v>1793</v>
      </c>
      <c r="C1707" s="495" t="s">
        <v>77</v>
      </c>
      <c r="D1707" s="497" t="s">
        <v>78</v>
      </c>
      <c r="E1707" s="496" t="str">
        <f t="shared" si="78"/>
        <v>07</v>
      </c>
      <c r="F1707" s="496">
        <v>25717</v>
      </c>
      <c r="G1707" s="496" t="str">
        <f t="shared" si="79"/>
        <v>20511004251</v>
      </c>
    </row>
    <row r="1708" spans="1:7">
      <c r="A1708" s="496">
        <f t="shared" si="80"/>
        <v>1707</v>
      </c>
      <c r="B1708" s="496" t="s">
        <v>1794</v>
      </c>
      <c r="C1708" s="495" t="s">
        <v>82</v>
      </c>
      <c r="D1708" s="497" t="s">
        <v>83</v>
      </c>
      <c r="E1708" s="496" t="str">
        <f t="shared" si="78"/>
        <v>08</v>
      </c>
      <c r="F1708" s="496">
        <v>25718</v>
      </c>
      <c r="G1708" s="496" t="str">
        <f t="shared" si="79"/>
        <v>20509093521</v>
      </c>
    </row>
    <row r="1709" spans="1:7">
      <c r="A1709" s="496">
        <f t="shared" si="80"/>
        <v>1708</v>
      </c>
      <c r="B1709" s="496" t="s">
        <v>1795</v>
      </c>
      <c r="C1709" s="495" t="s">
        <v>85</v>
      </c>
      <c r="D1709" s="497" t="s">
        <v>86</v>
      </c>
      <c r="E1709" s="496" t="str">
        <f t="shared" si="78"/>
        <v>09</v>
      </c>
      <c r="F1709" s="496">
        <v>25719</v>
      </c>
      <c r="G1709" s="496" t="str">
        <f t="shared" si="79"/>
        <v>20511465061</v>
      </c>
    </row>
    <row r="1710" spans="1:7">
      <c r="A1710" s="496">
        <f t="shared" si="80"/>
        <v>1709</v>
      </c>
      <c r="B1710" s="496" t="s">
        <v>1796</v>
      </c>
      <c r="C1710" s="495" t="s">
        <v>88</v>
      </c>
      <c r="D1710" s="497" t="s">
        <v>89</v>
      </c>
      <c r="E1710" s="496" t="str">
        <f t="shared" si="78"/>
        <v>11</v>
      </c>
      <c r="F1710" s="496">
        <v>25720</v>
      </c>
      <c r="G1710" s="496" t="str">
        <f t="shared" si="79"/>
        <v>20522547957</v>
      </c>
    </row>
    <row r="1711" spans="1:7">
      <c r="A1711" s="496">
        <f t="shared" si="80"/>
        <v>1710</v>
      </c>
      <c r="B1711" s="496" t="s">
        <v>1797</v>
      </c>
      <c r="C1711" s="495" t="s">
        <v>91</v>
      </c>
      <c r="D1711" s="497" t="s">
        <v>92</v>
      </c>
      <c r="E1711" s="496" t="str">
        <f t="shared" si="78"/>
        <v>12</v>
      </c>
      <c r="F1711" s="496">
        <v>25724</v>
      </c>
      <c r="G1711" s="496" t="str">
        <f t="shared" si="79"/>
        <v>20517252558</v>
      </c>
    </row>
    <row r="1712" spans="1:7">
      <c r="A1712" s="496">
        <f t="shared" si="80"/>
        <v>1711</v>
      </c>
      <c r="B1712" s="496" t="s">
        <v>1798</v>
      </c>
      <c r="C1712" s="495" t="s">
        <v>77</v>
      </c>
      <c r="D1712" s="497" t="s">
        <v>78</v>
      </c>
      <c r="E1712" s="496" t="str">
        <f t="shared" si="78"/>
        <v>07</v>
      </c>
      <c r="F1712" s="496">
        <v>25717</v>
      </c>
      <c r="G1712" s="496" t="str">
        <f t="shared" si="79"/>
        <v>20100370426</v>
      </c>
    </row>
    <row r="1713" spans="1:7">
      <c r="A1713" s="496">
        <f t="shared" si="80"/>
        <v>1712</v>
      </c>
      <c r="B1713" s="496" t="s">
        <v>1799</v>
      </c>
      <c r="C1713" s="495" t="s">
        <v>82</v>
      </c>
      <c r="D1713" s="497" t="s">
        <v>83</v>
      </c>
      <c r="E1713" s="496" t="str">
        <f t="shared" si="78"/>
        <v>08</v>
      </c>
      <c r="F1713" s="496">
        <v>25718</v>
      </c>
      <c r="G1713" s="496" t="str">
        <f t="shared" si="79"/>
        <v>20101362702</v>
      </c>
    </row>
    <row r="1714" spans="1:7">
      <c r="A1714" s="496">
        <f t="shared" si="80"/>
        <v>1713</v>
      </c>
      <c r="B1714" s="496" t="s">
        <v>1800</v>
      </c>
      <c r="C1714" s="495" t="s">
        <v>85</v>
      </c>
      <c r="D1714" s="497" t="s">
        <v>86</v>
      </c>
      <c r="E1714" s="496" t="str">
        <f t="shared" si="78"/>
        <v>09</v>
      </c>
      <c r="F1714" s="496">
        <v>25719</v>
      </c>
      <c r="G1714" s="496" t="str">
        <f t="shared" si="79"/>
        <v>20465261634</v>
      </c>
    </row>
    <row r="1715" spans="1:7">
      <c r="A1715" s="496">
        <f t="shared" si="80"/>
        <v>1714</v>
      </c>
      <c r="B1715" s="496" t="s">
        <v>1801</v>
      </c>
      <c r="C1715" s="495" t="s">
        <v>88</v>
      </c>
      <c r="D1715" s="497" t="s">
        <v>89</v>
      </c>
      <c r="E1715" s="496" t="str">
        <f t="shared" si="78"/>
        <v>11</v>
      </c>
      <c r="F1715" s="496">
        <v>25720</v>
      </c>
      <c r="G1715" s="496" t="str">
        <f t="shared" si="79"/>
        <v>20492903141</v>
      </c>
    </row>
    <row r="1716" spans="1:7">
      <c r="A1716" s="496">
        <f t="shared" si="80"/>
        <v>1715</v>
      </c>
      <c r="B1716" s="496" t="s">
        <v>1802</v>
      </c>
      <c r="C1716" s="495" t="s">
        <v>91</v>
      </c>
      <c r="D1716" s="497" t="s">
        <v>92</v>
      </c>
      <c r="E1716" s="496" t="str">
        <f t="shared" si="78"/>
        <v>12</v>
      </c>
      <c r="F1716" s="496">
        <v>25724</v>
      </c>
      <c r="G1716" s="496" t="str">
        <f t="shared" si="79"/>
        <v>20383316473</v>
      </c>
    </row>
    <row r="1717" spans="1:7">
      <c r="A1717" s="496">
        <f t="shared" si="80"/>
        <v>1716</v>
      </c>
      <c r="B1717" s="496" t="s">
        <v>1803</v>
      </c>
      <c r="C1717" s="495" t="s">
        <v>77</v>
      </c>
      <c r="D1717" s="497" t="s">
        <v>78</v>
      </c>
      <c r="E1717" s="496" t="str">
        <f t="shared" si="78"/>
        <v>07</v>
      </c>
      <c r="F1717" s="496">
        <v>25717</v>
      </c>
      <c r="G1717" s="496" t="str">
        <f t="shared" si="79"/>
        <v>20109565017</v>
      </c>
    </row>
    <row r="1718" spans="1:7">
      <c r="A1718" s="496">
        <f t="shared" si="80"/>
        <v>1717</v>
      </c>
      <c r="B1718" s="496" t="s">
        <v>1804</v>
      </c>
      <c r="C1718" s="495" t="s">
        <v>82</v>
      </c>
      <c r="D1718" s="497" t="s">
        <v>83</v>
      </c>
      <c r="E1718" s="496" t="str">
        <f t="shared" si="78"/>
        <v>08</v>
      </c>
      <c r="F1718" s="496">
        <v>25718</v>
      </c>
      <c r="G1718" s="496" t="str">
        <f t="shared" si="79"/>
        <v>20509656607</v>
      </c>
    </row>
    <row r="1719" spans="1:7">
      <c r="A1719" s="496">
        <f t="shared" si="80"/>
        <v>1718</v>
      </c>
      <c r="B1719" s="496" t="s">
        <v>1805</v>
      </c>
      <c r="C1719" s="495" t="s">
        <v>85</v>
      </c>
      <c r="D1719" s="497" t="s">
        <v>86</v>
      </c>
      <c r="E1719" s="496" t="str">
        <f t="shared" si="78"/>
        <v>09</v>
      </c>
      <c r="F1719" s="496">
        <v>25719</v>
      </c>
      <c r="G1719" s="496" t="str">
        <f t="shared" si="79"/>
        <v>20110522151</v>
      </c>
    </row>
    <row r="1720" spans="1:7">
      <c r="A1720" s="496">
        <f t="shared" si="80"/>
        <v>1719</v>
      </c>
      <c r="B1720" s="496" t="s">
        <v>1806</v>
      </c>
      <c r="C1720" s="495" t="s">
        <v>88</v>
      </c>
      <c r="D1720" s="497" t="s">
        <v>89</v>
      </c>
      <c r="E1720" s="496" t="str">
        <f t="shared" si="78"/>
        <v>11</v>
      </c>
      <c r="F1720" s="496">
        <v>25720</v>
      </c>
      <c r="G1720" s="496" t="str">
        <f t="shared" si="79"/>
        <v>20519485487</v>
      </c>
    </row>
    <row r="1721" spans="1:7">
      <c r="A1721" s="496">
        <f t="shared" si="80"/>
        <v>1720</v>
      </c>
      <c r="B1721" s="496" t="s">
        <v>1807</v>
      </c>
      <c r="C1721" s="495" t="s">
        <v>91</v>
      </c>
      <c r="D1721" s="497" t="s">
        <v>92</v>
      </c>
      <c r="E1721" s="496" t="str">
        <f t="shared" si="78"/>
        <v>12</v>
      </c>
      <c r="F1721" s="496">
        <v>25724</v>
      </c>
      <c r="G1721" s="496" t="str">
        <f t="shared" si="79"/>
        <v>20370146994</v>
      </c>
    </row>
    <row r="1722" spans="1:7">
      <c r="A1722" s="496">
        <f t="shared" si="80"/>
        <v>1721</v>
      </c>
      <c r="B1722" s="496" t="s">
        <v>1808</v>
      </c>
      <c r="C1722" s="495" t="s">
        <v>77</v>
      </c>
      <c r="D1722" s="497" t="s">
        <v>78</v>
      </c>
      <c r="E1722" s="496" t="str">
        <f t="shared" si="78"/>
        <v>07</v>
      </c>
      <c r="F1722" s="496">
        <v>25717</v>
      </c>
      <c r="G1722" s="496" t="str">
        <f t="shared" si="79"/>
        <v>20511866210</v>
      </c>
    </row>
    <row r="1723" spans="1:7">
      <c r="A1723" s="496">
        <f t="shared" si="80"/>
        <v>1722</v>
      </c>
      <c r="B1723" s="496" t="s">
        <v>1809</v>
      </c>
      <c r="C1723" s="495" t="s">
        <v>82</v>
      </c>
      <c r="D1723" s="497" t="s">
        <v>83</v>
      </c>
      <c r="E1723" s="496" t="str">
        <f t="shared" si="78"/>
        <v>08</v>
      </c>
      <c r="F1723" s="496">
        <v>25718</v>
      </c>
      <c r="G1723" s="496" t="str">
        <f t="shared" si="79"/>
        <v>20100116392</v>
      </c>
    </row>
    <row r="1724" spans="1:7">
      <c r="A1724" s="496">
        <f t="shared" si="80"/>
        <v>1723</v>
      </c>
      <c r="B1724" s="496" t="s">
        <v>1810</v>
      </c>
      <c r="C1724" s="495" t="s">
        <v>85</v>
      </c>
      <c r="D1724" s="497" t="s">
        <v>86</v>
      </c>
      <c r="E1724" s="496" t="str">
        <f t="shared" si="78"/>
        <v>09</v>
      </c>
      <c r="F1724" s="496">
        <v>25719</v>
      </c>
      <c r="G1724" s="496" t="str">
        <f t="shared" si="79"/>
        <v>20390863871</v>
      </c>
    </row>
    <row r="1725" spans="1:7">
      <c r="A1725" s="496">
        <f t="shared" si="80"/>
        <v>1724</v>
      </c>
      <c r="B1725" s="496" t="s">
        <v>1811</v>
      </c>
      <c r="C1725" s="495" t="s">
        <v>88</v>
      </c>
      <c r="D1725" s="497" t="s">
        <v>89</v>
      </c>
      <c r="E1725" s="496" t="str">
        <f t="shared" si="78"/>
        <v>11</v>
      </c>
      <c r="F1725" s="496">
        <v>25720</v>
      </c>
      <c r="G1725" s="496" t="str">
        <f t="shared" si="79"/>
        <v>20101024645</v>
      </c>
    </row>
    <row r="1726" spans="1:7">
      <c r="A1726" s="496">
        <f t="shared" si="80"/>
        <v>1725</v>
      </c>
      <c r="B1726" s="496" t="s">
        <v>1812</v>
      </c>
      <c r="C1726" s="495" t="s">
        <v>91</v>
      </c>
      <c r="D1726" s="497" t="s">
        <v>92</v>
      </c>
      <c r="E1726" s="496" t="str">
        <f t="shared" si="78"/>
        <v>12</v>
      </c>
      <c r="F1726" s="496">
        <v>25724</v>
      </c>
      <c r="G1726" s="496" t="str">
        <f t="shared" si="79"/>
        <v>20224748711</v>
      </c>
    </row>
    <row r="1727" spans="1:7">
      <c r="A1727" s="496">
        <f t="shared" si="80"/>
        <v>1726</v>
      </c>
      <c r="B1727" s="496" t="s">
        <v>1813</v>
      </c>
      <c r="C1727" s="495" t="s">
        <v>77</v>
      </c>
      <c r="D1727" s="497" t="s">
        <v>78</v>
      </c>
      <c r="E1727" s="496" t="str">
        <f t="shared" si="78"/>
        <v>07</v>
      </c>
      <c r="F1727" s="496">
        <v>25717</v>
      </c>
      <c r="G1727" s="496" t="str">
        <f t="shared" si="79"/>
        <v>20461309951</v>
      </c>
    </row>
    <row r="1728" spans="1:7">
      <c r="A1728" s="496">
        <f t="shared" si="80"/>
        <v>1727</v>
      </c>
      <c r="B1728" s="496" t="s">
        <v>1814</v>
      </c>
      <c r="C1728" s="495" t="s">
        <v>82</v>
      </c>
      <c r="D1728" s="497" t="s">
        <v>83</v>
      </c>
      <c r="E1728" s="496" t="str">
        <f t="shared" si="78"/>
        <v>08</v>
      </c>
      <c r="F1728" s="496">
        <v>25718</v>
      </c>
      <c r="G1728" s="496" t="str">
        <f t="shared" si="79"/>
        <v>20100082391</v>
      </c>
    </row>
    <row r="1729" spans="1:7">
      <c r="A1729" s="496">
        <f t="shared" si="80"/>
        <v>1728</v>
      </c>
      <c r="B1729" s="496" t="s">
        <v>1815</v>
      </c>
      <c r="C1729" s="495" t="s">
        <v>85</v>
      </c>
      <c r="D1729" s="497" t="s">
        <v>86</v>
      </c>
      <c r="E1729" s="496" t="str">
        <f t="shared" si="78"/>
        <v>09</v>
      </c>
      <c r="F1729" s="496">
        <v>25719</v>
      </c>
      <c r="G1729" s="496" t="str">
        <f t="shared" si="79"/>
        <v>20508614811</v>
      </c>
    </row>
    <row r="1730" spans="1:7">
      <c r="A1730" s="496">
        <f t="shared" si="80"/>
        <v>1729</v>
      </c>
      <c r="B1730" s="496" t="s">
        <v>1816</v>
      </c>
      <c r="C1730" s="495" t="s">
        <v>88</v>
      </c>
      <c r="D1730" s="497" t="s">
        <v>89</v>
      </c>
      <c r="E1730" s="496" t="str">
        <f t="shared" si="78"/>
        <v>11</v>
      </c>
      <c r="F1730" s="496">
        <v>25720</v>
      </c>
      <c r="G1730" s="496" t="str">
        <f t="shared" si="79"/>
        <v>20279866682</v>
      </c>
    </row>
    <row r="1731" spans="1:7">
      <c r="A1731" s="496">
        <f t="shared" si="80"/>
        <v>1730</v>
      </c>
      <c r="B1731" s="496" t="s">
        <v>1817</v>
      </c>
      <c r="C1731" s="495" t="s">
        <v>91</v>
      </c>
      <c r="D1731" s="497" t="s">
        <v>92</v>
      </c>
      <c r="E1731" s="496" t="str">
        <f t="shared" ref="E1731:E1794" si="81">IF(MID(D1731,14,1)="@",MID(D1731,12,2),"0"&amp;MID(D1731,12,1))</f>
        <v>12</v>
      </c>
      <c r="F1731" s="496">
        <v>25724</v>
      </c>
      <c r="G1731" s="496" t="str">
        <f t="shared" ref="G1731:G1794" si="82">CONCATENATE(B1731)</f>
        <v>20170040938</v>
      </c>
    </row>
    <row r="1732" spans="1:7">
      <c r="A1732" s="496">
        <f t="shared" ref="A1732:A1795" si="83">+A1731+1</f>
        <v>1731</v>
      </c>
      <c r="B1732" s="496" t="s">
        <v>1818</v>
      </c>
      <c r="C1732" s="495" t="s">
        <v>77</v>
      </c>
      <c r="D1732" s="497" t="s">
        <v>78</v>
      </c>
      <c r="E1732" s="496" t="str">
        <f t="shared" si="81"/>
        <v>07</v>
      </c>
      <c r="F1732" s="496">
        <v>25717</v>
      </c>
      <c r="G1732" s="496" t="str">
        <f t="shared" si="82"/>
        <v>20100123330</v>
      </c>
    </row>
    <row r="1733" spans="1:7">
      <c r="A1733" s="496">
        <f t="shared" si="83"/>
        <v>1732</v>
      </c>
      <c r="B1733" s="496" t="s">
        <v>1819</v>
      </c>
      <c r="C1733" s="495" t="s">
        <v>82</v>
      </c>
      <c r="D1733" s="497" t="s">
        <v>83</v>
      </c>
      <c r="E1733" s="496" t="str">
        <f t="shared" si="81"/>
        <v>08</v>
      </c>
      <c r="F1733" s="496">
        <v>25718</v>
      </c>
      <c r="G1733" s="496" t="str">
        <f t="shared" si="82"/>
        <v>20501977439</v>
      </c>
    </row>
    <row r="1734" spans="1:7">
      <c r="A1734" s="496">
        <f t="shared" si="83"/>
        <v>1733</v>
      </c>
      <c r="B1734" s="496" t="s">
        <v>1820</v>
      </c>
      <c r="C1734" s="495" t="s">
        <v>85</v>
      </c>
      <c r="D1734" s="497" t="s">
        <v>86</v>
      </c>
      <c r="E1734" s="496" t="str">
        <f t="shared" si="81"/>
        <v>09</v>
      </c>
      <c r="F1734" s="496">
        <v>25719</v>
      </c>
      <c r="G1734" s="496" t="str">
        <f t="shared" si="82"/>
        <v>20101128777</v>
      </c>
    </row>
    <row r="1735" spans="1:7">
      <c r="A1735" s="496">
        <f t="shared" si="83"/>
        <v>1734</v>
      </c>
      <c r="B1735" s="496" t="s">
        <v>1821</v>
      </c>
      <c r="C1735" s="495" t="s">
        <v>88</v>
      </c>
      <c r="D1735" s="497" t="s">
        <v>89</v>
      </c>
      <c r="E1735" s="496" t="str">
        <f t="shared" si="81"/>
        <v>11</v>
      </c>
      <c r="F1735" s="496">
        <v>25720</v>
      </c>
      <c r="G1735" s="496" t="str">
        <f t="shared" si="82"/>
        <v>20376303811</v>
      </c>
    </row>
    <row r="1736" spans="1:7">
      <c r="A1736" s="496">
        <f t="shared" si="83"/>
        <v>1735</v>
      </c>
      <c r="B1736" s="496" t="s">
        <v>1822</v>
      </c>
      <c r="C1736" s="495" t="s">
        <v>91</v>
      </c>
      <c r="D1736" s="497" t="s">
        <v>92</v>
      </c>
      <c r="E1736" s="496" t="str">
        <f t="shared" si="81"/>
        <v>12</v>
      </c>
      <c r="F1736" s="496">
        <v>25724</v>
      </c>
      <c r="G1736" s="496" t="str">
        <f t="shared" si="82"/>
        <v>20100134021</v>
      </c>
    </row>
    <row r="1737" spans="1:7">
      <c r="A1737" s="496">
        <f t="shared" si="83"/>
        <v>1736</v>
      </c>
      <c r="B1737" s="496" t="s">
        <v>1823</v>
      </c>
      <c r="C1737" s="495" t="s">
        <v>77</v>
      </c>
      <c r="D1737" s="497" t="s">
        <v>78</v>
      </c>
      <c r="E1737" s="496" t="str">
        <f t="shared" si="81"/>
        <v>07</v>
      </c>
      <c r="F1737" s="496">
        <v>25717</v>
      </c>
      <c r="G1737" s="496" t="str">
        <f t="shared" si="82"/>
        <v>20513462388</v>
      </c>
    </row>
    <row r="1738" spans="1:7">
      <c r="A1738" s="496">
        <f t="shared" si="83"/>
        <v>1737</v>
      </c>
      <c r="B1738" s="496" t="s">
        <v>1824</v>
      </c>
      <c r="C1738" s="495" t="s">
        <v>82</v>
      </c>
      <c r="D1738" s="497" t="s">
        <v>83</v>
      </c>
      <c r="E1738" s="496" t="str">
        <f t="shared" si="81"/>
        <v>08</v>
      </c>
      <c r="F1738" s="496">
        <v>25718</v>
      </c>
      <c r="G1738" s="496" t="str">
        <f t="shared" si="82"/>
        <v>20468802342</v>
      </c>
    </row>
    <row r="1739" spans="1:7">
      <c r="A1739" s="496">
        <f t="shared" si="83"/>
        <v>1738</v>
      </c>
      <c r="B1739" s="496" t="s">
        <v>1825</v>
      </c>
      <c r="C1739" s="495" t="s">
        <v>85</v>
      </c>
      <c r="D1739" s="497" t="s">
        <v>86</v>
      </c>
      <c r="E1739" s="496" t="str">
        <f t="shared" si="81"/>
        <v>09</v>
      </c>
      <c r="F1739" s="496">
        <v>25719</v>
      </c>
      <c r="G1739" s="496" t="str">
        <f t="shared" si="82"/>
        <v>20516534754</v>
      </c>
    </row>
    <row r="1740" spans="1:7">
      <c r="A1740" s="496">
        <f t="shared" si="83"/>
        <v>1739</v>
      </c>
      <c r="B1740" s="496" t="s">
        <v>1826</v>
      </c>
      <c r="C1740" s="495" t="s">
        <v>88</v>
      </c>
      <c r="D1740" s="497" t="s">
        <v>89</v>
      </c>
      <c r="E1740" s="496" t="str">
        <f t="shared" si="81"/>
        <v>11</v>
      </c>
      <c r="F1740" s="496">
        <v>25720</v>
      </c>
      <c r="G1740" s="496" t="str">
        <f t="shared" si="82"/>
        <v>20331066703</v>
      </c>
    </row>
    <row r="1741" spans="1:7">
      <c r="A1741" s="496">
        <f t="shared" si="83"/>
        <v>1740</v>
      </c>
      <c r="B1741" s="496" t="s">
        <v>1827</v>
      </c>
      <c r="C1741" s="495" t="s">
        <v>91</v>
      </c>
      <c r="D1741" s="497" t="s">
        <v>92</v>
      </c>
      <c r="E1741" s="496" t="str">
        <f t="shared" si="81"/>
        <v>12</v>
      </c>
      <c r="F1741" s="496">
        <v>25724</v>
      </c>
      <c r="G1741" s="496" t="str">
        <f t="shared" si="82"/>
        <v>20516980452</v>
      </c>
    </row>
    <row r="1742" spans="1:7">
      <c r="A1742" s="496">
        <f t="shared" si="83"/>
        <v>1741</v>
      </c>
      <c r="B1742" s="496" t="s">
        <v>1828</v>
      </c>
      <c r="C1742" s="495" t="s">
        <v>77</v>
      </c>
      <c r="D1742" s="497" t="s">
        <v>78</v>
      </c>
      <c r="E1742" s="496" t="str">
        <f t="shared" si="81"/>
        <v>07</v>
      </c>
      <c r="F1742" s="496">
        <v>25717</v>
      </c>
      <c r="G1742" s="496" t="str">
        <f t="shared" si="82"/>
        <v>20330791412</v>
      </c>
    </row>
    <row r="1743" spans="1:7">
      <c r="A1743" s="496">
        <f t="shared" si="83"/>
        <v>1742</v>
      </c>
      <c r="B1743" s="496" t="s">
        <v>1829</v>
      </c>
      <c r="C1743" s="495" t="s">
        <v>82</v>
      </c>
      <c r="D1743" s="497" t="s">
        <v>83</v>
      </c>
      <c r="E1743" s="496" t="str">
        <f t="shared" si="81"/>
        <v>08</v>
      </c>
      <c r="F1743" s="496">
        <v>25718</v>
      </c>
      <c r="G1743" s="496" t="str">
        <f t="shared" si="82"/>
        <v>20332970411</v>
      </c>
    </row>
    <row r="1744" spans="1:7">
      <c r="A1744" s="496">
        <f t="shared" si="83"/>
        <v>1743</v>
      </c>
      <c r="B1744" s="496" t="s">
        <v>1830</v>
      </c>
      <c r="C1744" s="495" t="s">
        <v>85</v>
      </c>
      <c r="D1744" s="497" t="s">
        <v>86</v>
      </c>
      <c r="E1744" s="496" t="str">
        <f t="shared" si="81"/>
        <v>09</v>
      </c>
      <c r="F1744" s="496">
        <v>25719</v>
      </c>
      <c r="G1744" s="496" t="str">
        <f t="shared" si="82"/>
        <v>20100035392</v>
      </c>
    </row>
    <row r="1745" spans="1:7">
      <c r="A1745" s="496">
        <f t="shared" si="83"/>
        <v>1744</v>
      </c>
      <c r="B1745" s="496" t="s">
        <v>1831</v>
      </c>
      <c r="C1745" s="495" t="s">
        <v>88</v>
      </c>
      <c r="D1745" s="497" t="s">
        <v>89</v>
      </c>
      <c r="E1745" s="496" t="str">
        <f t="shared" si="81"/>
        <v>11</v>
      </c>
      <c r="F1745" s="496">
        <v>25720</v>
      </c>
      <c r="G1745" s="496" t="str">
        <f t="shared" si="82"/>
        <v>20334586147</v>
      </c>
    </row>
    <row r="1746" spans="1:7">
      <c r="A1746" s="496">
        <f t="shared" si="83"/>
        <v>1745</v>
      </c>
      <c r="B1746" s="496" t="s">
        <v>1832</v>
      </c>
      <c r="C1746" s="495" t="s">
        <v>91</v>
      </c>
      <c r="D1746" s="497" t="s">
        <v>92</v>
      </c>
      <c r="E1746" s="496" t="str">
        <f t="shared" si="81"/>
        <v>12</v>
      </c>
      <c r="F1746" s="496">
        <v>25724</v>
      </c>
      <c r="G1746" s="496" t="str">
        <f t="shared" si="82"/>
        <v>20106156400</v>
      </c>
    </row>
    <row r="1747" spans="1:7">
      <c r="A1747" s="496">
        <f t="shared" si="83"/>
        <v>1746</v>
      </c>
      <c r="B1747" s="496" t="s">
        <v>1833</v>
      </c>
      <c r="C1747" s="495" t="s">
        <v>77</v>
      </c>
      <c r="D1747" s="497" t="s">
        <v>78</v>
      </c>
      <c r="E1747" s="496" t="str">
        <f t="shared" si="81"/>
        <v>07</v>
      </c>
      <c r="F1747" s="496">
        <v>25717</v>
      </c>
      <c r="G1747" s="496" t="str">
        <f t="shared" si="82"/>
        <v>20269985900</v>
      </c>
    </row>
    <row r="1748" spans="1:7">
      <c r="A1748" s="496">
        <f t="shared" si="83"/>
        <v>1747</v>
      </c>
      <c r="B1748" s="496" t="s">
        <v>1834</v>
      </c>
      <c r="C1748" s="495" t="s">
        <v>82</v>
      </c>
      <c r="D1748" s="497" t="s">
        <v>83</v>
      </c>
      <c r="E1748" s="496" t="str">
        <f t="shared" si="81"/>
        <v>08</v>
      </c>
      <c r="F1748" s="496">
        <v>25718</v>
      </c>
      <c r="G1748" s="496" t="str">
        <f t="shared" si="82"/>
        <v>20507024051</v>
      </c>
    </row>
    <row r="1749" spans="1:7">
      <c r="A1749" s="496">
        <f t="shared" si="83"/>
        <v>1748</v>
      </c>
      <c r="B1749" s="496" t="s">
        <v>1835</v>
      </c>
      <c r="C1749" s="495" t="s">
        <v>85</v>
      </c>
      <c r="D1749" s="497" t="s">
        <v>86</v>
      </c>
      <c r="E1749" s="496" t="str">
        <f t="shared" si="81"/>
        <v>09</v>
      </c>
      <c r="F1749" s="496">
        <v>25719</v>
      </c>
      <c r="G1749" s="496" t="str">
        <f t="shared" si="82"/>
        <v>20270508163</v>
      </c>
    </row>
    <row r="1750" spans="1:7">
      <c r="A1750" s="496">
        <f t="shared" si="83"/>
        <v>1749</v>
      </c>
      <c r="B1750" s="496" t="s">
        <v>1836</v>
      </c>
      <c r="C1750" s="495" t="s">
        <v>88</v>
      </c>
      <c r="D1750" s="497" t="s">
        <v>89</v>
      </c>
      <c r="E1750" s="496" t="str">
        <f t="shared" si="81"/>
        <v>11</v>
      </c>
      <c r="F1750" s="496">
        <v>25720</v>
      </c>
      <c r="G1750" s="496" t="str">
        <f t="shared" si="82"/>
        <v>20332907990</v>
      </c>
    </row>
    <row r="1751" spans="1:7">
      <c r="A1751" s="496">
        <f t="shared" si="83"/>
        <v>1750</v>
      </c>
      <c r="B1751" s="496" t="s">
        <v>1837</v>
      </c>
      <c r="C1751" s="495" t="s">
        <v>91</v>
      </c>
      <c r="D1751" s="497" t="s">
        <v>92</v>
      </c>
      <c r="E1751" s="496" t="str">
        <f t="shared" si="81"/>
        <v>12</v>
      </c>
      <c r="F1751" s="496">
        <v>25724</v>
      </c>
      <c r="G1751" s="496" t="str">
        <f t="shared" si="82"/>
        <v>20101951872</v>
      </c>
    </row>
    <row r="1752" spans="1:7">
      <c r="A1752" s="496">
        <f t="shared" si="83"/>
        <v>1751</v>
      </c>
      <c r="B1752" s="496" t="s">
        <v>1838</v>
      </c>
      <c r="C1752" s="495" t="s">
        <v>77</v>
      </c>
      <c r="D1752" s="497" t="s">
        <v>78</v>
      </c>
      <c r="E1752" s="496" t="str">
        <f t="shared" si="81"/>
        <v>07</v>
      </c>
      <c r="F1752" s="496">
        <v>25717</v>
      </c>
      <c r="G1752" s="496" t="str">
        <f t="shared" si="82"/>
        <v>20543298574</v>
      </c>
    </row>
    <row r="1753" spans="1:7">
      <c r="A1753" s="496">
        <f t="shared" si="83"/>
        <v>1752</v>
      </c>
      <c r="B1753" s="496" t="s">
        <v>1839</v>
      </c>
      <c r="C1753" s="495" t="s">
        <v>82</v>
      </c>
      <c r="D1753" s="497" t="s">
        <v>83</v>
      </c>
      <c r="E1753" s="496" t="str">
        <f t="shared" si="81"/>
        <v>08</v>
      </c>
      <c r="F1753" s="496">
        <v>25718</v>
      </c>
      <c r="G1753" s="496" t="str">
        <f t="shared" si="82"/>
        <v>20517049086</v>
      </c>
    </row>
    <row r="1754" spans="1:7">
      <c r="A1754" s="496">
        <f t="shared" si="83"/>
        <v>1753</v>
      </c>
      <c r="B1754" s="496" t="s">
        <v>1840</v>
      </c>
      <c r="C1754" s="495" t="s">
        <v>85</v>
      </c>
      <c r="D1754" s="497" t="s">
        <v>86</v>
      </c>
      <c r="E1754" s="496" t="str">
        <f t="shared" si="81"/>
        <v>09</v>
      </c>
      <c r="F1754" s="496">
        <v>25719</v>
      </c>
      <c r="G1754" s="496" t="str">
        <f t="shared" si="82"/>
        <v>20333363900</v>
      </c>
    </row>
    <row r="1755" spans="1:7">
      <c r="A1755" s="496">
        <f t="shared" si="83"/>
        <v>1754</v>
      </c>
      <c r="B1755" s="496" t="s">
        <v>1841</v>
      </c>
      <c r="C1755" s="495" t="s">
        <v>88</v>
      </c>
      <c r="D1755" s="497" t="s">
        <v>89</v>
      </c>
      <c r="E1755" s="496" t="str">
        <f t="shared" si="81"/>
        <v>11</v>
      </c>
      <c r="F1755" s="496">
        <v>25720</v>
      </c>
      <c r="G1755" s="496" t="str">
        <f t="shared" si="82"/>
        <v>20106897914</v>
      </c>
    </row>
    <row r="1756" spans="1:7">
      <c r="A1756" s="496">
        <f t="shared" si="83"/>
        <v>1755</v>
      </c>
      <c r="B1756" s="496" t="s">
        <v>1842</v>
      </c>
      <c r="C1756" s="495" t="s">
        <v>91</v>
      </c>
      <c r="D1756" s="497" t="s">
        <v>92</v>
      </c>
      <c r="E1756" s="496" t="str">
        <f t="shared" si="81"/>
        <v>12</v>
      </c>
      <c r="F1756" s="496">
        <v>25724</v>
      </c>
      <c r="G1756" s="496" t="str">
        <f t="shared" si="82"/>
        <v>20513066431</v>
      </c>
    </row>
    <row r="1757" spans="1:7">
      <c r="A1757" s="496">
        <f t="shared" si="83"/>
        <v>1756</v>
      </c>
      <c r="B1757" s="496" t="s">
        <v>1843</v>
      </c>
      <c r="C1757" s="495" t="s">
        <v>77</v>
      </c>
      <c r="D1757" s="497" t="s">
        <v>78</v>
      </c>
      <c r="E1757" s="496" t="str">
        <f t="shared" si="81"/>
        <v>07</v>
      </c>
      <c r="F1757" s="496">
        <v>25717</v>
      </c>
      <c r="G1757" s="496" t="str">
        <f t="shared" si="82"/>
        <v>20522093743</v>
      </c>
    </row>
    <row r="1758" spans="1:7">
      <c r="A1758" s="496">
        <f t="shared" si="83"/>
        <v>1757</v>
      </c>
      <c r="B1758" s="496" t="s">
        <v>1844</v>
      </c>
      <c r="C1758" s="495" t="s">
        <v>82</v>
      </c>
      <c r="D1758" s="497" t="s">
        <v>83</v>
      </c>
      <c r="E1758" s="496" t="str">
        <f t="shared" si="81"/>
        <v>08</v>
      </c>
      <c r="F1758" s="496">
        <v>25718</v>
      </c>
      <c r="G1758" s="496" t="str">
        <f t="shared" si="82"/>
        <v>20510037562</v>
      </c>
    </row>
    <row r="1759" spans="1:7">
      <c r="A1759" s="496">
        <f t="shared" si="83"/>
        <v>1758</v>
      </c>
      <c r="B1759" s="496" t="s">
        <v>1845</v>
      </c>
      <c r="C1759" s="495" t="s">
        <v>85</v>
      </c>
      <c r="D1759" s="497" t="s">
        <v>86</v>
      </c>
      <c r="E1759" s="496" t="str">
        <f t="shared" si="81"/>
        <v>09</v>
      </c>
      <c r="F1759" s="496">
        <v>25719</v>
      </c>
      <c r="G1759" s="496" t="str">
        <f t="shared" si="82"/>
        <v>20110886196</v>
      </c>
    </row>
    <row r="1760" spans="1:7">
      <c r="A1760" s="496">
        <f t="shared" si="83"/>
        <v>1759</v>
      </c>
      <c r="B1760" s="496" t="s">
        <v>1846</v>
      </c>
      <c r="C1760" s="495" t="s">
        <v>88</v>
      </c>
      <c r="D1760" s="497" t="s">
        <v>89</v>
      </c>
      <c r="E1760" s="496" t="str">
        <f t="shared" si="81"/>
        <v>11</v>
      </c>
      <c r="F1760" s="496">
        <v>25720</v>
      </c>
      <c r="G1760" s="496" t="str">
        <f t="shared" si="82"/>
        <v>20168544252</v>
      </c>
    </row>
    <row r="1761" spans="1:7">
      <c r="A1761" s="496">
        <f t="shared" si="83"/>
        <v>1760</v>
      </c>
      <c r="B1761" s="496" t="s">
        <v>1847</v>
      </c>
      <c r="C1761" s="495" t="s">
        <v>91</v>
      </c>
      <c r="D1761" s="497" t="s">
        <v>92</v>
      </c>
      <c r="E1761" s="496" t="str">
        <f t="shared" si="81"/>
        <v>12</v>
      </c>
      <c r="F1761" s="496">
        <v>25724</v>
      </c>
      <c r="G1761" s="496" t="str">
        <f t="shared" si="82"/>
        <v>20476219761</v>
      </c>
    </row>
    <row r="1762" spans="1:7">
      <c r="A1762" s="496">
        <f t="shared" si="83"/>
        <v>1761</v>
      </c>
      <c r="B1762" s="496" t="s">
        <v>1848</v>
      </c>
      <c r="C1762" s="495" t="s">
        <v>77</v>
      </c>
      <c r="D1762" s="497" t="s">
        <v>78</v>
      </c>
      <c r="E1762" s="496" t="str">
        <f t="shared" si="81"/>
        <v>07</v>
      </c>
      <c r="F1762" s="496">
        <v>25717</v>
      </c>
      <c r="G1762" s="496" t="str">
        <f t="shared" si="82"/>
        <v>20100094135</v>
      </c>
    </row>
    <row r="1763" spans="1:7">
      <c r="A1763" s="496">
        <f t="shared" si="83"/>
        <v>1762</v>
      </c>
      <c r="B1763" s="496" t="s">
        <v>1849</v>
      </c>
      <c r="C1763" s="495" t="s">
        <v>82</v>
      </c>
      <c r="D1763" s="497" t="s">
        <v>83</v>
      </c>
      <c r="E1763" s="496" t="str">
        <f t="shared" si="81"/>
        <v>08</v>
      </c>
      <c r="F1763" s="496">
        <v>25718</v>
      </c>
      <c r="G1763" s="496" t="str">
        <f t="shared" si="82"/>
        <v>20259880603</v>
      </c>
    </row>
    <row r="1764" spans="1:7">
      <c r="A1764" s="496">
        <f t="shared" si="83"/>
        <v>1763</v>
      </c>
      <c r="B1764" s="496" t="s">
        <v>1850</v>
      </c>
      <c r="C1764" s="495" t="s">
        <v>85</v>
      </c>
      <c r="D1764" s="497" t="s">
        <v>86</v>
      </c>
      <c r="E1764" s="496" t="str">
        <f t="shared" si="81"/>
        <v>09</v>
      </c>
      <c r="F1764" s="496">
        <v>25719</v>
      </c>
      <c r="G1764" s="496" t="str">
        <f t="shared" si="82"/>
        <v>20260172035</v>
      </c>
    </row>
    <row r="1765" spans="1:7">
      <c r="A1765" s="496">
        <f t="shared" si="83"/>
        <v>1764</v>
      </c>
      <c r="B1765" s="496" t="s">
        <v>1851</v>
      </c>
      <c r="C1765" s="495" t="s">
        <v>88</v>
      </c>
      <c r="D1765" s="497" t="s">
        <v>89</v>
      </c>
      <c r="E1765" s="496" t="str">
        <f t="shared" si="81"/>
        <v>11</v>
      </c>
      <c r="F1765" s="496">
        <v>25720</v>
      </c>
      <c r="G1765" s="496" t="str">
        <f t="shared" si="82"/>
        <v>20509514641</v>
      </c>
    </row>
    <row r="1766" spans="1:7">
      <c r="A1766" s="496">
        <f t="shared" si="83"/>
        <v>1765</v>
      </c>
      <c r="B1766" s="496" t="s">
        <v>1852</v>
      </c>
      <c r="C1766" s="495" t="s">
        <v>91</v>
      </c>
      <c r="D1766" s="497" t="s">
        <v>92</v>
      </c>
      <c r="E1766" s="496" t="str">
        <f t="shared" si="81"/>
        <v>12</v>
      </c>
      <c r="F1766" s="496">
        <v>25724</v>
      </c>
      <c r="G1766" s="496" t="str">
        <f t="shared" si="82"/>
        <v>20100028698</v>
      </c>
    </row>
    <row r="1767" spans="1:7">
      <c r="A1767" s="496">
        <f t="shared" si="83"/>
        <v>1766</v>
      </c>
      <c r="B1767" s="496" t="s">
        <v>1853</v>
      </c>
      <c r="C1767" s="495" t="s">
        <v>77</v>
      </c>
      <c r="D1767" s="497" t="s">
        <v>78</v>
      </c>
      <c r="E1767" s="496" t="str">
        <f t="shared" si="81"/>
        <v>07</v>
      </c>
      <c r="F1767" s="496">
        <v>25717</v>
      </c>
      <c r="G1767" s="496" t="str">
        <f t="shared" si="82"/>
        <v>20519151279</v>
      </c>
    </row>
    <row r="1768" spans="1:7">
      <c r="A1768" s="496">
        <f t="shared" si="83"/>
        <v>1767</v>
      </c>
      <c r="B1768" s="496" t="s">
        <v>1854</v>
      </c>
      <c r="C1768" s="495" t="s">
        <v>82</v>
      </c>
      <c r="D1768" s="497" t="s">
        <v>83</v>
      </c>
      <c r="E1768" s="496" t="str">
        <f t="shared" si="81"/>
        <v>08</v>
      </c>
      <c r="F1768" s="496">
        <v>25718</v>
      </c>
      <c r="G1768" s="496" t="str">
        <f t="shared" si="82"/>
        <v>20544705335</v>
      </c>
    </row>
    <row r="1769" spans="1:7">
      <c r="A1769" s="496">
        <f t="shared" si="83"/>
        <v>1768</v>
      </c>
      <c r="B1769" s="496" t="s">
        <v>1855</v>
      </c>
      <c r="C1769" s="495" t="s">
        <v>85</v>
      </c>
      <c r="D1769" s="497" t="s">
        <v>86</v>
      </c>
      <c r="E1769" s="496" t="str">
        <f t="shared" si="81"/>
        <v>09</v>
      </c>
      <c r="F1769" s="496">
        <v>25719</v>
      </c>
      <c r="G1769" s="496" t="str">
        <f t="shared" si="82"/>
        <v>20544637313</v>
      </c>
    </row>
    <row r="1770" spans="1:7">
      <c r="A1770" s="496">
        <f t="shared" si="83"/>
        <v>1769</v>
      </c>
      <c r="B1770" s="496" t="s">
        <v>1856</v>
      </c>
      <c r="C1770" s="495" t="s">
        <v>88</v>
      </c>
      <c r="D1770" s="497" t="s">
        <v>89</v>
      </c>
      <c r="E1770" s="496" t="str">
        <f t="shared" si="81"/>
        <v>11</v>
      </c>
      <c r="F1770" s="496">
        <v>25720</v>
      </c>
      <c r="G1770" s="496" t="str">
        <f t="shared" si="82"/>
        <v>20503758114</v>
      </c>
    </row>
    <row r="1771" spans="1:7">
      <c r="A1771" s="496">
        <f t="shared" si="83"/>
        <v>1770</v>
      </c>
      <c r="B1771" s="496" t="s">
        <v>1857</v>
      </c>
      <c r="C1771" s="495" t="s">
        <v>91</v>
      </c>
      <c r="D1771" s="497" t="s">
        <v>92</v>
      </c>
      <c r="E1771" s="496" t="str">
        <f t="shared" si="81"/>
        <v>12</v>
      </c>
      <c r="F1771" s="496">
        <v>25724</v>
      </c>
      <c r="G1771" s="496" t="str">
        <f t="shared" si="82"/>
        <v>20544072031</v>
      </c>
    </row>
    <row r="1772" spans="1:7">
      <c r="A1772" s="496">
        <f t="shared" si="83"/>
        <v>1771</v>
      </c>
      <c r="B1772" s="496" t="s">
        <v>1858</v>
      </c>
      <c r="C1772" s="495" t="s">
        <v>77</v>
      </c>
      <c r="D1772" s="497" t="s">
        <v>78</v>
      </c>
      <c r="E1772" s="496" t="str">
        <f t="shared" si="81"/>
        <v>07</v>
      </c>
      <c r="F1772" s="496">
        <v>25717</v>
      </c>
      <c r="G1772" s="496" t="str">
        <f t="shared" si="82"/>
        <v>20563236354</v>
      </c>
    </row>
    <row r="1773" spans="1:7">
      <c r="A1773" s="496">
        <f t="shared" si="83"/>
        <v>1772</v>
      </c>
      <c r="B1773" s="496" t="s">
        <v>1859</v>
      </c>
      <c r="C1773" s="495" t="s">
        <v>82</v>
      </c>
      <c r="D1773" s="497" t="s">
        <v>83</v>
      </c>
      <c r="E1773" s="496" t="str">
        <f t="shared" si="81"/>
        <v>08</v>
      </c>
      <c r="F1773" s="496">
        <v>25718</v>
      </c>
      <c r="G1773" s="496" t="str">
        <f t="shared" si="82"/>
        <v>20256466652</v>
      </c>
    </row>
    <row r="1774" spans="1:7">
      <c r="A1774" s="496">
        <f t="shared" si="83"/>
        <v>1773</v>
      </c>
      <c r="B1774" s="496" t="s">
        <v>1860</v>
      </c>
      <c r="C1774" s="495" t="s">
        <v>85</v>
      </c>
      <c r="D1774" s="497" t="s">
        <v>86</v>
      </c>
      <c r="E1774" s="496" t="str">
        <f t="shared" si="81"/>
        <v>09</v>
      </c>
      <c r="F1774" s="496">
        <v>25719</v>
      </c>
      <c r="G1774" s="496" t="str">
        <f t="shared" si="82"/>
        <v>20297652274</v>
      </c>
    </row>
    <row r="1775" spans="1:7">
      <c r="A1775" s="496">
        <f t="shared" si="83"/>
        <v>1774</v>
      </c>
      <c r="B1775" s="496" t="s">
        <v>1861</v>
      </c>
      <c r="C1775" s="495" t="s">
        <v>88</v>
      </c>
      <c r="D1775" s="497" t="s">
        <v>89</v>
      </c>
      <c r="E1775" s="496" t="str">
        <f t="shared" si="81"/>
        <v>11</v>
      </c>
      <c r="F1775" s="496">
        <v>25720</v>
      </c>
      <c r="G1775" s="496" t="str">
        <f t="shared" si="82"/>
        <v>20565367952</v>
      </c>
    </row>
    <row r="1776" spans="1:7">
      <c r="A1776" s="496">
        <f t="shared" si="83"/>
        <v>1775</v>
      </c>
      <c r="B1776" s="496" t="s">
        <v>1862</v>
      </c>
      <c r="C1776" s="495" t="s">
        <v>91</v>
      </c>
      <c r="D1776" s="497" t="s">
        <v>92</v>
      </c>
      <c r="E1776" s="496" t="str">
        <f t="shared" si="81"/>
        <v>12</v>
      </c>
      <c r="F1776" s="496">
        <v>25724</v>
      </c>
      <c r="G1776" s="496" t="str">
        <f t="shared" si="82"/>
        <v>20423195119</v>
      </c>
    </row>
    <row r="1777" spans="1:7">
      <c r="A1777" s="496">
        <f t="shared" si="83"/>
        <v>1776</v>
      </c>
      <c r="B1777" s="496" t="s">
        <v>1863</v>
      </c>
      <c r="C1777" s="495" t="s">
        <v>77</v>
      </c>
      <c r="D1777" s="497" t="s">
        <v>78</v>
      </c>
      <c r="E1777" s="496" t="str">
        <f t="shared" si="81"/>
        <v>07</v>
      </c>
      <c r="F1777" s="496">
        <v>25717</v>
      </c>
      <c r="G1777" s="496" t="str">
        <f t="shared" si="82"/>
        <v>20524489300</v>
      </c>
    </row>
    <row r="1778" spans="1:7">
      <c r="A1778" s="496">
        <f t="shared" si="83"/>
        <v>1777</v>
      </c>
      <c r="B1778" s="496" t="s">
        <v>1864</v>
      </c>
      <c r="C1778" s="495" t="s">
        <v>82</v>
      </c>
      <c r="D1778" s="497" t="s">
        <v>83</v>
      </c>
      <c r="E1778" s="496" t="str">
        <f t="shared" si="81"/>
        <v>08</v>
      </c>
      <c r="F1778" s="496">
        <v>25718</v>
      </c>
      <c r="G1778" s="496" t="str">
        <f t="shared" si="82"/>
        <v>20515056468</v>
      </c>
    </row>
    <row r="1779" spans="1:7">
      <c r="A1779" s="496">
        <f t="shared" si="83"/>
        <v>1778</v>
      </c>
      <c r="B1779" s="496" t="s">
        <v>1865</v>
      </c>
      <c r="C1779" s="495" t="s">
        <v>85</v>
      </c>
      <c r="D1779" s="497" t="s">
        <v>86</v>
      </c>
      <c r="E1779" s="496" t="str">
        <f t="shared" si="81"/>
        <v>09</v>
      </c>
      <c r="F1779" s="496">
        <v>25719</v>
      </c>
      <c r="G1779" s="496" t="str">
        <f t="shared" si="82"/>
        <v>20100223555</v>
      </c>
    </row>
    <row r="1780" spans="1:7">
      <c r="A1780" s="496">
        <f t="shared" si="83"/>
        <v>1779</v>
      </c>
      <c r="B1780" s="496" t="s">
        <v>1866</v>
      </c>
      <c r="C1780" s="495" t="s">
        <v>88</v>
      </c>
      <c r="D1780" s="497" t="s">
        <v>89</v>
      </c>
      <c r="E1780" s="496" t="str">
        <f t="shared" si="81"/>
        <v>11</v>
      </c>
      <c r="F1780" s="496">
        <v>25720</v>
      </c>
      <c r="G1780" s="496" t="str">
        <f t="shared" si="82"/>
        <v>20100190797</v>
      </c>
    </row>
    <row r="1781" spans="1:7">
      <c r="A1781" s="496">
        <f t="shared" si="83"/>
        <v>1780</v>
      </c>
      <c r="B1781" s="496" t="s">
        <v>1867</v>
      </c>
      <c r="C1781" s="495" t="s">
        <v>91</v>
      </c>
      <c r="D1781" s="497" t="s">
        <v>92</v>
      </c>
      <c r="E1781" s="496" t="str">
        <f t="shared" si="81"/>
        <v>12</v>
      </c>
      <c r="F1781" s="496">
        <v>25724</v>
      </c>
      <c r="G1781" s="496" t="str">
        <f t="shared" si="82"/>
        <v>20100356270</v>
      </c>
    </row>
    <row r="1782" spans="1:7">
      <c r="A1782" s="496">
        <f t="shared" si="83"/>
        <v>1781</v>
      </c>
      <c r="B1782" s="496" t="s">
        <v>1868</v>
      </c>
      <c r="C1782" s="495" t="s">
        <v>77</v>
      </c>
      <c r="D1782" s="497" t="s">
        <v>78</v>
      </c>
      <c r="E1782" s="496" t="str">
        <f t="shared" si="81"/>
        <v>07</v>
      </c>
      <c r="F1782" s="496">
        <v>25717</v>
      </c>
      <c r="G1782" s="496" t="str">
        <f t="shared" si="82"/>
        <v>20507828915</v>
      </c>
    </row>
    <row r="1783" spans="1:7">
      <c r="A1783" s="496">
        <f t="shared" si="83"/>
        <v>1782</v>
      </c>
      <c r="B1783" s="496" t="s">
        <v>1869</v>
      </c>
      <c r="C1783" s="495" t="s">
        <v>82</v>
      </c>
      <c r="D1783" s="497" t="s">
        <v>83</v>
      </c>
      <c r="E1783" s="496" t="str">
        <f t="shared" si="81"/>
        <v>08</v>
      </c>
      <c r="F1783" s="496">
        <v>25718</v>
      </c>
      <c r="G1783" s="496" t="str">
        <f t="shared" si="82"/>
        <v>20536161199</v>
      </c>
    </row>
    <row r="1784" spans="1:7">
      <c r="A1784" s="496">
        <f t="shared" si="83"/>
        <v>1783</v>
      </c>
      <c r="B1784" s="496" t="s">
        <v>1870</v>
      </c>
      <c r="C1784" s="495" t="s">
        <v>85</v>
      </c>
      <c r="D1784" s="497" t="s">
        <v>86</v>
      </c>
      <c r="E1784" s="496" t="str">
        <f t="shared" si="81"/>
        <v>09</v>
      </c>
      <c r="F1784" s="496">
        <v>25719</v>
      </c>
      <c r="G1784" s="496" t="str">
        <f t="shared" si="82"/>
        <v>20513842377</v>
      </c>
    </row>
    <row r="1785" spans="1:7">
      <c r="A1785" s="496">
        <f t="shared" si="83"/>
        <v>1784</v>
      </c>
      <c r="B1785" s="496" t="s">
        <v>1871</v>
      </c>
      <c r="C1785" s="495" t="s">
        <v>88</v>
      </c>
      <c r="D1785" s="497" t="s">
        <v>89</v>
      </c>
      <c r="E1785" s="496" t="str">
        <f t="shared" si="81"/>
        <v>11</v>
      </c>
      <c r="F1785" s="496">
        <v>25720</v>
      </c>
      <c r="G1785" s="496" t="str">
        <f t="shared" si="82"/>
        <v>20332600592</v>
      </c>
    </row>
    <row r="1786" spans="1:7">
      <c r="A1786" s="496">
        <f t="shared" si="83"/>
        <v>1785</v>
      </c>
      <c r="B1786" s="496" t="s">
        <v>1872</v>
      </c>
      <c r="C1786" s="495" t="s">
        <v>91</v>
      </c>
      <c r="D1786" s="497" t="s">
        <v>92</v>
      </c>
      <c r="E1786" s="496" t="str">
        <f t="shared" si="81"/>
        <v>12</v>
      </c>
      <c r="F1786" s="496">
        <v>25724</v>
      </c>
      <c r="G1786" s="496" t="str">
        <f t="shared" si="82"/>
        <v>20549302671</v>
      </c>
    </row>
    <row r="1787" spans="1:7">
      <c r="A1787" s="496">
        <f t="shared" si="83"/>
        <v>1786</v>
      </c>
      <c r="B1787" s="496" t="s">
        <v>1873</v>
      </c>
      <c r="C1787" s="495" t="s">
        <v>77</v>
      </c>
      <c r="D1787" s="497" t="s">
        <v>78</v>
      </c>
      <c r="E1787" s="496" t="str">
        <f t="shared" si="81"/>
        <v>07</v>
      </c>
      <c r="F1787" s="496">
        <v>25717</v>
      </c>
      <c r="G1787" s="496" t="str">
        <f t="shared" si="82"/>
        <v>20101247431</v>
      </c>
    </row>
    <row r="1788" spans="1:7">
      <c r="A1788" s="496">
        <f t="shared" si="83"/>
        <v>1787</v>
      </c>
      <c r="B1788" s="496" t="s">
        <v>1874</v>
      </c>
      <c r="C1788" s="495" t="s">
        <v>82</v>
      </c>
      <c r="D1788" s="497" t="s">
        <v>83</v>
      </c>
      <c r="E1788" s="496" t="str">
        <f t="shared" si="81"/>
        <v>08</v>
      </c>
      <c r="F1788" s="496">
        <v>25718</v>
      </c>
      <c r="G1788" s="496" t="str">
        <f t="shared" si="82"/>
        <v>20543011976</v>
      </c>
    </row>
    <row r="1789" spans="1:7">
      <c r="A1789" s="496">
        <f t="shared" si="83"/>
        <v>1788</v>
      </c>
      <c r="B1789" s="496" t="s">
        <v>1875</v>
      </c>
      <c r="C1789" s="495" t="s">
        <v>85</v>
      </c>
      <c r="D1789" s="497" t="s">
        <v>86</v>
      </c>
      <c r="E1789" s="496" t="str">
        <f t="shared" si="81"/>
        <v>09</v>
      </c>
      <c r="F1789" s="496">
        <v>25719</v>
      </c>
      <c r="G1789" s="496" t="str">
        <f t="shared" si="82"/>
        <v>20523611250</v>
      </c>
    </row>
    <row r="1790" spans="1:7">
      <c r="A1790" s="496">
        <f t="shared" si="83"/>
        <v>1789</v>
      </c>
      <c r="B1790" s="496" t="s">
        <v>1876</v>
      </c>
      <c r="C1790" s="495" t="s">
        <v>88</v>
      </c>
      <c r="D1790" s="497" t="s">
        <v>89</v>
      </c>
      <c r="E1790" s="496" t="str">
        <f t="shared" si="81"/>
        <v>11</v>
      </c>
      <c r="F1790" s="496">
        <v>25720</v>
      </c>
      <c r="G1790" s="496" t="str">
        <f t="shared" si="82"/>
        <v>20155793075</v>
      </c>
    </row>
    <row r="1791" spans="1:7">
      <c r="A1791" s="496">
        <f t="shared" si="83"/>
        <v>1790</v>
      </c>
      <c r="B1791" s="496" t="s">
        <v>1877</v>
      </c>
      <c r="C1791" s="495" t="s">
        <v>91</v>
      </c>
      <c r="D1791" s="497" t="s">
        <v>92</v>
      </c>
      <c r="E1791" s="496" t="str">
        <f t="shared" si="81"/>
        <v>12</v>
      </c>
      <c r="F1791" s="496">
        <v>25724</v>
      </c>
      <c r="G1791" s="496" t="str">
        <f t="shared" si="82"/>
        <v>20335020872</v>
      </c>
    </row>
    <row r="1792" spans="1:7">
      <c r="A1792" s="496">
        <f t="shared" si="83"/>
        <v>1791</v>
      </c>
      <c r="B1792" s="496" t="s">
        <v>1878</v>
      </c>
      <c r="C1792" s="495" t="s">
        <v>77</v>
      </c>
      <c r="D1792" s="497" t="s">
        <v>78</v>
      </c>
      <c r="E1792" s="496" t="str">
        <f t="shared" si="81"/>
        <v>07</v>
      </c>
      <c r="F1792" s="496">
        <v>25717</v>
      </c>
      <c r="G1792" s="496" t="str">
        <f t="shared" si="82"/>
        <v>20501426041</v>
      </c>
    </row>
    <row r="1793" spans="1:7">
      <c r="A1793" s="496">
        <f t="shared" si="83"/>
        <v>1792</v>
      </c>
      <c r="B1793" s="496" t="s">
        <v>1879</v>
      </c>
      <c r="C1793" s="495" t="s">
        <v>82</v>
      </c>
      <c r="D1793" s="497" t="s">
        <v>83</v>
      </c>
      <c r="E1793" s="496" t="str">
        <f t="shared" si="81"/>
        <v>08</v>
      </c>
      <c r="F1793" s="496">
        <v>25718</v>
      </c>
      <c r="G1793" s="496" t="str">
        <f t="shared" si="82"/>
        <v>20508565934</v>
      </c>
    </row>
    <row r="1794" spans="1:7">
      <c r="A1794" s="496">
        <f t="shared" si="83"/>
        <v>1793</v>
      </c>
      <c r="B1794" s="496" t="s">
        <v>1880</v>
      </c>
      <c r="C1794" s="495" t="s">
        <v>85</v>
      </c>
      <c r="D1794" s="497" t="s">
        <v>86</v>
      </c>
      <c r="E1794" s="496" t="str">
        <f t="shared" si="81"/>
        <v>09</v>
      </c>
      <c r="F1794" s="496">
        <v>25719</v>
      </c>
      <c r="G1794" s="496" t="str">
        <f t="shared" si="82"/>
        <v>20517849104</v>
      </c>
    </row>
    <row r="1795" spans="1:7">
      <c r="A1795" s="496">
        <f t="shared" si="83"/>
        <v>1794</v>
      </c>
      <c r="B1795" s="496" t="s">
        <v>1881</v>
      </c>
      <c r="C1795" s="495" t="s">
        <v>88</v>
      </c>
      <c r="D1795" s="497" t="s">
        <v>89</v>
      </c>
      <c r="E1795" s="496" t="str">
        <f t="shared" ref="E1795:E1858" si="84">IF(MID(D1795,14,1)="@",MID(D1795,12,2),"0"&amp;MID(D1795,12,1))</f>
        <v>11</v>
      </c>
      <c r="F1795" s="496">
        <v>25720</v>
      </c>
      <c r="G1795" s="496" t="str">
        <f t="shared" ref="G1795:G1858" si="85">CONCATENATE(B1795)</f>
        <v>20479079006</v>
      </c>
    </row>
    <row r="1796" spans="1:7">
      <c r="A1796" s="496">
        <f t="shared" ref="A1796:A1859" si="86">+A1795+1</f>
        <v>1795</v>
      </c>
      <c r="B1796" s="496" t="s">
        <v>1882</v>
      </c>
      <c r="C1796" s="495" t="s">
        <v>91</v>
      </c>
      <c r="D1796" s="497" t="s">
        <v>92</v>
      </c>
      <c r="E1796" s="496" t="str">
        <f t="shared" si="84"/>
        <v>12</v>
      </c>
      <c r="F1796" s="496">
        <v>25724</v>
      </c>
      <c r="G1796" s="496" t="str">
        <f t="shared" si="85"/>
        <v>20266041846</v>
      </c>
    </row>
    <row r="1797" spans="1:7">
      <c r="A1797" s="496">
        <f t="shared" si="86"/>
        <v>1796</v>
      </c>
      <c r="B1797" s="496" t="s">
        <v>1883</v>
      </c>
      <c r="C1797" s="495" t="s">
        <v>77</v>
      </c>
      <c r="D1797" s="497" t="s">
        <v>78</v>
      </c>
      <c r="E1797" s="496" t="str">
        <f t="shared" si="84"/>
        <v>07</v>
      </c>
      <c r="F1797" s="496">
        <v>25717</v>
      </c>
      <c r="G1797" s="496" t="str">
        <f t="shared" si="85"/>
        <v>20103733015</v>
      </c>
    </row>
    <row r="1798" spans="1:7">
      <c r="A1798" s="496">
        <f t="shared" si="86"/>
        <v>1797</v>
      </c>
      <c r="B1798" s="496" t="s">
        <v>1884</v>
      </c>
      <c r="C1798" s="495" t="s">
        <v>82</v>
      </c>
      <c r="D1798" s="497" t="s">
        <v>83</v>
      </c>
      <c r="E1798" s="496" t="str">
        <f t="shared" si="84"/>
        <v>08</v>
      </c>
      <c r="F1798" s="496">
        <v>25718</v>
      </c>
      <c r="G1798" s="496" t="str">
        <f t="shared" si="85"/>
        <v>20552721668</v>
      </c>
    </row>
    <row r="1799" spans="1:7">
      <c r="A1799" s="496">
        <f t="shared" si="86"/>
        <v>1798</v>
      </c>
      <c r="B1799" s="496" t="s">
        <v>1885</v>
      </c>
      <c r="C1799" s="495" t="s">
        <v>85</v>
      </c>
      <c r="D1799" s="497" t="s">
        <v>86</v>
      </c>
      <c r="E1799" s="496" t="str">
        <f t="shared" si="84"/>
        <v>09</v>
      </c>
      <c r="F1799" s="496">
        <v>25719</v>
      </c>
      <c r="G1799" s="496" t="str">
        <f t="shared" si="85"/>
        <v>20507646728</v>
      </c>
    </row>
    <row r="1800" spans="1:7">
      <c r="A1800" s="496">
        <f t="shared" si="86"/>
        <v>1799</v>
      </c>
      <c r="B1800" s="496" t="s">
        <v>1886</v>
      </c>
      <c r="C1800" s="495" t="s">
        <v>88</v>
      </c>
      <c r="D1800" s="497" t="s">
        <v>89</v>
      </c>
      <c r="E1800" s="496" t="str">
        <f t="shared" si="84"/>
        <v>11</v>
      </c>
      <c r="F1800" s="496">
        <v>25720</v>
      </c>
      <c r="G1800" s="496" t="str">
        <f t="shared" si="85"/>
        <v>20511165181</v>
      </c>
    </row>
    <row r="1801" spans="1:7">
      <c r="A1801" s="496">
        <f t="shared" si="86"/>
        <v>1800</v>
      </c>
      <c r="B1801" s="496" t="s">
        <v>1887</v>
      </c>
      <c r="C1801" s="495" t="s">
        <v>91</v>
      </c>
      <c r="D1801" s="497" t="s">
        <v>92</v>
      </c>
      <c r="E1801" s="496" t="str">
        <f t="shared" si="84"/>
        <v>12</v>
      </c>
      <c r="F1801" s="496">
        <v>25724</v>
      </c>
      <c r="G1801" s="496" t="str">
        <f t="shared" si="85"/>
        <v>20467685661</v>
      </c>
    </row>
    <row r="1802" spans="1:7">
      <c r="A1802" s="496">
        <f t="shared" si="86"/>
        <v>1801</v>
      </c>
      <c r="B1802" s="496" t="s">
        <v>1888</v>
      </c>
      <c r="C1802" s="495" t="s">
        <v>77</v>
      </c>
      <c r="D1802" s="497" t="s">
        <v>78</v>
      </c>
      <c r="E1802" s="496" t="str">
        <f t="shared" si="84"/>
        <v>07</v>
      </c>
      <c r="F1802" s="496">
        <v>25717</v>
      </c>
      <c r="G1802" s="496" t="str">
        <f t="shared" si="85"/>
        <v>20100075009</v>
      </c>
    </row>
    <row r="1803" spans="1:7">
      <c r="A1803" s="496">
        <f t="shared" si="86"/>
        <v>1802</v>
      </c>
      <c r="B1803" s="496" t="s">
        <v>1889</v>
      </c>
      <c r="C1803" s="495" t="s">
        <v>82</v>
      </c>
      <c r="D1803" s="497" t="s">
        <v>83</v>
      </c>
      <c r="E1803" s="496" t="str">
        <f t="shared" si="84"/>
        <v>08</v>
      </c>
      <c r="F1803" s="496">
        <v>25718</v>
      </c>
      <c r="G1803" s="496" t="str">
        <f t="shared" si="85"/>
        <v>20546892175</v>
      </c>
    </row>
    <row r="1804" spans="1:7">
      <c r="A1804" s="496">
        <f t="shared" si="86"/>
        <v>1803</v>
      </c>
      <c r="B1804" s="496" t="s">
        <v>1890</v>
      </c>
      <c r="C1804" s="495" t="s">
        <v>85</v>
      </c>
      <c r="D1804" s="497" t="s">
        <v>86</v>
      </c>
      <c r="E1804" s="496" t="str">
        <f t="shared" si="84"/>
        <v>09</v>
      </c>
      <c r="F1804" s="496">
        <v>25719</v>
      </c>
      <c r="G1804" s="496" t="str">
        <f t="shared" si="85"/>
        <v>20512208119</v>
      </c>
    </row>
    <row r="1805" spans="1:7">
      <c r="A1805" s="496">
        <f t="shared" si="86"/>
        <v>1804</v>
      </c>
      <c r="B1805" s="496" t="s">
        <v>1891</v>
      </c>
      <c r="C1805" s="495" t="s">
        <v>88</v>
      </c>
      <c r="D1805" s="497" t="s">
        <v>89</v>
      </c>
      <c r="E1805" s="496" t="str">
        <f t="shared" si="84"/>
        <v>11</v>
      </c>
      <c r="F1805" s="496">
        <v>25720</v>
      </c>
      <c r="G1805" s="496" t="str">
        <f t="shared" si="85"/>
        <v>20475308817</v>
      </c>
    </row>
    <row r="1806" spans="1:7">
      <c r="A1806" s="496">
        <f t="shared" si="86"/>
        <v>1805</v>
      </c>
      <c r="B1806" s="496" t="s">
        <v>1892</v>
      </c>
      <c r="C1806" s="495" t="s">
        <v>91</v>
      </c>
      <c r="D1806" s="497" t="s">
        <v>92</v>
      </c>
      <c r="E1806" s="496" t="str">
        <f t="shared" si="84"/>
        <v>12</v>
      </c>
      <c r="F1806" s="496">
        <v>25724</v>
      </c>
      <c r="G1806" s="496" t="str">
        <f t="shared" si="85"/>
        <v>20441766883</v>
      </c>
    </row>
    <row r="1807" spans="1:7">
      <c r="A1807" s="496">
        <f t="shared" si="86"/>
        <v>1806</v>
      </c>
      <c r="B1807" s="496" t="s">
        <v>1893</v>
      </c>
      <c r="C1807" s="495" t="s">
        <v>77</v>
      </c>
      <c r="D1807" s="497" t="s">
        <v>78</v>
      </c>
      <c r="E1807" s="496" t="str">
        <f t="shared" si="84"/>
        <v>07</v>
      </c>
      <c r="F1807" s="496">
        <v>25717</v>
      </c>
      <c r="G1807" s="496" t="str">
        <f t="shared" si="85"/>
        <v>20101029442</v>
      </c>
    </row>
    <row r="1808" spans="1:7">
      <c r="A1808" s="496">
        <f t="shared" si="86"/>
        <v>1807</v>
      </c>
      <c r="B1808" s="496" t="s">
        <v>1894</v>
      </c>
      <c r="C1808" s="495" t="s">
        <v>82</v>
      </c>
      <c r="D1808" s="497" t="s">
        <v>83</v>
      </c>
      <c r="E1808" s="496" t="str">
        <f t="shared" si="84"/>
        <v>08</v>
      </c>
      <c r="F1808" s="496">
        <v>25718</v>
      </c>
      <c r="G1808" s="496" t="str">
        <f t="shared" si="85"/>
        <v>20512942891</v>
      </c>
    </row>
    <row r="1809" spans="1:7">
      <c r="A1809" s="496">
        <f t="shared" si="86"/>
        <v>1808</v>
      </c>
      <c r="B1809" s="496" t="s">
        <v>1895</v>
      </c>
      <c r="C1809" s="495" t="s">
        <v>85</v>
      </c>
      <c r="D1809" s="497" t="s">
        <v>86</v>
      </c>
      <c r="E1809" s="496" t="str">
        <f t="shared" si="84"/>
        <v>09</v>
      </c>
      <c r="F1809" s="496">
        <v>25719</v>
      </c>
      <c r="G1809" s="496" t="str">
        <f t="shared" si="85"/>
        <v>20135227740</v>
      </c>
    </row>
    <row r="1810" spans="1:7">
      <c r="A1810" s="496">
        <f t="shared" si="86"/>
        <v>1809</v>
      </c>
      <c r="B1810" s="496" t="s">
        <v>1896</v>
      </c>
      <c r="C1810" s="495" t="s">
        <v>88</v>
      </c>
      <c r="D1810" s="497" t="s">
        <v>89</v>
      </c>
      <c r="E1810" s="496" t="str">
        <f t="shared" si="84"/>
        <v>11</v>
      </c>
      <c r="F1810" s="496">
        <v>25720</v>
      </c>
      <c r="G1810" s="496" t="str">
        <f t="shared" si="85"/>
        <v>20144675216</v>
      </c>
    </row>
    <row r="1811" spans="1:7">
      <c r="A1811" s="496">
        <f t="shared" si="86"/>
        <v>1810</v>
      </c>
      <c r="B1811" s="496" t="s">
        <v>1897</v>
      </c>
      <c r="C1811" s="495" t="s">
        <v>91</v>
      </c>
      <c r="D1811" s="497" t="s">
        <v>92</v>
      </c>
      <c r="E1811" s="496" t="str">
        <f t="shared" si="84"/>
        <v>12</v>
      </c>
      <c r="F1811" s="496">
        <v>25724</v>
      </c>
      <c r="G1811" s="496" t="str">
        <f t="shared" si="85"/>
        <v>20254507874</v>
      </c>
    </row>
    <row r="1812" spans="1:7">
      <c r="A1812" s="496">
        <f t="shared" si="86"/>
        <v>1811</v>
      </c>
      <c r="B1812" s="496" t="s">
        <v>1898</v>
      </c>
      <c r="C1812" s="495" t="s">
        <v>77</v>
      </c>
      <c r="D1812" s="497" t="s">
        <v>78</v>
      </c>
      <c r="E1812" s="496" t="str">
        <f t="shared" si="84"/>
        <v>07</v>
      </c>
      <c r="F1812" s="496">
        <v>25717</v>
      </c>
      <c r="G1812" s="496" t="str">
        <f t="shared" si="85"/>
        <v>20501844986</v>
      </c>
    </row>
    <row r="1813" spans="1:7">
      <c r="A1813" s="496">
        <f t="shared" si="86"/>
        <v>1812</v>
      </c>
      <c r="B1813" s="496" t="s">
        <v>1899</v>
      </c>
      <c r="C1813" s="495" t="s">
        <v>82</v>
      </c>
      <c r="D1813" s="497" t="s">
        <v>83</v>
      </c>
      <c r="E1813" s="496" t="str">
        <f t="shared" si="84"/>
        <v>08</v>
      </c>
      <c r="F1813" s="496">
        <v>25718</v>
      </c>
      <c r="G1813" s="496" t="str">
        <f t="shared" si="85"/>
        <v>20268451146</v>
      </c>
    </row>
    <row r="1814" spans="1:7">
      <c r="A1814" s="496">
        <f t="shared" si="86"/>
        <v>1813</v>
      </c>
      <c r="B1814" s="496" t="s">
        <v>1900</v>
      </c>
      <c r="C1814" s="495" t="s">
        <v>85</v>
      </c>
      <c r="D1814" s="497" t="s">
        <v>86</v>
      </c>
      <c r="E1814" s="496" t="str">
        <f t="shared" si="84"/>
        <v>09</v>
      </c>
      <c r="F1814" s="496">
        <v>25719</v>
      </c>
      <c r="G1814" s="496" t="str">
        <f t="shared" si="85"/>
        <v>20508780746</v>
      </c>
    </row>
    <row r="1815" spans="1:7">
      <c r="A1815" s="496">
        <f t="shared" si="86"/>
        <v>1814</v>
      </c>
      <c r="B1815" s="496" t="s">
        <v>1901</v>
      </c>
      <c r="C1815" s="495" t="s">
        <v>88</v>
      </c>
      <c r="D1815" s="497" t="s">
        <v>89</v>
      </c>
      <c r="E1815" s="496" t="str">
        <f t="shared" si="84"/>
        <v>11</v>
      </c>
      <c r="F1815" s="496">
        <v>25720</v>
      </c>
      <c r="G1815" s="496" t="str">
        <f t="shared" si="85"/>
        <v>20514448338</v>
      </c>
    </row>
    <row r="1816" spans="1:7">
      <c r="A1816" s="496">
        <f t="shared" si="86"/>
        <v>1815</v>
      </c>
      <c r="B1816" s="496" t="s">
        <v>1902</v>
      </c>
      <c r="C1816" s="495" t="s">
        <v>91</v>
      </c>
      <c r="D1816" s="497" t="s">
        <v>92</v>
      </c>
      <c r="E1816" s="496" t="str">
        <f t="shared" si="84"/>
        <v>12</v>
      </c>
      <c r="F1816" s="496">
        <v>25724</v>
      </c>
      <c r="G1816" s="496" t="str">
        <f t="shared" si="85"/>
        <v>20382748566</v>
      </c>
    </row>
    <row r="1817" spans="1:7">
      <c r="A1817" s="496">
        <f t="shared" si="86"/>
        <v>1816</v>
      </c>
      <c r="B1817" s="496" t="s">
        <v>1903</v>
      </c>
      <c r="C1817" s="495" t="s">
        <v>77</v>
      </c>
      <c r="D1817" s="497" t="s">
        <v>78</v>
      </c>
      <c r="E1817" s="496" t="str">
        <f t="shared" si="84"/>
        <v>07</v>
      </c>
      <c r="F1817" s="496">
        <v>25717</v>
      </c>
      <c r="G1817" s="496" t="str">
        <f t="shared" si="85"/>
        <v>20553556733</v>
      </c>
    </row>
    <row r="1818" spans="1:7">
      <c r="A1818" s="496">
        <f t="shared" si="86"/>
        <v>1817</v>
      </c>
      <c r="B1818" s="496" t="s">
        <v>1904</v>
      </c>
      <c r="C1818" s="495" t="s">
        <v>82</v>
      </c>
      <c r="D1818" s="497" t="s">
        <v>83</v>
      </c>
      <c r="E1818" s="496" t="str">
        <f t="shared" si="84"/>
        <v>08</v>
      </c>
      <c r="F1818" s="496">
        <v>25718</v>
      </c>
      <c r="G1818" s="496" t="str">
        <f t="shared" si="85"/>
        <v>20101099149</v>
      </c>
    </row>
    <row r="1819" spans="1:7">
      <c r="A1819" s="496">
        <f t="shared" si="86"/>
        <v>1818</v>
      </c>
      <c r="B1819" s="496" t="s">
        <v>1905</v>
      </c>
      <c r="C1819" s="495" t="s">
        <v>85</v>
      </c>
      <c r="D1819" s="497" t="s">
        <v>86</v>
      </c>
      <c r="E1819" s="496" t="str">
        <f t="shared" si="84"/>
        <v>09</v>
      </c>
      <c r="F1819" s="496">
        <v>25719</v>
      </c>
      <c r="G1819" s="496" t="str">
        <f t="shared" si="85"/>
        <v>20544994779</v>
      </c>
    </row>
    <row r="1820" spans="1:7">
      <c r="A1820" s="496">
        <f t="shared" si="86"/>
        <v>1819</v>
      </c>
      <c r="B1820" s="496" t="s">
        <v>1906</v>
      </c>
      <c r="C1820" s="495" t="s">
        <v>88</v>
      </c>
      <c r="D1820" s="497" t="s">
        <v>89</v>
      </c>
      <c r="E1820" s="496" t="str">
        <f t="shared" si="84"/>
        <v>11</v>
      </c>
      <c r="F1820" s="496">
        <v>25720</v>
      </c>
      <c r="G1820" s="496" t="str">
        <f t="shared" si="85"/>
        <v>20101045995</v>
      </c>
    </row>
    <row r="1821" spans="1:7">
      <c r="A1821" s="496">
        <f t="shared" si="86"/>
        <v>1820</v>
      </c>
      <c r="B1821" s="496" t="s">
        <v>1907</v>
      </c>
      <c r="C1821" s="495" t="s">
        <v>91</v>
      </c>
      <c r="D1821" s="497" t="s">
        <v>92</v>
      </c>
      <c r="E1821" s="496" t="str">
        <f t="shared" si="84"/>
        <v>12</v>
      </c>
      <c r="F1821" s="496">
        <v>25724</v>
      </c>
      <c r="G1821" s="496" t="str">
        <f t="shared" si="85"/>
        <v>20217264783</v>
      </c>
    </row>
    <row r="1822" spans="1:7">
      <c r="A1822" s="496">
        <f t="shared" si="86"/>
        <v>1821</v>
      </c>
      <c r="B1822" s="496" t="s">
        <v>1908</v>
      </c>
      <c r="C1822" s="495" t="s">
        <v>77</v>
      </c>
      <c r="D1822" s="497" t="s">
        <v>78</v>
      </c>
      <c r="E1822" s="496" t="str">
        <f t="shared" si="84"/>
        <v>07</v>
      </c>
      <c r="F1822" s="496">
        <v>25717</v>
      </c>
      <c r="G1822" s="496" t="str">
        <f t="shared" si="85"/>
        <v>20114803228</v>
      </c>
    </row>
    <row r="1823" spans="1:7">
      <c r="A1823" s="496">
        <f t="shared" si="86"/>
        <v>1822</v>
      </c>
      <c r="B1823" s="496" t="s">
        <v>1909</v>
      </c>
      <c r="C1823" s="495" t="s">
        <v>82</v>
      </c>
      <c r="D1823" s="497" t="s">
        <v>83</v>
      </c>
      <c r="E1823" s="496" t="str">
        <f t="shared" si="84"/>
        <v>08</v>
      </c>
      <c r="F1823" s="496">
        <v>25718</v>
      </c>
      <c r="G1823" s="496" t="str">
        <f t="shared" si="85"/>
        <v>20503615518</v>
      </c>
    </row>
    <row r="1824" spans="1:7">
      <c r="A1824" s="496">
        <f t="shared" si="86"/>
        <v>1823</v>
      </c>
      <c r="B1824" s="496" t="s">
        <v>1910</v>
      </c>
      <c r="C1824" s="495" t="s">
        <v>85</v>
      </c>
      <c r="D1824" s="497" t="s">
        <v>86</v>
      </c>
      <c r="E1824" s="496" t="str">
        <f t="shared" si="84"/>
        <v>09</v>
      </c>
      <c r="F1824" s="496">
        <v>25719</v>
      </c>
      <c r="G1824" s="496" t="str">
        <f t="shared" si="85"/>
        <v>20260497414</v>
      </c>
    </row>
    <row r="1825" spans="1:7">
      <c r="A1825" s="496">
        <f t="shared" si="86"/>
        <v>1824</v>
      </c>
      <c r="B1825" s="496" t="s">
        <v>1911</v>
      </c>
      <c r="C1825" s="495" t="s">
        <v>88</v>
      </c>
      <c r="D1825" s="497" t="s">
        <v>89</v>
      </c>
      <c r="E1825" s="496" t="str">
        <f t="shared" si="84"/>
        <v>11</v>
      </c>
      <c r="F1825" s="496">
        <v>25720</v>
      </c>
      <c r="G1825" s="496" t="str">
        <f t="shared" si="85"/>
        <v>20520694839</v>
      </c>
    </row>
    <row r="1826" spans="1:7">
      <c r="A1826" s="496">
        <f t="shared" si="86"/>
        <v>1825</v>
      </c>
      <c r="B1826" s="496" t="s">
        <v>1912</v>
      </c>
      <c r="C1826" s="495" t="s">
        <v>91</v>
      </c>
      <c r="D1826" s="497" t="s">
        <v>92</v>
      </c>
      <c r="E1826" s="496" t="str">
        <f t="shared" si="84"/>
        <v>12</v>
      </c>
      <c r="F1826" s="496">
        <v>25724</v>
      </c>
      <c r="G1826" s="496" t="str">
        <f t="shared" si="85"/>
        <v>20330511401</v>
      </c>
    </row>
    <row r="1827" spans="1:7">
      <c r="A1827" s="496">
        <f t="shared" si="86"/>
        <v>1826</v>
      </c>
      <c r="B1827" s="496" t="s">
        <v>1913</v>
      </c>
      <c r="C1827" s="495" t="s">
        <v>77</v>
      </c>
      <c r="D1827" s="497" t="s">
        <v>78</v>
      </c>
      <c r="E1827" s="496" t="str">
        <f t="shared" si="84"/>
        <v>07</v>
      </c>
      <c r="F1827" s="496">
        <v>25717</v>
      </c>
      <c r="G1827" s="496" t="str">
        <f t="shared" si="85"/>
        <v>20510992904</v>
      </c>
    </row>
    <row r="1828" spans="1:7">
      <c r="A1828" s="496">
        <f t="shared" si="86"/>
        <v>1827</v>
      </c>
      <c r="B1828" s="496" t="s">
        <v>1914</v>
      </c>
      <c r="C1828" s="495" t="s">
        <v>82</v>
      </c>
      <c r="D1828" s="497" t="s">
        <v>83</v>
      </c>
      <c r="E1828" s="496" t="str">
        <f t="shared" si="84"/>
        <v>08</v>
      </c>
      <c r="F1828" s="496">
        <v>25718</v>
      </c>
      <c r="G1828" s="496" t="str">
        <f t="shared" si="85"/>
        <v>20472468147</v>
      </c>
    </row>
    <row r="1829" spans="1:7">
      <c r="A1829" s="496">
        <f t="shared" si="86"/>
        <v>1828</v>
      </c>
      <c r="B1829" s="496" t="s">
        <v>1915</v>
      </c>
      <c r="C1829" s="495" t="s">
        <v>85</v>
      </c>
      <c r="D1829" s="497" t="s">
        <v>86</v>
      </c>
      <c r="E1829" s="496" t="str">
        <f t="shared" si="84"/>
        <v>09</v>
      </c>
      <c r="F1829" s="496">
        <v>25719</v>
      </c>
      <c r="G1829" s="496" t="str">
        <f t="shared" si="85"/>
        <v>20100152941</v>
      </c>
    </row>
    <row r="1830" spans="1:7">
      <c r="A1830" s="496">
        <f t="shared" si="86"/>
        <v>1829</v>
      </c>
      <c r="B1830" s="496" t="s">
        <v>1916</v>
      </c>
      <c r="C1830" s="495" t="s">
        <v>88</v>
      </c>
      <c r="D1830" s="497" t="s">
        <v>89</v>
      </c>
      <c r="E1830" s="496" t="str">
        <f t="shared" si="84"/>
        <v>11</v>
      </c>
      <c r="F1830" s="496">
        <v>25720</v>
      </c>
      <c r="G1830" s="496" t="str">
        <f t="shared" si="85"/>
        <v>20297037952</v>
      </c>
    </row>
    <row r="1831" spans="1:7">
      <c r="A1831" s="496">
        <f t="shared" si="86"/>
        <v>1830</v>
      </c>
      <c r="B1831" s="496" t="s">
        <v>1917</v>
      </c>
      <c r="C1831" s="495" t="s">
        <v>91</v>
      </c>
      <c r="D1831" s="497" t="s">
        <v>92</v>
      </c>
      <c r="E1831" s="496" t="str">
        <f t="shared" si="84"/>
        <v>12</v>
      </c>
      <c r="F1831" s="496">
        <v>25724</v>
      </c>
      <c r="G1831" s="496" t="str">
        <f t="shared" si="85"/>
        <v>20501842771</v>
      </c>
    </row>
    <row r="1832" spans="1:7">
      <c r="A1832" s="496">
        <f t="shared" si="86"/>
        <v>1831</v>
      </c>
      <c r="B1832" s="496" t="s">
        <v>1918</v>
      </c>
      <c r="C1832" s="495" t="s">
        <v>77</v>
      </c>
      <c r="D1832" s="497" t="s">
        <v>78</v>
      </c>
      <c r="E1832" s="496" t="str">
        <f t="shared" si="84"/>
        <v>07</v>
      </c>
      <c r="F1832" s="496">
        <v>25717</v>
      </c>
      <c r="G1832" s="496" t="str">
        <f t="shared" si="85"/>
        <v>20100210909</v>
      </c>
    </row>
    <row r="1833" spans="1:7">
      <c r="A1833" s="496">
        <f t="shared" si="86"/>
        <v>1832</v>
      </c>
      <c r="B1833" s="496" t="s">
        <v>1919</v>
      </c>
      <c r="C1833" s="495" t="s">
        <v>82</v>
      </c>
      <c r="D1833" s="497" t="s">
        <v>83</v>
      </c>
      <c r="E1833" s="496" t="str">
        <f t="shared" si="84"/>
        <v>08</v>
      </c>
      <c r="F1833" s="496">
        <v>25718</v>
      </c>
      <c r="G1833" s="496" t="str">
        <f t="shared" si="85"/>
        <v>20341841357</v>
      </c>
    </row>
    <row r="1834" spans="1:7">
      <c r="A1834" s="496">
        <f t="shared" si="86"/>
        <v>1833</v>
      </c>
      <c r="B1834" s="496" t="s">
        <v>1920</v>
      </c>
      <c r="C1834" s="495" t="s">
        <v>85</v>
      </c>
      <c r="D1834" s="497" t="s">
        <v>86</v>
      </c>
      <c r="E1834" s="496" t="str">
        <f t="shared" si="84"/>
        <v>09</v>
      </c>
      <c r="F1834" s="496">
        <v>25719</v>
      </c>
      <c r="G1834" s="496" t="str">
        <f t="shared" si="85"/>
        <v>20524981981</v>
      </c>
    </row>
    <row r="1835" spans="1:7">
      <c r="A1835" s="496">
        <f t="shared" si="86"/>
        <v>1834</v>
      </c>
      <c r="B1835" s="496" t="s">
        <v>1921</v>
      </c>
      <c r="C1835" s="495" t="s">
        <v>88</v>
      </c>
      <c r="D1835" s="497" t="s">
        <v>89</v>
      </c>
      <c r="E1835" s="496" t="str">
        <f t="shared" si="84"/>
        <v>11</v>
      </c>
      <c r="F1835" s="496">
        <v>25720</v>
      </c>
      <c r="G1835" s="496" t="str">
        <f t="shared" si="85"/>
        <v>20375755344</v>
      </c>
    </row>
    <row r="1836" spans="1:7">
      <c r="A1836" s="496">
        <f t="shared" si="86"/>
        <v>1835</v>
      </c>
      <c r="B1836" s="496" t="s">
        <v>1922</v>
      </c>
      <c r="C1836" s="495" t="s">
        <v>91</v>
      </c>
      <c r="D1836" s="497" t="s">
        <v>92</v>
      </c>
      <c r="E1836" s="496" t="str">
        <f t="shared" si="84"/>
        <v>12</v>
      </c>
      <c r="F1836" s="496">
        <v>25724</v>
      </c>
      <c r="G1836" s="496" t="str">
        <f t="shared" si="85"/>
        <v>20501577252</v>
      </c>
    </row>
    <row r="1837" spans="1:7">
      <c r="A1837" s="496">
        <f t="shared" si="86"/>
        <v>1836</v>
      </c>
      <c r="B1837" s="496" t="s">
        <v>1923</v>
      </c>
      <c r="C1837" s="495" t="s">
        <v>77</v>
      </c>
      <c r="D1837" s="497" t="s">
        <v>78</v>
      </c>
      <c r="E1837" s="496" t="str">
        <f t="shared" si="84"/>
        <v>07</v>
      </c>
      <c r="F1837" s="496">
        <v>25717</v>
      </c>
      <c r="G1837" s="496" t="str">
        <f t="shared" si="85"/>
        <v>20536830376</v>
      </c>
    </row>
    <row r="1838" spans="1:7">
      <c r="A1838" s="496">
        <f t="shared" si="86"/>
        <v>1837</v>
      </c>
      <c r="B1838" s="496" t="s">
        <v>1924</v>
      </c>
      <c r="C1838" s="495" t="s">
        <v>82</v>
      </c>
      <c r="D1838" s="497" t="s">
        <v>83</v>
      </c>
      <c r="E1838" s="496" t="str">
        <f t="shared" si="84"/>
        <v>08</v>
      </c>
      <c r="F1838" s="496">
        <v>25718</v>
      </c>
      <c r="G1838" s="496" t="str">
        <f t="shared" si="85"/>
        <v>20416414018</v>
      </c>
    </row>
    <row r="1839" spans="1:7">
      <c r="A1839" s="496">
        <f t="shared" si="86"/>
        <v>1838</v>
      </c>
      <c r="B1839" s="496" t="s">
        <v>1925</v>
      </c>
      <c r="C1839" s="495" t="s">
        <v>85</v>
      </c>
      <c r="D1839" s="497" t="s">
        <v>86</v>
      </c>
      <c r="E1839" s="496" t="str">
        <f t="shared" si="84"/>
        <v>09</v>
      </c>
      <c r="F1839" s="496">
        <v>25719</v>
      </c>
      <c r="G1839" s="496" t="str">
        <f t="shared" si="85"/>
        <v>20506363480</v>
      </c>
    </row>
    <row r="1840" spans="1:7">
      <c r="A1840" s="496">
        <f t="shared" si="86"/>
        <v>1839</v>
      </c>
      <c r="B1840" s="496" t="s">
        <v>1926</v>
      </c>
      <c r="C1840" s="495" t="s">
        <v>88</v>
      </c>
      <c r="D1840" s="497" t="s">
        <v>89</v>
      </c>
      <c r="E1840" s="496" t="str">
        <f t="shared" si="84"/>
        <v>11</v>
      </c>
      <c r="F1840" s="496">
        <v>25720</v>
      </c>
      <c r="G1840" s="496" t="str">
        <f t="shared" si="85"/>
        <v>20331898008</v>
      </c>
    </row>
    <row r="1841" spans="1:7">
      <c r="A1841" s="496">
        <f t="shared" si="86"/>
        <v>1840</v>
      </c>
      <c r="B1841" s="496" t="s">
        <v>1927</v>
      </c>
      <c r="C1841" s="495" t="s">
        <v>91</v>
      </c>
      <c r="D1841" s="497" t="s">
        <v>92</v>
      </c>
      <c r="E1841" s="496" t="str">
        <f t="shared" si="84"/>
        <v>12</v>
      </c>
      <c r="F1841" s="496">
        <v>25724</v>
      </c>
      <c r="G1841" s="496" t="str">
        <f t="shared" si="85"/>
        <v>20332705262</v>
      </c>
    </row>
    <row r="1842" spans="1:7">
      <c r="A1842" s="496">
        <f t="shared" si="86"/>
        <v>1841</v>
      </c>
      <c r="B1842" s="496" t="s">
        <v>1928</v>
      </c>
      <c r="C1842" s="495" t="s">
        <v>77</v>
      </c>
      <c r="D1842" s="497" t="s">
        <v>78</v>
      </c>
      <c r="E1842" s="496" t="str">
        <f t="shared" si="84"/>
        <v>07</v>
      </c>
      <c r="F1842" s="496">
        <v>25717</v>
      </c>
      <c r="G1842" s="496" t="str">
        <f t="shared" si="85"/>
        <v>20202380621</v>
      </c>
    </row>
    <row r="1843" spans="1:7">
      <c r="A1843" s="496">
        <f t="shared" si="86"/>
        <v>1842</v>
      </c>
      <c r="B1843" s="496" t="s">
        <v>1929</v>
      </c>
      <c r="C1843" s="495" t="s">
        <v>82</v>
      </c>
      <c r="D1843" s="497" t="s">
        <v>83</v>
      </c>
      <c r="E1843" s="496" t="str">
        <f t="shared" si="84"/>
        <v>08</v>
      </c>
      <c r="F1843" s="496">
        <v>25718</v>
      </c>
      <c r="G1843" s="496" t="str">
        <f t="shared" si="85"/>
        <v>20418896915</v>
      </c>
    </row>
    <row r="1844" spans="1:7">
      <c r="A1844" s="496">
        <f t="shared" si="86"/>
        <v>1843</v>
      </c>
      <c r="B1844" s="496" t="s">
        <v>1930</v>
      </c>
      <c r="C1844" s="495" t="s">
        <v>85</v>
      </c>
      <c r="D1844" s="497" t="s">
        <v>86</v>
      </c>
      <c r="E1844" s="496" t="str">
        <f t="shared" si="84"/>
        <v>09</v>
      </c>
      <c r="F1844" s="496">
        <v>25719</v>
      </c>
      <c r="G1844" s="496" t="str">
        <f t="shared" si="85"/>
        <v>20504192157</v>
      </c>
    </row>
    <row r="1845" spans="1:7">
      <c r="A1845" s="496">
        <f t="shared" si="86"/>
        <v>1844</v>
      </c>
      <c r="B1845" s="496" t="s">
        <v>1931</v>
      </c>
      <c r="C1845" s="495" t="s">
        <v>88</v>
      </c>
      <c r="D1845" s="497" t="s">
        <v>89</v>
      </c>
      <c r="E1845" s="496" t="str">
        <f t="shared" si="84"/>
        <v>11</v>
      </c>
      <c r="F1845" s="496">
        <v>25720</v>
      </c>
      <c r="G1845" s="496" t="str">
        <f t="shared" si="85"/>
        <v>20195923753</v>
      </c>
    </row>
    <row r="1846" spans="1:7">
      <c r="A1846" s="496">
        <f t="shared" si="86"/>
        <v>1845</v>
      </c>
      <c r="B1846" s="496" t="s">
        <v>1932</v>
      </c>
      <c r="C1846" s="495" t="s">
        <v>91</v>
      </c>
      <c r="D1846" s="497" t="s">
        <v>92</v>
      </c>
      <c r="E1846" s="496" t="str">
        <f t="shared" si="84"/>
        <v>12</v>
      </c>
      <c r="F1846" s="496">
        <v>25724</v>
      </c>
      <c r="G1846" s="496" t="str">
        <f t="shared" si="85"/>
        <v>20513632569</v>
      </c>
    </row>
    <row r="1847" spans="1:7">
      <c r="A1847" s="496">
        <f t="shared" si="86"/>
        <v>1846</v>
      </c>
      <c r="B1847" s="496" t="s">
        <v>1933</v>
      </c>
      <c r="C1847" s="495" t="s">
        <v>77</v>
      </c>
      <c r="D1847" s="497" t="s">
        <v>78</v>
      </c>
      <c r="E1847" s="496" t="str">
        <f t="shared" si="84"/>
        <v>07</v>
      </c>
      <c r="F1847" s="496">
        <v>25717</v>
      </c>
      <c r="G1847" s="496" t="str">
        <f t="shared" si="85"/>
        <v>20418826119</v>
      </c>
    </row>
    <row r="1848" spans="1:7">
      <c r="A1848" s="496">
        <f t="shared" si="86"/>
        <v>1847</v>
      </c>
      <c r="B1848" s="496" t="s">
        <v>1934</v>
      </c>
      <c r="C1848" s="495" t="s">
        <v>82</v>
      </c>
      <c r="D1848" s="497" t="s">
        <v>83</v>
      </c>
      <c r="E1848" s="496" t="str">
        <f t="shared" si="84"/>
        <v>08</v>
      </c>
      <c r="F1848" s="496">
        <v>25718</v>
      </c>
      <c r="G1848" s="496" t="str">
        <f t="shared" si="85"/>
        <v>20335955065</v>
      </c>
    </row>
    <row r="1849" spans="1:7">
      <c r="A1849" s="496">
        <f t="shared" si="86"/>
        <v>1848</v>
      </c>
      <c r="B1849" s="496" t="s">
        <v>1935</v>
      </c>
      <c r="C1849" s="495" t="s">
        <v>85</v>
      </c>
      <c r="D1849" s="497" t="s">
        <v>86</v>
      </c>
      <c r="E1849" s="496" t="str">
        <f t="shared" si="84"/>
        <v>09</v>
      </c>
      <c r="F1849" s="496">
        <v>25719</v>
      </c>
      <c r="G1849" s="496" t="str">
        <f t="shared" si="85"/>
        <v>20516102706</v>
      </c>
    </row>
    <row r="1850" spans="1:7">
      <c r="A1850" s="496">
        <f t="shared" si="86"/>
        <v>1849</v>
      </c>
      <c r="B1850" s="496" t="s">
        <v>1936</v>
      </c>
      <c r="C1850" s="495" t="s">
        <v>88</v>
      </c>
      <c r="D1850" s="497" t="s">
        <v>89</v>
      </c>
      <c r="E1850" s="496" t="str">
        <f t="shared" si="84"/>
        <v>11</v>
      </c>
      <c r="F1850" s="496">
        <v>25720</v>
      </c>
      <c r="G1850" s="496" t="str">
        <f t="shared" si="85"/>
        <v>20260344341</v>
      </c>
    </row>
    <row r="1851" spans="1:7">
      <c r="A1851" s="496">
        <f t="shared" si="86"/>
        <v>1850</v>
      </c>
      <c r="B1851" s="496" t="s">
        <v>1937</v>
      </c>
      <c r="C1851" s="495" t="s">
        <v>91</v>
      </c>
      <c r="D1851" s="497" t="s">
        <v>92</v>
      </c>
      <c r="E1851" s="496" t="str">
        <f t="shared" si="84"/>
        <v>12</v>
      </c>
      <c r="F1851" s="496">
        <v>25724</v>
      </c>
      <c r="G1851" s="496" t="str">
        <f t="shared" si="85"/>
        <v>20557410008</v>
      </c>
    </row>
    <row r="1852" spans="1:7">
      <c r="A1852" s="496">
        <f t="shared" si="86"/>
        <v>1851</v>
      </c>
      <c r="B1852" s="496" t="s">
        <v>1938</v>
      </c>
      <c r="C1852" s="495" t="s">
        <v>77</v>
      </c>
      <c r="D1852" s="497" t="s">
        <v>78</v>
      </c>
      <c r="E1852" s="496" t="str">
        <f t="shared" si="84"/>
        <v>07</v>
      </c>
      <c r="F1852" s="496">
        <v>25717</v>
      </c>
      <c r="G1852" s="496" t="str">
        <f t="shared" si="85"/>
        <v>20262478964</v>
      </c>
    </row>
    <row r="1853" spans="1:7">
      <c r="A1853" s="496">
        <f t="shared" si="86"/>
        <v>1852</v>
      </c>
      <c r="B1853" s="496" t="s">
        <v>1939</v>
      </c>
      <c r="C1853" s="495" t="s">
        <v>82</v>
      </c>
      <c r="D1853" s="497" t="s">
        <v>83</v>
      </c>
      <c r="E1853" s="496" t="str">
        <f t="shared" si="84"/>
        <v>08</v>
      </c>
      <c r="F1853" s="496">
        <v>25718</v>
      </c>
      <c r="G1853" s="496" t="str">
        <f t="shared" si="85"/>
        <v>20382036655</v>
      </c>
    </row>
    <row r="1854" spans="1:7">
      <c r="A1854" s="496">
        <f t="shared" si="86"/>
        <v>1853</v>
      </c>
      <c r="B1854" s="496" t="s">
        <v>1940</v>
      </c>
      <c r="C1854" s="495" t="s">
        <v>85</v>
      </c>
      <c r="D1854" s="497" t="s">
        <v>86</v>
      </c>
      <c r="E1854" s="496" t="str">
        <f t="shared" si="84"/>
        <v>09</v>
      </c>
      <c r="F1854" s="496">
        <v>25719</v>
      </c>
      <c r="G1854" s="496" t="str">
        <f t="shared" si="85"/>
        <v>20100192650</v>
      </c>
    </row>
    <row r="1855" spans="1:7">
      <c r="A1855" s="496">
        <f t="shared" si="86"/>
        <v>1854</v>
      </c>
      <c r="B1855" s="496" t="s">
        <v>1941</v>
      </c>
      <c r="C1855" s="495" t="s">
        <v>88</v>
      </c>
      <c r="D1855" s="497" t="s">
        <v>89</v>
      </c>
      <c r="E1855" s="496" t="str">
        <f t="shared" si="84"/>
        <v>11</v>
      </c>
      <c r="F1855" s="496">
        <v>25720</v>
      </c>
      <c r="G1855" s="496" t="str">
        <f t="shared" si="85"/>
        <v>20492744833</v>
      </c>
    </row>
    <row r="1856" spans="1:7">
      <c r="A1856" s="496">
        <f t="shared" si="86"/>
        <v>1855</v>
      </c>
      <c r="B1856" s="496" t="s">
        <v>1942</v>
      </c>
      <c r="C1856" s="495" t="s">
        <v>91</v>
      </c>
      <c r="D1856" s="497" t="s">
        <v>92</v>
      </c>
      <c r="E1856" s="496" t="str">
        <f t="shared" si="84"/>
        <v>12</v>
      </c>
      <c r="F1856" s="496">
        <v>25724</v>
      </c>
      <c r="G1856" s="496" t="str">
        <f t="shared" si="85"/>
        <v>20513397543</v>
      </c>
    </row>
    <row r="1857" spans="1:7">
      <c r="A1857" s="496">
        <f t="shared" si="86"/>
        <v>1856</v>
      </c>
      <c r="B1857" s="496" t="s">
        <v>1943</v>
      </c>
      <c r="C1857" s="495" t="s">
        <v>77</v>
      </c>
      <c r="D1857" s="497" t="s">
        <v>78</v>
      </c>
      <c r="E1857" s="496" t="str">
        <f t="shared" si="84"/>
        <v>07</v>
      </c>
      <c r="F1857" s="496">
        <v>25717</v>
      </c>
      <c r="G1857" s="496" t="str">
        <f t="shared" si="85"/>
        <v>20513023201</v>
      </c>
    </row>
    <row r="1858" spans="1:7">
      <c r="A1858" s="496">
        <f t="shared" si="86"/>
        <v>1857</v>
      </c>
      <c r="B1858" s="496" t="s">
        <v>1944</v>
      </c>
      <c r="C1858" s="495" t="s">
        <v>82</v>
      </c>
      <c r="D1858" s="497" t="s">
        <v>83</v>
      </c>
      <c r="E1858" s="496" t="str">
        <f t="shared" si="84"/>
        <v>08</v>
      </c>
      <c r="F1858" s="496">
        <v>25718</v>
      </c>
      <c r="G1858" s="496" t="str">
        <f t="shared" si="85"/>
        <v>20209133394</v>
      </c>
    </row>
    <row r="1859" spans="1:7">
      <c r="A1859" s="496">
        <f t="shared" si="86"/>
        <v>1858</v>
      </c>
      <c r="B1859" s="496" t="s">
        <v>1945</v>
      </c>
      <c r="C1859" s="495" t="s">
        <v>85</v>
      </c>
      <c r="D1859" s="497" t="s">
        <v>86</v>
      </c>
      <c r="E1859" s="496" t="str">
        <f t="shared" ref="E1859:E1922" si="87">IF(MID(D1859,14,1)="@",MID(D1859,12,2),"0"&amp;MID(D1859,12,1))</f>
        <v>09</v>
      </c>
      <c r="F1859" s="496">
        <v>25719</v>
      </c>
      <c r="G1859" s="496" t="str">
        <f t="shared" ref="G1859:G1922" si="88">CONCATENATE(B1859)</f>
        <v>20506675457</v>
      </c>
    </row>
    <row r="1860" spans="1:7">
      <c r="A1860" s="496">
        <f t="shared" ref="A1860:A1923" si="89">+A1859+1</f>
        <v>1859</v>
      </c>
      <c r="B1860" s="496" t="s">
        <v>1946</v>
      </c>
      <c r="C1860" s="495" t="s">
        <v>88</v>
      </c>
      <c r="D1860" s="497" t="s">
        <v>89</v>
      </c>
      <c r="E1860" s="496" t="str">
        <f t="shared" si="87"/>
        <v>11</v>
      </c>
      <c r="F1860" s="496">
        <v>25720</v>
      </c>
      <c r="G1860" s="496" t="str">
        <f t="shared" si="88"/>
        <v>20505174896</v>
      </c>
    </row>
    <row r="1861" spans="1:7">
      <c r="A1861" s="496">
        <f t="shared" si="89"/>
        <v>1860</v>
      </c>
      <c r="B1861" s="496" t="s">
        <v>1947</v>
      </c>
      <c r="C1861" s="495" t="s">
        <v>91</v>
      </c>
      <c r="D1861" s="497" t="s">
        <v>92</v>
      </c>
      <c r="E1861" s="496" t="str">
        <f t="shared" si="87"/>
        <v>12</v>
      </c>
      <c r="F1861" s="496">
        <v>25724</v>
      </c>
      <c r="G1861" s="496" t="str">
        <f t="shared" si="88"/>
        <v>20538428524</v>
      </c>
    </row>
    <row r="1862" spans="1:7">
      <c r="A1862" s="496">
        <f t="shared" si="89"/>
        <v>1861</v>
      </c>
      <c r="B1862" s="496" t="s">
        <v>1948</v>
      </c>
      <c r="C1862" s="495" t="s">
        <v>77</v>
      </c>
      <c r="D1862" s="497" t="s">
        <v>78</v>
      </c>
      <c r="E1862" s="496" t="str">
        <f t="shared" si="87"/>
        <v>07</v>
      </c>
      <c r="F1862" s="496">
        <v>25717</v>
      </c>
      <c r="G1862" s="496" t="str">
        <f t="shared" si="88"/>
        <v>20137291313</v>
      </c>
    </row>
    <row r="1863" spans="1:7">
      <c r="A1863" s="496">
        <f t="shared" si="89"/>
        <v>1862</v>
      </c>
      <c r="B1863" s="496" t="s">
        <v>1949</v>
      </c>
      <c r="C1863" s="495" t="s">
        <v>82</v>
      </c>
      <c r="D1863" s="497" t="s">
        <v>83</v>
      </c>
      <c r="E1863" s="496" t="str">
        <f t="shared" si="87"/>
        <v>08</v>
      </c>
      <c r="F1863" s="496">
        <v>25718</v>
      </c>
      <c r="G1863" s="496" t="str">
        <f t="shared" si="88"/>
        <v>20100035121</v>
      </c>
    </row>
    <row r="1864" spans="1:7">
      <c r="A1864" s="496">
        <f t="shared" si="89"/>
        <v>1863</v>
      </c>
      <c r="B1864" s="496" t="s">
        <v>1950</v>
      </c>
      <c r="C1864" s="495" t="s">
        <v>85</v>
      </c>
      <c r="D1864" s="497" t="s">
        <v>86</v>
      </c>
      <c r="E1864" s="496" t="str">
        <f t="shared" si="87"/>
        <v>09</v>
      </c>
      <c r="F1864" s="496">
        <v>25719</v>
      </c>
      <c r="G1864" s="496" t="str">
        <f t="shared" si="88"/>
        <v>20498260285</v>
      </c>
    </row>
    <row r="1865" spans="1:7">
      <c r="A1865" s="496">
        <f t="shared" si="89"/>
        <v>1864</v>
      </c>
      <c r="B1865" s="496" t="s">
        <v>1951</v>
      </c>
      <c r="C1865" s="495" t="s">
        <v>88</v>
      </c>
      <c r="D1865" s="497" t="s">
        <v>89</v>
      </c>
      <c r="E1865" s="496" t="str">
        <f t="shared" si="87"/>
        <v>11</v>
      </c>
      <c r="F1865" s="496">
        <v>25720</v>
      </c>
      <c r="G1865" s="496" t="str">
        <f t="shared" si="88"/>
        <v>20100192064</v>
      </c>
    </row>
    <row r="1866" spans="1:7">
      <c r="A1866" s="496">
        <f t="shared" si="89"/>
        <v>1865</v>
      </c>
      <c r="B1866" s="496" t="s">
        <v>1952</v>
      </c>
      <c r="C1866" s="495" t="s">
        <v>91</v>
      </c>
      <c r="D1866" s="497" t="s">
        <v>92</v>
      </c>
      <c r="E1866" s="496" t="str">
        <f t="shared" si="87"/>
        <v>12</v>
      </c>
      <c r="F1866" s="496">
        <v>25724</v>
      </c>
      <c r="G1866" s="496" t="str">
        <f t="shared" si="88"/>
        <v>20100164010</v>
      </c>
    </row>
    <row r="1867" spans="1:7">
      <c r="A1867" s="496">
        <f t="shared" si="89"/>
        <v>1866</v>
      </c>
      <c r="B1867" s="496" t="s">
        <v>1953</v>
      </c>
      <c r="C1867" s="495" t="s">
        <v>77</v>
      </c>
      <c r="D1867" s="497" t="s">
        <v>78</v>
      </c>
      <c r="E1867" s="496" t="str">
        <f t="shared" si="87"/>
        <v>07</v>
      </c>
      <c r="F1867" s="496">
        <v>25717</v>
      </c>
      <c r="G1867" s="496" t="str">
        <f t="shared" si="88"/>
        <v>20100182263</v>
      </c>
    </row>
    <row r="1868" spans="1:7">
      <c r="A1868" s="496">
        <f t="shared" si="89"/>
        <v>1867</v>
      </c>
      <c r="B1868" s="496" t="s">
        <v>1954</v>
      </c>
      <c r="C1868" s="495" t="s">
        <v>82</v>
      </c>
      <c r="D1868" s="497" t="s">
        <v>83</v>
      </c>
      <c r="E1868" s="496" t="str">
        <f t="shared" si="87"/>
        <v>08</v>
      </c>
      <c r="F1868" s="496">
        <v>25718</v>
      </c>
      <c r="G1868" s="496" t="str">
        <f t="shared" si="88"/>
        <v>20100045517</v>
      </c>
    </row>
    <row r="1869" spans="1:7">
      <c r="A1869" s="496">
        <f t="shared" si="89"/>
        <v>1868</v>
      </c>
      <c r="B1869" s="496" t="s">
        <v>1955</v>
      </c>
      <c r="C1869" s="495" t="s">
        <v>85</v>
      </c>
      <c r="D1869" s="497" t="s">
        <v>86</v>
      </c>
      <c r="E1869" s="496" t="str">
        <f t="shared" si="87"/>
        <v>09</v>
      </c>
      <c r="F1869" s="496">
        <v>25719</v>
      </c>
      <c r="G1869" s="496" t="str">
        <f t="shared" si="88"/>
        <v>20110345519</v>
      </c>
    </row>
    <row r="1870" spans="1:7">
      <c r="A1870" s="496">
        <f t="shared" si="89"/>
        <v>1869</v>
      </c>
      <c r="B1870" s="496" t="s">
        <v>1956</v>
      </c>
      <c r="C1870" s="495" t="s">
        <v>88</v>
      </c>
      <c r="D1870" s="497" t="s">
        <v>89</v>
      </c>
      <c r="E1870" s="496" t="str">
        <f t="shared" si="87"/>
        <v>11</v>
      </c>
      <c r="F1870" s="496">
        <v>25720</v>
      </c>
      <c r="G1870" s="496" t="str">
        <f t="shared" si="88"/>
        <v>20381235051</v>
      </c>
    </row>
    <row r="1871" spans="1:7">
      <c r="A1871" s="496">
        <f t="shared" si="89"/>
        <v>1870</v>
      </c>
      <c r="B1871" s="496" t="s">
        <v>1957</v>
      </c>
      <c r="C1871" s="495" t="s">
        <v>91</v>
      </c>
      <c r="D1871" s="497" t="s">
        <v>92</v>
      </c>
      <c r="E1871" s="496" t="str">
        <f t="shared" si="87"/>
        <v>12</v>
      </c>
      <c r="F1871" s="496">
        <v>25724</v>
      </c>
      <c r="G1871" s="496" t="str">
        <f t="shared" si="88"/>
        <v>20505377142</v>
      </c>
    </row>
    <row r="1872" spans="1:7">
      <c r="A1872" s="496">
        <f t="shared" si="89"/>
        <v>1871</v>
      </c>
      <c r="B1872" s="496" t="s">
        <v>1958</v>
      </c>
      <c r="C1872" s="495" t="s">
        <v>77</v>
      </c>
      <c r="D1872" s="497" t="s">
        <v>78</v>
      </c>
      <c r="E1872" s="496" t="str">
        <f t="shared" si="87"/>
        <v>07</v>
      </c>
      <c r="F1872" s="496">
        <v>25717</v>
      </c>
      <c r="G1872" s="496" t="str">
        <f t="shared" si="88"/>
        <v>20522003345</v>
      </c>
    </row>
    <row r="1873" spans="1:7">
      <c r="A1873" s="496">
        <f t="shared" si="89"/>
        <v>1872</v>
      </c>
      <c r="B1873" s="496" t="s">
        <v>1959</v>
      </c>
      <c r="C1873" s="495" t="s">
        <v>82</v>
      </c>
      <c r="D1873" s="497" t="s">
        <v>83</v>
      </c>
      <c r="E1873" s="496" t="str">
        <f t="shared" si="87"/>
        <v>08</v>
      </c>
      <c r="F1873" s="496">
        <v>25718</v>
      </c>
      <c r="G1873" s="496" t="str">
        <f t="shared" si="88"/>
        <v>20501439020</v>
      </c>
    </row>
    <row r="1874" spans="1:7">
      <c r="A1874" s="496">
        <f t="shared" si="89"/>
        <v>1873</v>
      </c>
      <c r="B1874" s="496" t="s">
        <v>1960</v>
      </c>
      <c r="C1874" s="495" t="s">
        <v>85</v>
      </c>
      <c r="D1874" s="497" t="s">
        <v>86</v>
      </c>
      <c r="E1874" s="496" t="str">
        <f t="shared" si="87"/>
        <v>09</v>
      </c>
      <c r="F1874" s="496">
        <v>25719</v>
      </c>
      <c r="G1874" s="496" t="str">
        <f t="shared" si="88"/>
        <v>20545341248</v>
      </c>
    </row>
    <row r="1875" spans="1:7">
      <c r="A1875" s="496">
        <f t="shared" si="89"/>
        <v>1874</v>
      </c>
      <c r="B1875" s="496" t="s">
        <v>1961</v>
      </c>
      <c r="C1875" s="495" t="s">
        <v>88</v>
      </c>
      <c r="D1875" s="497" t="s">
        <v>89</v>
      </c>
      <c r="E1875" s="496" t="str">
        <f t="shared" si="87"/>
        <v>11</v>
      </c>
      <c r="F1875" s="496">
        <v>25720</v>
      </c>
      <c r="G1875" s="496" t="str">
        <f t="shared" si="88"/>
        <v>20166012687</v>
      </c>
    </row>
    <row r="1876" spans="1:7">
      <c r="A1876" s="496">
        <f t="shared" si="89"/>
        <v>1875</v>
      </c>
      <c r="B1876" s="496" t="s">
        <v>1962</v>
      </c>
      <c r="C1876" s="495" t="s">
        <v>91</v>
      </c>
      <c r="D1876" s="497" t="s">
        <v>92</v>
      </c>
      <c r="E1876" s="496" t="str">
        <f t="shared" si="87"/>
        <v>12</v>
      </c>
      <c r="F1876" s="496">
        <v>25724</v>
      </c>
      <c r="G1876" s="496" t="str">
        <f t="shared" si="88"/>
        <v>20305875539</v>
      </c>
    </row>
    <row r="1877" spans="1:7">
      <c r="A1877" s="496">
        <f t="shared" si="89"/>
        <v>1876</v>
      </c>
      <c r="B1877" s="496" t="s">
        <v>1963</v>
      </c>
      <c r="C1877" s="495" t="s">
        <v>77</v>
      </c>
      <c r="D1877" s="497" t="s">
        <v>78</v>
      </c>
      <c r="E1877" s="496" t="str">
        <f t="shared" si="87"/>
        <v>07</v>
      </c>
      <c r="F1877" s="496">
        <v>25717</v>
      </c>
      <c r="G1877" s="496" t="str">
        <f t="shared" si="88"/>
        <v>20290314799</v>
      </c>
    </row>
    <row r="1878" spans="1:7">
      <c r="A1878" s="496">
        <f t="shared" si="89"/>
        <v>1877</v>
      </c>
      <c r="B1878" s="496" t="s">
        <v>1964</v>
      </c>
      <c r="C1878" s="495" t="s">
        <v>82</v>
      </c>
      <c r="D1878" s="497" t="s">
        <v>83</v>
      </c>
      <c r="E1878" s="496" t="str">
        <f t="shared" si="87"/>
        <v>08</v>
      </c>
      <c r="F1878" s="496">
        <v>25718</v>
      </c>
      <c r="G1878" s="496" t="str">
        <f t="shared" si="88"/>
        <v>20502351908</v>
      </c>
    </row>
    <row r="1879" spans="1:7">
      <c r="A1879" s="496">
        <f t="shared" si="89"/>
        <v>1878</v>
      </c>
      <c r="B1879" s="496" t="s">
        <v>1965</v>
      </c>
      <c r="C1879" s="495" t="s">
        <v>85</v>
      </c>
      <c r="D1879" s="497" t="s">
        <v>86</v>
      </c>
      <c r="E1879" s="496" t="str">
        <f t="shared" si="87"/>
        <v>09</v>
      </c>
      <c r="F1879" s="496">
        <v>25719</v>
      </c>
      <c r="G1879" s="496" t="str">
        <f t="shared" si="88"/>
        <v>20131016639</v>
      </c>
    </row>
    <row r="1880" spans="1:7">
      <c r="A1880" s="496">
        <f t="shared" si="89"/>
        <v>1879</v>
      </c>
      <c r="B1880" s="496" t="s">
        <v>1966</v>
      </c>
      <c r="C1880" s="495" t="s">
        <v>88</v>
      </c>
      <c r="D1880" s="497" t="s">
        <v>89</v>
      </c>
      <c r="E1880" s="496" t="str">
        <f t="shared" si="87"/>
        <v>11</v>
      </c>
      <c r="F1880" s="496">
        <v>25720</v>
      </c>
      <c r="G1880" s="496" t="str">
        <f t="shared" si="88"/>
        <v>20257982794</v>
      </c>
    </row>
    <row r="1881" spans="1:7">
      <c r="A1881" s="496">
        <f t="shared" si="89"/>
        <v>1880</v>
      </c>
      <c r="B1881" s="496" t="s">
        <v>1967</v>
      </c>
      <c r="C1881" s="495" t="s">
        <v>91</v>
      </c>
      <c r="D1881" s="497" t="s">
        <v>92</v>
      </c>
      <c r="E1881" s="496" t="str">
        <f t="shared" si="87"/>
        <v>12</v>
      </c>
      <c r="F1881" s="496">
        <v>25724</v>
      </c>
      <c r="G1881" s="496" t="str">
        <f t="shared" si="88"/>
        <v>20100011701</v>
      </c>
    </row>
    <row r="1882" spans="1:7">
      <c r="A1882" s="496">
        <f t="shared" si="89"/>
        <v>1881</v>
      </c>
      <c r="B1882" s="496" t="s">
        <v>1968</v>
      </c>
      <c r="C1882" s="495" t="s">
        <v>77</v>
      </c>
      <c r="D1882" s="497" t="s">
        <v>78</v>
      </c>
      <c r="E1882" s="496" t="str">
        <f t="shared" si="87"/>
        <v>07</v>
      </c>
      <c r="F1882" s="496">
        <v>25717</v>
      </c>
      <c r="G1882" s="496" t="str">
        <f t="shared" si="88"/>
        <v>20517553914</v>
      </c>
    </row>
    <row r="1883" spans="1:7">
      <c r="A1883" s="496">
        <f t="shared" si="89"/>
        <v>1882</v>
      </c>
      <c r="B1883" s="496" t="s">
        <v>1969</v>
      </c>
      <c r="C1883" s="495" t="s">
        <v>82</v>
      </c>
      <c r="D1883" s="497" t="s">
        <v>83</v>
      </c>
      <c r="E1883" s="496" t="str">
        <f t="shared" si="87"/>
        <v>08</v>
      </c>
      <c r="F1883" s="496">
        <v>25718</v>
      </c>
      <c r="G1883" s="496" t="str">
        <f t="shared" si="88"/>
        <v>20523183941</v>
      </c>
    </row>
    <row r="1884" spans="1:7">
      <c r="A1884" s="496">
        <f t="shared" si="89"/>
        <v>1883</v>
      </c>
      <c r="B1884" s="496" t="s">
        <v>1970</v>
      </c>
      <c r="C1884" s="495" t="s">
        <v>85</v>
      </c>
      <c r="D1884" s="497" t="s">
        <v>86</v>
      </c>
      <c r="E1884" s="496" t="str">
        <f t="shared" si="87"/>
        <v>09</v>
      </c>
      <c r="F1884" s="496">
        <v>25719</v>
      </c>
      <c r="G1884" s="496" t="str">
        <f t="shared" si="88"/>
        <v>20506342563</v>
      </c>
    </row>
    <row r="1885" spans="1:7">
      <c r="A1885" s="496">
        <f t="shared" si="89"/>
        <v>1884</v>
      </c>
      <c r="B1885" s="496" t="s">
        <v>1971</v>
      </c>
      <c r="C1885" s="495" t="s">
        <v>88</v>
      </c>
      <c r="D1885" s="497" t="s">
        <v>89</v>
      </c>
      <c r="E1885" s="496" t="str">
        <f t="shared" si="87"/>
        <v>11</v>
      </c>
      <c r="F1885" s="496">
        <v>25720</v>
      </c>
      <c r="G1885" s="496" t="str">
        <f t="shared" si="88"/>
        <v>20251995967</v>
      </c>
    </row>
    <row r="1886" spans="1:7">
      <c r="A1886" s="496">
        <f t="shared" si="89"/>
        <v>1885</v>
      </c>
      <c r="B1886" s="496" t="s">
        <v>1972</v>
      </c>
      <c r="C1886" s="495" t="s">
        <v>91</v>
      </c>
      <c r="D1886" s="497" t="s">
        <v>92</v>
      </c>
      <c r="E1886" s="496" t="str">
        <f t="shared" si="87"/>
        <v>12</v>
      </c>
      <c r="F1886" s="496">
        <v>25724</v>
      </c>
      <c r="G1886" s="496" t="str">
        <f t="shared" si="88"/>
        <v>20493092791</v>
      </c>
    </row>
    <row r="1887" spans="1:7">
      <c r="A1887" s="496">
        <f t="shared" si="89"/>
        <v>1886</v>
      </c>
      <c r="B1887" s="496" t="s">
        <v>1973</v>
      </c>
      <c r="C1887" s="495" t="s">
        <v>77</v>
      </c>
      <c r="D1887" s="497" t="s">
        <v>78</v>
      </c>
      <c r="E1887" s="496" t="str">
        <f t="shared" si="87"/>
        <v>07</v>
      </c>
      <c r="F1887" s="496">
        <v>25717</v>
      </c>
      <c r="G1887" s="496" t="str">
        <f t="shared" si="88"/>
        <v>20430493486</v>
      </c>
    </row>
    <row r="1888" spans="1:7">
      <c r="A1888" s="496">
        <f t="shared" si="89"/>
        <v>1887</v>
      </c>
      <c r="B1888" s="496" t="s">
        <v>1974</v>
      </c>
      <c r="C1888" s="495" t="s">
        <v>82</v>
      </c>
      <c r="D1888" s="497" t="s">
        <v>83</v>
      </c>
      <c r="E1888" s="496" t="str">
        <f t="shared" si="87"/>
        <v>08</v>
      </c>
      <c r="F1888" s="496">
        <v>25718</v>
      </c>
      <c r="G1888" s="496" t="str">
        <f t="shared" si="88"/>
        <v>20159473148</v>
      </c>
    </row>
    <row r="1889" spans="1:7">
      <c r="A1889" s="496">
        <f t="shared" si="89"/>
        <v>1888</v>
      </c>
      <c r="B1889" s="496" t="s">
        <v>1975</v>
      </c>
      <c r="C1889" s="495" t="s">
        <v>85</v>
      </c>
      <c r="D1889" s="497" t="s">
        <v>86</v>
      </c>
      <c r="E1889" s="496" t="str">
        <f t="shared" si="87"/>
        <v>09</v>
      </c>
      <c r="F1889" s="496">
        <v>25719</v>
      </c>
      <c r="G1889" s="496" t="str">
        <f t="shared" si="88"/>
        <v>20136165667</v>
      </c>
    </row>
    <row r="1890" spans="1:7">
      <c r="A1890" s="496">
        <f t="shared" si="89"/>
        <v>1889</v>
      </c>
      <c r="B1890" s="496" t="s">
        <v>1976</v>
      </c>
      <c r="C1890" s="495" t="s">
        <v>88</v>
      </c>
      <c r="D1890" s="497" t="s">
        <v>89</v>
      </c>
      <c r="E1890" s="496" t="str">
        <f t="shared" si="87"/>
        <v>11</v>
      </c>
      <c r="F1890" s="496">
        <v>25720</v>
      </c>
      <c r="G1890" s="496" t="str">
        <f t="shared" si="88"/>
        <v>20523552903</v>
      </c>
    </row>
    <row r="1891" spans="1:7">
      <c r="A1891" s="496">
        <f t="shared" si="89"/>
        <v>1890</v>
      </c>
      <c r="B1891" s="496" t="s">
        <v>1977</v>
      </c>
      <c r="C1891" s="495" t="s">
        <v>91</v>
      </c>
      <c r="D1891" s="497" t="s">
        <v>92</v>
      </c>
      <c r="E1891" s="496" t="str">
        <f t="shared" si="87"/>
        <v>12</v>
      </c>
      <c r="F1891" s="496">
        <v>25724</v>
      </c>
      <c r="G1891" s="496" t="str">
        <f t="shared" si="88"/>
        <v>20100128218</v>
      </c>
    </row>
    <row r="1892" spans="1:7">
      <c r="A1892" s="496">
        <f t="shared" si="89"/>
        <v>1891</v>
      </c>
      <c r="B1892" s="496" t="s">
        <v>1978</v>
      </c>
      <c r="C1892" s="495" t="s">
        <v>77</v>
      </c>
      <c r="D1892" s="497" t="s">
        <v>78</v>
      </c>
      <c r="E1892" s="496" t="str">
        <f t="shared" si="87"/>
        <v>07</v>
      </c>
      <c r="F1892" s="496">
        <v>25717</v>
      </c>
      <c r="G1892" s="496" t="str">
        <f t="shared" si="88"/>
        <v>20100126606</v>
      </c>
    </row>
    <row r="1893" spans="1:7">
      <c r="A1893" s="496">
        <f t="shared" si="89"/>
        <v>1892</v>
      </c>
      <c r="B1893" s="496" t="s">
        <v>1979</v>
      </c>
      <c r="C1893" s="495" t="s">
        <v>82</v>
      </c>
      <c r="D1893" s="497" t="s">
        <v>83</v>
      </c>
      <c r="E1893" s="496" t="str">
        <f t="shared" si="87"/>
        <v>08</v>
      </c>
      <c r="F1893" s="496">
        <v>25718</v>
      </c>
      <c r="G1893" s="496" t="str">
        <f t="shared" si="88"/>
        <v>20100102090</v>
      </c>
    </row>
    <row r="1894" spans="1:7">
      <c r="A1894" s="496">
        <f t="shared" si="89"/>
        <v>1893</v>
      </c>
      <c r="B1894" s="496" t="s">
        <v>1980</v>
      </c>
      <c r="C1894" s="495" t="s">
        <v>85</v>
      </c>
      <c r="D1894" s="497" t="s">
        <v>86</v>
      </c>
      <c r="E1894" s="496" t="str">
        <f t="shared" si="87"/>
        <v>09</v>
      </c>
      <c r="F1894" s="496">
        <v>25719</v>
      </c>
      <c r="G1894" s="496" t="str">
        <f t="shared" si="88"/>
        <v>20521866927</v>
      </c>
    </row>
    <row r="1895" spans="1:7">
      <c r="A1895" s="496">
        <f t="shared" si="89"/>
        <v>1894</v>
      </c>
      <c r="B1895" s="496" t="s">
        <v>1981</v>
      </c>
      <c r="C1895" s="495" t="s">
        <v>88</v>
      </c>
      <c r="D1895" s="497" t="s">
        <v>89</v>
      </c>
      <c r="E1895" s="496" t="str">
        <f t="shared" si="87"/>
        <v>11</v>
      </c>
      <c r="F1895" s="496">
        <v>25720</v>
      </c>
      <c r="G1895" s="496" t="str">
        <f t="shared" si="88"/>
        <v>20510889135</v>
      </c>
    </row>
    <row r="1896" spans="1:7">
      <c r="A1896" s="496">
        <f t="shared" si="89"/>
        <v>1895</v>
      </c>
      <c r="B1896" s="496" t="s">
        <v>1982</v>
      </c>
      <c r="C1896" s="495" t="s">
        <v>91</v>
      </c>
      <c r="D1896" s="497" t="s">
        <v>92</v>
      </c>
      <c r="E1896" s="496" t="str">
        <f t="shared" si="87"/>
        <v>12</v>
      </c>
      <c r="F1896" s="496">
        <v>25724</v>
      </c>
      <c r="G1896" s="496" t="str">
        <f t="shared" si="88"/>
        <v>20508294566</v>
      </c>
    </row>
    <row r="1897" spans="1:7">
      <c r="A1897" s="496">
        <f t="shared" si="89"/>
        <v>1896</v>
      </c>
      <c r="B1897" s="496" t="s">
        <v>1983</v>
      </c>
      <c r="C1897" s="495" t="s">
        <v>77</v>
      </c>
      <c r="D1897" s="497" t="s">
        <v>78</v>
      </c>
      <c r="E1897" s="496" t="str">
        <f t="shared" si="87"/>
        <v>07</v>
      </c>
      <c r="F1897" s="496">
        <v>25717</v>
      </c>
      <c r="G1897" s="496" t="str">
        <f t="shared" si="88"/>
        <v>20510888911</v>
      </c>
    </row>
    <row r="1898" spans="1:7">
      <c r="A1898" s="496">
        <f t="shared" si="89"/>
        <v>1897</v>
      </c>
      <c r="B1898" s="496" t="s">
        <v>1984</v>
      </c>
      <c r="C1898" s="495" t="s">
        <v>82</v>
      </c>
      <c r="D1898" s="497" t="s">
        <v>83</v>
      </c>
      <c r="E1898" s="496" t="str">
        <f t="shared" si="87"/>
        <v>08</v>
      </c>
      <c r="F1898" s="496">
        <v>25718</v>
      </c>
      <c r="G1898" s="496" t="str">
        <f t="shared" si="88"/>
        <v>20504311342</v>
      </c>
    </row>
    <row r="1899" spans="1:7">
      <c r="A1899" s="496">
        <f t="shared" si="89"/>
        <v>1898</v>
      </c>
      <c r="B1899" s="496" t="s">
        <v>1985</v>
      </c>
      <c r="C1899" s="495" t="s">
        <v>85</v>
      </c>
      <c r="D1899" s="497" t="s">
        <v>86</v>
      </c>
      <c r="E1899" s="496" t="str">
        <f t="shared" si="87"/>
        <v>09</v>
      </c>
      <c r="F1899" s="496">
        <v>25719</v>
      </c>
      <c r="G1899" s="496" t="str">
        <f t="shared" si="88"/>
        <v>20304177552</v>
      </c>
    </row>
    <row r="1900" spans="1:7">
      <c r="A1900" s="496">
        <f t="shared" si="89"/>
        <v>1899</v>
      </c>
      <c r="B1900" s="496" t="s">
        <v>1986</v>
      </c>
      <c r="C1900" s="495" t="s">
        <v>88</v>
      </c>
      <c r="D1900" s="497" t="s">
        <v>89</v>
      </c>
      <c r="E1900" s="496" t="str">
        <f t="shared" si="87"/>
        <v>11</v>
      </c>
      <c r="F1900" s="496">
        <v>25720</v>
      </c>
      <c r="G1900" s="496" t="str">
        <f t="shared" si="88"/>
        <v>20155945860</v>
      </c>
    </row>
    <row r="1901" spans="1:7">
      <c r="A1901" s="496">
        <f t="shared" si="89"/>
        <v>1900</v>
      </c>
      <c r="B1901" s="496" t="s">
        <v>1987</v>
      </c>
      <c r="C1901" s="495" t="s">
        <v>91</v>
      </c>
      <c r="D1901" s="497" t="s">
        <v>92</v>
      </c>
      <c r="E1901" s="496" t="str">
        <f t="shared" si="87"/>
        <v>12</v>
      </c>
      <c r="F1901" s="496">
        <v>25724</v>
      </c>
      <c r="G1901" s="496" t="str">
        <f t="shared" si="88"/>
        <v>20101071562</v>
      </c>
    </row>
    <row r="1902" spans="1:7">
      <c r="A1902" s="496">
        <f t="shared" si="89"/>
        <v>1901</v>
      </c>
      <c r="B1902" s="496" t="s">
        <v>1988</v>
      </c>
      <c r="C1902" s="495" t="s">
        <v>77</v>
      </c>
      <c r="D1902" s="497" t="s">
        <v>78</v>
      </c>
      <c r="E1902" s="496" t="str">
        <f t="shared" si="87"/>
        <v>07</v>
      </c>
      <c r="F1902" s="496">
        <v>25717</v>
      </c>
      <c r="G1902" s="496" t="str">
        <f t="shared" si="88"/>
        <v>20510398158</v>
      </c>
    </row>
    <row r="1903" spans="1:7">
      <c r="A1903" s="496">
        <f t="shared" si="89"/>
        <v>1902</v>
      </c>
      <c r="B1903" s="496" t="s">
        <v>1989</v>
      </c>
      <c r="C1903" s="495" t="s">
        <v>82</v>
      </c>
      <c r="D1903" s="497" t="s">
        <v>83</v>
      </c>
      <c r="E1903" s="496" t="str">
        <f t="shared" si="87"/>
        <v>08</v>
      </c>
      <c r="F1903" s="496">
        <v>25718</v>
      </c>
      <c r="G1903" s="496" t="str">
        <f t="shared" si="88"/>
        <v>20432405525</v>
      </c>
    </row>
    <row r="1904" spans="1:7">
      <c r="A1904" s="496">
        <f t="shared" si="89"/>
        <v>1903</v>
      </c>
      <c r="B1904" s="496" t="s">
        <v>1990</v>
      </c>
      <c r="C1904" s="495" t="s">
        <v>85</v>
      </c>
      <c r="D1904" s="497" t="s">
        <v>86</v>
      </c>
      <c r="E1904" s="496" t="str">
        <f t="shared" si="87"/>
        <v>09</v>
      </c>
      <c r="F1904" s="496">
        <v>25719</v>
      </c>
      <c r="G1904" s="496" t="str">
        <f t="shared" si="88"/>
        <v>20100127165</v>
      </c>
    </row>
    <row r="1905" spans="1:7">
      <c r="A1905" s="496">
        <f t="shared" si="89"/>
        <v>1904</v>
      </c>
      <c r="B1905" s="496" t="s">
        <v>1991</v>
      </c>
      <c r="C1905" s="495" t="s">
        <v>88</v>
      </c>
      <c r="D1905" s="497" t="s">
        <v>89</v>
      </c>
      <c r="E1905" s="496" t="str">
        <f t="shared" si="87"/>
        <v>11</v>
      </c>
      <c r="F1905" s="496">
        <v>25720</v>
      </c>
      <c r="G1905" s="496" t="str">
        <f t="shared" si="88"/>
        <v>20266352337</v>
      </c>
    </row>
    <row r="1906" spans="1:7">
      <c r="A1906" s="496">
        <f t="shared" si="89"/>
        <v>1905</v>
      </c>
      <c r="B1906" s="496" t="s">
        <v>1992</v>
      </c>
      <c r="C1906" s="495" t="s">
        <v>91</v>
      </c>
      <c r="D1906" s="497" t="s">
        <v>92</v>
      </c>
      <c r="E1906" s="496" t="str">
        <f t="shared" si="87"/>
        <v>12</v>
      </c>
      <c r="F1906" s="496">
        <v>25724</v>
      </c>
      <c r="G1906" s="496" t="str">
        <f t="shared" si="88"/>
        <v>20142829551</v>
      </c>
    </row>
    <row r="1907" spans="1:7">
      <c r="A1907" s="496">
        <f t="shared" si="89"/>
        <v>1906</v>
      </c>
      <c r="B1907" s="496" t="s">
        <v>1993</v>
      </c>
      <c r="C1907" s="495" t="s">
        <v>77</v>
      </c>
      <c r="D1907" s="497" t="s">
        <v>78</v>
      </c>
      <c r="E1907" s="496" t="str">
        <f t="shared" si="87"/>
        <v>07</v>
      </c>
      <c r="F1907" s="496">
        <v>25717</v>
      </c>
      <c r="G1907" s="496" t="str">
        <f t="shared" si="88"/>
        <v>20517207331</v>
      </c>
    </row>
    <row r="1908" spans="1:7">
      <c r="A1908" s="496">
        <f t="shared" si="89"/>
        <v>1907</v>
      </c>
      <c r="B1908" s="496" t="s">
        <v>1994</v>
      </c>
      <c r="C1908" s="495" t="s">
        <v>82</v>
      </c>
      <c r="D1908" s="497" t="s">
        <v>83</v>
      </c>
      <c r="E1908" s="496" t="str">
        <f t="shared" si="87"/>
        <v>08</v>
      </c>
      <c r="F1908" s="496">
        <v>25718</v>
      </c>
      <c r="G1908" s="496" t="str">
        <f t="shared" si="88"/>
        <v>20513251506</v>
      </c>
    </row>
    <row r="1909" spans="1:7">
      <c r="A1909" s="496">
        <f t="shared" si="89"/>
        <v>1908</v>
      </c>
      <c r="B1909" s="496" t="s">
        <v>1995</v>
      </c>
      <c r="C1909" s="495" t="s">
        <v>85</v>
      </c>
      <c r="D1909" s="497" t="s">
        <v>86</v>
      </c>
      <c r="E1909" s="496" t="str">
        <f t="shared" si="87"/>
        <v>09</v>
      </c>
      <c r="F1909" s="496">
        <v>25719</v>
      </c>
      <c r="G1909" s="496" t="str">
        <f t="shared" si="88"/>
        <v>20332473388</v>
      </c>
    </row>
    <row r="1910" spans="1:7">
      <c r="A1910" s="496">
        <f t="shared" si="89"/>
        <v>1909</v>
      </c>
      <c r="B1910" s="496" t="s">
        <v>1996</v>
      </c>
      <c r="C1910" s="495" t="s">
        <v>88</v>
      </c>
      <c r="D1910" s="497" t="s">
        <v>89</v>
      </c>
      <c r="E1910" s="496" t="str">
        <f t="shared" si="87"/>
        <v>11</v>
      </c>
      <c r="F1910" s="496">
        <v>25720</v>
      </c>
      <c r="G1910" s="496" t="str">
        <f t="shared" si="88"/>
        <v>20371828851</v>
      </c>
    </row>
    <row r="1911" spans="1:7">
      <c r="A1911" s="496">
        <f t="shared" si="89"/>
        <v>1910</v>
      </c>
      <c r="B1911" s="496" t="s">
        <v>1997</v>
      </c>
      <c r="C1911" s="495" t="s">
        <v>91</v>
      </c>
      <c r="D1911" s="497" t="s">
        <v>92</v>
      </c>
      <c r="E1911" s="496" t="str">
        <f t="shared" si="87"/>
        <v>12</v>
      </c>
      <c r="F1911" s="496">
        <v>25724</v>
      </c>
      <c r="G1911" s="496" t="str">
        <f t="shared" si="88"/>
        <v>20100085225</v>
      </c>
    </row>
    <row r="1912" spans="1:7">
      <c r="A1912" s="496">
        <f t="shared" si="89"/>
        <v>1911</v>
      </c>
      <c r="B1912" s="496" t="s">
        <v>1998</v>
      </c>
      <c r="C1912" s="495" t="s">
        <v>77</v>
      </c>
      <c r="D1912" s="497" t="s">
        <v>78</v>
      </c>
      <c r="E1912" s="496" t="str">
        <f t="shared" si="87"/>
        <v>07</v>
      </c>
      <c r="F1912" s="496">
        <v>25717</v>
      </c>
      <c r="G1912" s="496" t="str">
        <f t="shared" si="88"/>
        <v>20518497104</v>
      </c>
    </row>
    <row r="1913" spans="1:7">
      <c r="A1913" s="496">
        <f t="shared" si="89"/>
        <v>1912</v>
      </c>
      <c r="B1913" s="496" t="s">
        <v>1999</v>
      </c>
      <c r="C1913" s="495" t="s">
        <v>82</v>
      </c>
      <c r="D1913" s="497" t="s">
        <v>83</v>
      </c>
      <c r="E1913" s="496" t="str">
        <f t="shared" si="87"/>
        <v>08</v>
      </c>
      <c r="F1913" s="496">
        <v>25718</v>
      </c>
      <c r="G1913" s="496" t="str">
        <f t="shared" si="88"/>
        <v>20100039207</v>
      </c>
    </row>
    <row r="1914" spans="1:7">
      <c r="A1914" s="496">
        <f t="shared" si="89"/>
        <v>1913</v>
      </c>
      <c r="B1914" s="496" t="s">
        <v>2000</v>
      </c>
      <c r="C1914" s="495" t="s">
        <v>85</v>
      </c>
      <c r="D1914" s="497" t="s">
        <v>86</v>
      </c>
      <c r="E1914" s="496" t="str">
        <f t="shared" si="87"/>
        <v>09</v>
      </c>
      <c r="F1914" s="496">
        <v>25719</v>
      </c>
      <c r="G1914" s="496" t="str">
        <f t="shared" si="88"/>
        <v>20504645046</v>
      </c>
    </row>
    <row r="1915" spans="1:7">
      <c r="A1915" s="496">
        <f t="shared" si="89"/>
        <v>1914</v>
      </c>
      <c r="B1915" s="496" t="s">
        <v>2001</v>
      </c>
      <c r="C1915" s="495" t="s">
        <v>88</v>
      </c>
      <c r="D1915" s="497" t="s">
        <v>89</v>
      </c>
      <c r="E1915" s="496" t="str">
        <f t="shared" si="87"/>
        <v>11</v>
      </c>
      <c r="F1915" s="496">
        <v>25720</v>
      </c>
      <c r="G1915" s="496" t="str">
        <f t="shared" si="88"/>
        <v>20423075059</v>
      </c>
    </row>
    <row r="1916" spans="1:7">
      <c r="A1916" s="496">
        <f t="shared" si="89"/>
        <v>1915</v>
      </c>
      <c r="B1916" s="496" t="s">
        <v>2002</v>
      </c>
      <c r="C1916" s="495" t="s">
        <v>91</v>
      </c>
      <c r="D1916" s="497" t="s">
        <v>92</v>
      </c>
      <c r="E1916" s="496" t="str">
        <f t="shared" si="87"/>
        <v>12</v>
      </c>
      <c r="F1916" s="496">
        <v>25724</v>
      </c>
      <c r="G1916" s="496" t="str">
        <f t="shared" si="88"/>
        <v>20259829594</v>
      </c>
    </row>
    <row r="1917" spans="1:7">
      <c r="A1917" s="496">
        <f t="shared" si="89"/>
        <v>1916</v>
      </c>
      <c r="B1917" s="496" t="s">
        <v>2003</v>
      </c>
      <c r="C1917" s="495" t="s">
        <v>77</v>
      </c>
      <c r="D1917" s="497" t="s">
        <v>78</v>
      </c>
      <c r="E1917" s="496" t="str">
        <f t="shared" si="87"/>
        <v>07</v>
      </c>
      <c r="F1917" s="496">
        <v>25717</v>
      </c>
      <c r="G1917" s="496" t="str">
        <f t="shared" si="88"/>
        <v>20509959766</v>
      </c>
    </row>
    <row r="1918" spans="1:7">
      <c r="A1918" s="496">
        <f t="shared" si="89"/>
        <v>1917</v>
      </c>
      <c r="B1918" s="496" t="s">
        <v>2004</v>
      </c>
      <c r="C1918" s="495" t="s">
        <v>82</v>
      </c>
      <c r="D1918" s="497" t="s">
        <v>83</v>
      </c>
      <c r="E1918" s="496" t="str">
        <f t="shared" si="87"/>
        <v>08</v>
      </c>
      <c r="F1918" s="496">
        <v>25718</v>
      </c>
      <c r="G1918" s="496" t="str">
        <f t="shared" si="88"/>
        <v>20258262728</v>
      </c>
    </row>
    <row r="1919" spans="1:7">
      <c r="A1919" s="496">
        <f t="shared" si="89"/>
        <v>1918</v>
      </c>
      <c r="B1919" s="496" t="s">
        <v>2005</v>
      </c>
      <c r="C1919" s="495" t="s">
        <v>85</v>
      </c>
      <c r="D1919" s="497" t="s">
        <v>86</v>
      </c>
      <c r="E1919" s="496" t="str">
        <f t="shared" si="87"/>
        <v>09</v>
      </c>
      <c r="F1919" s="496">
        <v>25719</v>
      </c>
      <c r="G1919" s="496" t="str">
        <f t="shared" si="88"/>
        <v>20100176450</v>
      </c>
    </row>
    <row r="1920" spans="1:7">
      <c r="A1920" s="496">
        <f t="shared" si="89"/>
        <v>1919</v>
      </c>
      <c r="B1920" s="496" t="s">
        <v>2006</v>
      </c>
      <c r="C1920" s="495" t="s">
        <v>88</v>
      </c>
      <c r="D1920" s="497" t="s">
        <v>89</v>
      </c>
      <c r="E1920" s="496" t="str">
        <f t="shared" si="87"/>
        <v>11</v>
      </c>
      <c r="F1920" s="496">
        <v>25720</v>
      </c>
      <c r="G1920" s="496" t="str">
        <f t="shared" si="88"/>
        <v>20100041953</v>
      </c>
    </row>
    <row r="1921" spans="1:7">
      <c r="A1921" s="496">
        <f t="shared" si="89"/>
        <v>1920</v>
      </c>
      <c r="B1921" s="496" t="s">
        <v>2007</v>
      </c>
      <c r="C1921" s="495" t="s">
        <v>91</v>
      </c>
      <c r="D1921" s="497" t="s">
        <v>92</v>
      </c>
      <c r="E1921" s="496" t="str">
        <f t="shared" si="87"/>
        <v>12</v>
      </c>
      <c r="F1921" s="496">
        <v>25724</v>
      </c>
      <c r="G1921" s="496" t="str">
        <f t="shared" si="88"/>
        <v>20100617332</v>
      </c>
    </row>
    <row r="1922" spans="1:7">
      <c r="A1922" s="496">
        <f t="shared" si="89"/>
        <v>1921</v>
      </c>
      <c r="B1922" s="496" t="s">
        <v>2008</v>
      </c>
      <c r="C1922" s="495" t="s">
        <v>77</v>
      </c>
      <c r="D1922" s="497" t="s">
        <v>78</v>
      </c>
      <c r="E1922" s="496" t="str">
        <f t="shared" si="87"/>
        <v>07</v>
      </c>
      <c r="F1922" s="496">
        <v>25717</v>
      </c>
      <c r="G1922" s="496" t="str">
        <f t="shared" si="88"/>
        <v>20308422942</v>
      </c>
    </row>
    <row r="1923" spans="1:7">
      <c r="A1923" s="496">
        <f t="shared" si="89"/>
        <v>1922</v>
      </c>
      <c r="B1923" s="496" t="s">
        <v>2009</v>
      </c>
      <c r="C1923" s="495" t="s">
        <v>82</v>
      </c>
      <c r="D1923" s="497" t="s">
        <v>83</v>
      </c>
      <c r="E1923" s="496" t="str">
        <f t="shared" ref="E1923:E1986" si="90">IF(MID(D1923,14,1)="@",MID(D1923,12,2),"0"&amp;MID(D1923,12,1))</f>
        <v>08</v>
      </c>
      <c r="F1923" s="496">
        <v>25718</v>
      </c>
      <c r="G1923" s="496" t="str">
        <f t="shared" ref="G1923:G1986" si="91">CONCATENATE(B1923)</f>
        <v>20213053915</v>
      </c>
    </row>
    <row r="1924" spans="1:7">
      <c r="A1924" s="496">
        <f t="shared" ref="A1924:A1987" si="92">+A1923+1</f>
        <v>1923</v>
      </c>
      <c r="B1924" s="496" t="s">
        <v>2010</v>
      </c>
      <c r="C1924" s="495" t="s">
        <v>85</v>
      </c>
      <c r="D1924" s="497" t="s">
        <v>86</v>
      </c>
      <c r="E1924" s="496" t="str">
        <f t="shared" si="90"/>
        <v>09</v>
      </c>
      <c r="F1924" s="496">
        <v>25719</v>
      </c>
      <c r="G1924" s="496" t="str">
        <f t="shared" si="91"/>
        <v>20184778824</v>
      </c>
    </row>
    <row r="1925" spans="1:7">
      <c r="A1925" s="496">
        <f t="shared" si="92"/>
        <v>1924</v>
      </c>
      <c r="B1925" s="496" t="s">
        <v>2011</v>
      </c>
      <c r="C1925" s="495" t="s">
        <v>88</v>
      </c>
      <c r="D1925" s="497" t="s">
        <v>89</v>
      </c>
      <c r="E1925" s="496" t="str">
        <f t="shared" si="90"/>
        <v>11</v>
      </c>
      <c r="F1925" s="496">
        <v>25720</v>
      </c>
      <c r="G1925" s="496" t="str">
        <f t="shared" si="91"/>
        <v>20457830905</v>
      </c>
    </row>
    <row r="1926" spans="1:7">
      <c r="A1926" s="496">
        <f t="shared" si="92"/>
        <v>1925</v>
      </c>
      <c r="B1926" s="496" t="s">
        <v>2012</v>
      </c>
      <c r="C1926" s="495" t="s">
        <v>91</v>
      </c>
      <c r="D1926" s="497" t="s">
        <v>92</v>
      </c>
      <c r="E1926" s="496" t="str">
        <f t="shared" si="90"/>
        <v>12</v>
      </c>
      <c r="F1926" s="496">
        <v>25724</v>
      </c>
      <c r="G1926" s="496" t="str">
        <f t="shared" si="91"/>
        <v>20100128056</v>
      </c>
    </row>
    <row r="1927" spans="1:7">
      <c r="A1927" s="496">
        <f t="shared" si="92"/>
        <v>1926</v>
      </c>
      <c r="B1927" s="496" t="s">
        <v>2013</v>
      </c>
      <c r="C1927" s="495" t="s">
        <v>77</v>
      </c>
      <c r="D1927" s="497" t="s">
        <v>78</v>
      </c>
      <c r="E1927" s="496" t="str">
        <f t="shared" si="90"/>
        <v>07</v>
      </c>
      <c r="F1927" s="496">
        <v>25717</v>
      </c>
      <c r="G1927" s="496" t="str">
        <f t="shared" si="91"/>
        <v>20515248880</v>
      </c>
    </row>
    <row r="1928" spans="1:7">
      <c r="A1928" s="496">
        <f t="shared" si="92"/>
        <v>1927</v>
      </c>
      <c r="B1928" s="496" t="s">
        <v>2014</v>
      </c>
      <c r="C1928" s="495" t="s">
        <v>82</v>
      </c>
      <c r="D1928" s="497" t="s">
        <v>83</v>
      </c>
      <c r="E1928" s="496" t="str">
        <f t="shared" si="90"/>
        <v>08</v>
      </c>
      <c r="F1928" s="496">
        <v>25718</v>
      </c>
      <c r="G1928" s="496" t="str">
        <f t="shared" si="91"/>
        <v>20171724687</v>
      </c>
    </row>
    <row r="1929" spans="1:7">
      <c r="A1929" s="496">
        <f t="shared" si="92"/>
        <v>1928</v>
      </c>
      <c r="B1929" s="496" t="s">
        <v>2015</v>
      </c>
      <c r="C1929" s="495" t="s">
        <v>85</v>
      </c>
      <c r="D1929" s="497" t="s">
        <v>86</v>
      </c>
      <c r="E1929" s="496" t="str">
        <f t="shared" si="90"/>
        <v>09</v>
      </c>
      <c r="F1929" s="496">
        <v>25719</v>
      </c>
      <c r="G1929" s="496" t="str">
        <f t="shared" si="91"/>
        <v>20509534838</v>
      </c>
    </row>
    <row r="1930" spans="1:7">
      <c r="A1930" s="496">
        <f t="shared" si="92"/>
        <v>1929</v>
      </c>
      <c r="B1930" s="496" t="s">
        <v>2016</v>
      </c>
      <c r="C1930" s="495" t="s">
        <v>88</v>
      </c>
      <c r="D1930" s="497" t="s">
        <v>89</v>
      </c>
      <c r="E1930" s="496" t="str">
        <f t="shared" si="90"/>
        <v>11</v>
      </c>
      <c r="F1930" s="496">
        <v>25720</v>
      </c>
      <c r="G1930" s="496" t="str">
        <f t="shared" si="91"/>
        <v>20513320915</v>
      </c>
    </row>
    <row r="1931" spans="1:7">
      <c r="A1931" s="496">
        <f t="shared" si="92"/>
        <v>1930</v>
      </c>
      <c r="B1931" s="496" t="s">
        <v>2017</v>
      </c>
      <c r="C1931" s="495" t="s">
        <v>91</v>
      </c>
      <c r="D1931" s="497" t="s">
        <v>92</v>
      </c>
      <c r="E1931" s="496" t="str">
        <f t="shared" si="90"/>
        <v>12</v>
      </c>
      <c r="F1931" s="496">
        <v>25724</v>
      </c>
      <c r="G1931" s="496" t="str">
        <f t="shared" si="91"/>
        <v>20100134706</v>
      </c>
    </row>
    <row r="1932" spans="1:7">
      <c r="A1932" s="496">
        <f t="shared" si="92"/>
        <v>1931</v>
      </c>
      <c r="B1932" s="496" t="s">
        <v>2018</v>
      </c>
      <c r="C1932" s="495" t="s">
        <v>77</v>
      </c>
      <c r="D1932" s="497" t="s">
        <v>78</v>
      </c>
      <c r="E1932" s="496" t="str">
        <f t="shared" si="90"/>
        <v>07</v>
      </c>
      <c r="F1932" s="496">
        <v>25717</v>
      </c>
      <c r="G1932" s="496" t="str">
        <f t="shared" si="91"/>
        <v>20378721998</v>
      </c>
    </row>
    <row r="1933" spans="1:7">
      <c r="A1933" s="496">
        <f t="shared" si="92"/>
        <v>1932</v>
      </c>
      <c r="B1933" s="496" t="s">
        <v>2019</v>
      </c>
      <c r="C1933" s="495" t="s">
        <v>82</v>
      </c>
      <c r="D1933" s="497" t="s">
        <v>83</v>
      </c>
      <c r="E1933" s="496" t="str">
        <f t="shared" si="90"/>
        <v>08</v>
      </c>
      <c r="F1933" s="496">
        <v>25718</v>
      </c>
      <c r="G1933" s="496" t="str">
        <f t="shared" si="91"/>
        <v>20168702346</v>
      </c>
    </row>
    <row r="1934" spans="1:7">
      <c r="A1934" s="496">
        <f t="shared" si="92"/>
        <v>1933</v>
      </c>
      <c r="B1934" s="496" t="s">
        <v>2020</v>
      </c>
      <c r="C1934" s="495" t="s">
        <v>85</v>
      </c>
      <c r="D1934" s="497" t="s">
        <v>86</v>
      </c>
      <c r="E1934" s="496" t="str">
        <f t="shared" si="90"/>
        <v>09</v>
      </c>
      <c r="F1934" s="496">
        <v>25719</v>
      </c>
      <c r="G1934" s="496" t="str">
        <f t="shared" si="91"/>
        <v>20203058781</v>
      </c>
    </row>
    <row r="1935" spans="1:7">
      <c r="A1935" s="496">
        <f t="shared" si="92"/>
        <v>1934</v>
      </c>
      <c r="B1935" s="496" t="s">
        <v>2021</v>
      </c>
      <c r="C1935" s="495" t="s">
        <v>88</v>
      </c>
      <c r="D1935" s="497" t="s">
        <v>89</v>
      </c>
      <c r="E1935" s="496" t="str">
        <f t="shared" si="90"/>
        <v>11</v>
      </c>
      <c r="F1935" s="496">
        <v>25720</v>
      </c>
      <c r="G1935" s="496" t="str">
        <f t="shared" si="91"/>
        <v>20101363008</v>
      </c>
    </row>
    <row r="1936" spans="1:7">
      <c r="A1936" s="496">
        <f t="shared" si="92"/>
        <v>1935</v>
      </c>
      <c r="B1936" s="496" t="s">
        <v>2022</v>
      </c>
      <c r="C1936" s="495" t="s">
        <v>91</v>
      </c>
      <c r="D1936" s="497" t="s">
        <v>92</v>
      </c>
      <c r="E1936" s="496" t="str">
        <f t="shared" si="90"/>
        <v>12</v>
      </c>
      <c r="F1936" s="496">
        <v>25724</v>
      </c>
      <c r="G1936" s="496" t="str">
        <f t="shared" si="91"/>
        <v>20110964928</v>
      </c>
    </row>
    <row r="1937" spans="1:7">
      <c r="A1937" s="496">
        <f t="shared" si="92"/>
        <v>1936</v>
      </c>
      <c r="B1937" s="496" t="s">
        <v>2023</v>
      </c>
      <c r="C1937" s="495" t="s">
        <v>77</v>
      </c>
      <c r="D1937" s="497" t="s">
        <v>78</v>
      </c>
      <c r="E1937" s="496" t="str">
        <f t="shared" si="90"/>
        <v>07</v>
      </c>
      <c r="F1937" s="496">
        <v>25717</v>
      </c>
      <c r="G1937" s="496" t="str">
        <f t="shared" si="91"/>
        <v>20195867233</v>
      </c>
    </row>
    <row r="1938" spans="1:7">
      <c r="A1938" s="496">
        <f t="shared" si="92"/>
        <v>1937</v>
      </c>
      <c r="B1938" s="496" t="s">
        <v>2024</v>
      </c>
      <c r="C1938" s="495" t="s">
        <v>82</v>
      </c>
      <c r="D1938" s="497" t="s">
        <v>83</v>
      </c>
      <c r="E1938" s="496" t="str">
        <f t="shared" si="90"/>
        <v>08</v>
      </c>
      <c r="F1938" s="496">
        <v>25718</v>
      </c>
      <c r="G1938" s="496" t="str">
        <f t="shared" si="91"/>
        <v>20100118174</v>
      </c>
    </row>
    <row r="1939" spans="1:7">
      <c r="A1939" s="496">
        <f t="shared" si="92"/>
        <v>1938</v>
      </c>
      <c r="B1939" s="496" t="s">
        <v>2025</v>
      </c>
      <c r="C1939" s="495" t="s">
        <v>85</v>
      </c>
      <c r="D1939" s="497" t="s">
        <v>86</v>
      </c>
      <c r="E1939" s="496" t="str">
        <f t="shared" si="90"/>
        <v>09</v>
      </c>
      <c r="F1939" s="496">
        <v>25719</v>
      </c>
      <c r="G1939" s="496" t="str">
        <f t="shared" si="91"/>
        <v>20100043140</v>
      </c>
    </row>
    <row r="1940" spans="1:7">
      <c r="A1940" s="496">
        <f t="shared" si="92"/>
        <v>1939</v>
      </c>
      <c r="B1940" s="496" t="s">
        <v>2026</v>
      </c>
      <c r="C1940" s="495" t="s">
        <v>88</v>
      </c>
      <c r="D1940" s="497" t="s">
        <v>89</v>
      </c>
      <c r="E1940" s="496" t="str">
        <f t="shared" si="90"/>
        <v>11</v>
      </c>
      <c r="F1940" s="496">
        <v>25720</v>
      </c>
      <c r="G1940" s="496" t="str">
        <f t="shared" si="91"/>
        <v>20463627488</v>
      </c>
    </row>
    <row r="1941" spans="1:7">
      <c r="A1941" s="496">
        <f t="shared" si="92"/>
        <v>1940</v>
      </c>
      <c r="B1941" s="496" t="s">
        <v>2027</v>
      </c>
      <c r="C1941" s="495" t="s">
        <v>91</v>
      </c>
      <c r="D1941" s="497" t="s">
        <v>92</v>
      </c>
      <c r="E1941" s="496" t="str">
        <f t="shared" si="90"/>
        <v>12</v>
      </c>
      <c r="F1941" s="496">
        <v>25724</v>
      </c>
      <c r="G1941" s="496" t="str">
        <f t="shared" si="91"/>
        <v>20519395224</v>
      </c>
    </row>
    <row r="1942" spans="1:7">
      <c r="A1942" s="496">
        <f t="shared" si="92"/>
        <v>1941</v>
      </c>
      <c r="B1942" s="496" t="s">
        <v>2028</v>
      </c>
      <c r="C1942" s="495" t="s">
        <v>77</v>
      </c>
      <c r="D1942" s="497" t="s">
        <v>78</v>
      </c>
      <c r="E1942" s="496" t="str">
        <f t="shared" si="90"/>
        <v>07</v>
      </c>
      <c r="F1942" s="496">
        <v>25717</v>
      </c>
      <c r="G1942" s="496" t="str">
        <f t="shared" si="91"/>
        <v>20100003351</v>
      </c>
    </row>
    <row r="1943" spans="1:7">
      <c r="A1943" s="496">
        <f t="shared" si="92"/>
        <v>1942</v>
      </c>
      <c r="B1943" s="496" t="s">
        <v>2029</v>
      </c>
      <c r="C1943" s="495" t="s">
        <v>82</v>
      </c>
      <c r="D1943" s="497" t="s">
        <v>83</v>
      </c>
      <c r="E1943" s="496" t="str">
        <f t="shared" si="90"/>
        <v>08</v>
      </c>
      <c r="F1943" s="496">
        <v>25718</v>
      </c>
      <c r="G1943" s="496" t="str">
        <f t="shared" si="91"/>
        <v>20256136865</v>
      </c>
    </row>
    <row r="1944" spans="1:7">
      <c r="A1944" s="496">
        <f t="shared" si="92"/>
        <v>1943</v>
      </c>
      <c r="B1944" s="496" t="s">
        <v>2030</v>
      </c>
      <c r="C1944" s="495" t="s">
        <v>85</v>
      </c>
      <c r="D1944" s="497" t="s">
        <v>86</v>
      </c>
      <c r="E1944" s="496" t="str">
        <f t="shared" si="90"/>
        <v>09</v>
      </c>
      <c r="F1944" s="496">
        <v>25719</v>
      </c>
      <c r="G1944" s="496" t="str">
        <f t="shared" si="91"/>
        <v>20429350264</v>
      </c>
    </row>
    <row r="1945" spans="1:7">
      <c r="A1945" s="496">
        <f t="shared" si="92"/>
        <v>1944</v>
      </c>
      <c r="B1945" s="496" t="s">
        <v>2031</v>
      </c>
      <c r="C1945" s="495" t="s">
        <v>88</v>
      </c>
      <c r="D1945" s="497" t="s">
        <v>89</v>
      </c>
      <c r="E1945" s="496" t="str">
        <f t="shared" si="90"/>
        <v>11</v>
      </c>
      <c r="F1945" s="496">
        <v>25720</v>
      </c>
      <c r="G1945" s="496" t="str">
        <f t="shared" si="91"/>
        <v>20100114349</v>
      </c>
    </row>
    <row r="1946" spans="1:7">
      <c r="A1946" s="496">
        <f t="shared" si="92"/>
        <v>1945</v>
      </c>
      <c r="B1946" s="496" t="s">
        <v>2032</v>
      </c>
      <c r="C1946" s="495" t="s">
        <v>91</v>
      </c>
      <c r="D1946" s="497" t="s">
        <v>92</v>
      </c>
      <c r="E1946" s="496" t="str">
        <f t="shared" si="90"/>
        <v>12</v>
      </c>
      <c r="F1946" s="496">
        <v>25724</v>
      </c>
      <c r="G1946" s="496" t="str">
        <f t="shared" si="91"/>
        <v>20100142989</v>
      </c>
    </row>
    <row r="1947" spans="1:7">
      <c r="A1947" s="496">
        <f t="shared" si="92"/>
        <v>1946</v>
      </c>
      <c r="B1947" s="496" t="s">
        <v>2033</v>
      </c>
      <c r="C1947" s="495" t="s">
        <v>77</v>
      </c>
      <c r="D1947" s="497" t="s">
        <v>78</v>
      </c>
      <c r="E1947" s="496" t="str">
        <f t="shared" si="90"/>
        <v>07</v>
      </c>
      <c r="F1947" s="496">
        <v>25717</v>
      </c>
      <c r="G1947" s="496" t="str">
        <f t="shared" si="91"/>
        <v>20303180720</v>
      </c>
    </row>
    <row r="1948" spans="1:7">
      <c r="A1948" s="496">
        <f t="shared" si="92"/>
        <v>1947</v>
      </c>
      <c r="B1948" s="496" t="s">
        <v>2034</v>
      </c>
      <c r="C1948" s="495" t="s">
        <v>82</v>
      </c>
      <c r="D1948" s="497" t="s">
        <v>83</v>
      </c>
      <c r="E1948" s="496" t="str">
        <f t="shared" si="90"/>
        <v>08</v>
      </c>
      <c r="F1948" s="496">
        <v>25718</v>
      </c>
      <c r="G1948" s="496" t="str">
        <f t="shared" si="91"/>
        <v>20153045021</v>
      </c>
    </row>
    <row r="1949" spans="1:7">
      <c r="A1949" s="496">
        <f t="shared" si="92"/>
        <v>1948</v>
      </c>
      <c r="B1949" s="496" t="s">
        <v>2035</v>
      </c>
      <c r="C1949" s="495" t="s">
        <v>85</v>
      </c>
      <c r="D1949" s="497" t="s">
        <v>86</v>
      </c>
      <c r="E1949" s="496" t="str">
        <f t="shared" si="90"/>
        <v>09</v>
      </c>
      <c r="F1949" s="496">
        <v>25719</v>
      </c>
      <c r="G1949" s="496" t="str">
        <f t="shared" si="91"/>
        <v>20182246078</v>
      </c>
    </row>
    <row r="1950" spans="1:7">
      <c r="A1950" s="496">
        <f t="shared" si="92"/>
        <v>1949</v>
      </c>
      <c r="B1950" s="496" t="s">
        <v>2036</v>
      </c>
      <c r="C1950" s="495" t="s">
        <v>88</v>
      </c>
      <c r="D1950" s="497" t="s">
        <v>89</v>
      </c>
      <c r="E1950" s="496" t="str">
        <f t="shared" si="90"/>
        <v>11</v>
      </c>
      <c r="F1950" s="496">
        <v>25720</v>
      </c>
      <c r="G1950" s="496" t="str">
        <f t="shared" si="91"/>
        <v>20299935648</v>
      </c>
    </row>
    <row r="1951" spans="1:7">
      <c r="A1951" s="496">
        <f t="shared" si="92"/>
        <v>1950</v>
      </c>
      <c r="B1951" s="496" t="s">
        <v>2037</v>
      </c>
      <c r="C1951" s="495" t="s">
        <v>91</v>
      </c>
      <c r="D1951" s="497" t="s">
        <v>92</v>
      </c>
      <c r="E1951" s="496" t="str">
        <f t="shared" si="90"/>
        <v>12</v>
      </c>
      <c r="F1951" s="496">
        <v>25724</v>
      </c>
      <c r="G1951" s="496" t="str">
        <f t="shared" si="91"/>
        <v>20513215887</v>
      </c>
    </row>
    <row r="1952" spans="1:7">
      <c r="A1952" s="496">
        <f t="shared" si="92"/>
        <v>1951</v>
      </c>
      <c r="B1952" s="496" t="s">
        <v>2038</v>
      </c>
      <c r="C1952" s="495" t="s">
        <v>77</v>
      </c>
      <c r="D1952" s="497" t="s">
        <v>78</v>
      </c>
      <c r="E1952" s="496" t="str">
        <f t="shared" si="90"/>
        <v>07</v>
      </c>
      <c r="F1952" s="496">
        <v>25717</v>
      </c>
      <c r="G1952" s="496" t="str">
        <f t="shared" si="91"/>
        <v>20170072465</v>
      </c>
    </row>
    <row r="1953" spans="1:7">
      <c r="A1953" s="496">
        <f t="shared" si="92"/>
        <v>1952</v>
      </c>
      <c r="B1953" s="496" t="s">
        <v>2039</v>
      </c>
      <c r="C1953" s="495" t="s">
        <v>82</v>
      </c>
      <c r="D1953" s="497" t="s">
        <v>83</v>
      </c>
      <c r="E1953" s="496" t="str">
        <f t="shared" si="90"/>
        <v>08</v>
      </c>
      <c r="F1953" s="496">
        <v>25718</v>
      </c>
      <c r="G1953" s="496" t="str">
        <f t="shared" si="91"/>
        <v>20100017572</v>
      </c>
    </row>
    <row r="1954" spans="1:7">
      <c r="A1954" s="496">
        <f t="shared" si="92"/>
        <v>1953</v>
      </c>
      <c r="B1954" s="496" t="s">
        <v>2040</v>
      </c>
      <c r="C1954" s="495" t="s">
        <v>85</v>
      </c>
      <c r="D1954" s="497" t="s">
        <v>86</v>
      </c>
      <c r="E1954" s="496" t="str">
        <f t="shared" si="90"/>
        <v>09</v>
      </c>
      <c r="F1954" s="496">
        <v>25719</v>
      </c>
      <c r="G1954" s="496" t="str">
        <f t="shared" si="91"/>
        <v>20100151384</v>
      </c>
    </row>
    <row r="1955" spans="1:7">
      <c r="A1955" s="496">
        <f t="shared" si="92"/>
        <v>1954</v>
      </c>
      <c r="B1955" s="496" t="s">
        <v>2041</v>
      </c>
      <c r="C1955" s="495" t="s">
        <v>88</v>
      </c>
      <c r="D1955" s="497" t="s">
        <v>89</v>
      </c>
      <c r="E1955" s="496" t="str">
        <f t="shared" si="90"/>
        <v>11</v>
      </c>
      <c r="F1955" s="496">
        <v>25720</v>
      </c>
      <c r="G1955" s="496" t="str">
        <f t="shared" si="91"/>
        <v>20536903519</v>
      </c>
    </row>
    <row r="1956" spans="1:7">
      <c r="A1956" s="496">
        <f t="shared" si="92"/>
        <v>1955</v>
      </c>
      <c r="B1956" s="496" t="s">
        <v>2042</v>
      </c>
      <c r="C1956" s="495" t="s">
        <v>91</v>
      </c>
      <c r="D1956" s="497" t="s">
        <v>92</v>
      </c>
      <c r="E1956" s="496" t="str">
        <f t="shared" si="90"/>
        <v>12</v>
      </c>
      <c r="F1956" s="496">
        <v>25724</v>
      </c>
      <c r="G1956" s="496" t="str">
        <f t="shared" si="91"/>
        <v>20100104114</v>
      </c>
    </row>
    <row r="1957" spans="1:7">
      <c r="A1957" s="496">
        <f t="shared" si="92"/>
        <v>1956</v>
      </c>
      <c r="B1957" s="496" t="s">
        <v>2043</v>
      </c>
      <c r="C1957" s="495" t="s">
        <v>77</v>
      </c>
      <c r="D1957" s="497" t="s">
        <v>78</v>
      </c>
      <c r="E1957" s="496" t="str">
        <f t="shared" si="90"/>
        <v>07</v>
      </c>
      <c r="F1957" s="496">
        <v>25717</v>
      </c>
      <c r="G1957" s="496" t="str">
        <f t="shared" si="91"/>
        <v>20506766762</v>
      </c>
    </row>
    <row r="1958" spans="1:7">
      <c r="A1958" s="496">
        <f t="shared" si="92"/>
        <v>1957</v>
      </c>
      <c r="B1958" s="496" t="s">
        <v>2044</v>
      </c>
      <c r="C1958" s="495" t="s">
        <v>82</v>
      </c>
      <c r="D1958" s="497" t="s">
        <v>83</v>
      </c>
      <c r="E1958" s="496" t="str">
        <f t="shared" si="90"/>
        <v>08</v>
      </c>
      <c r="F1958" s="496">
        <v>25718</v>
      </c>
      <c r="G1958" s="496" t="str">
        <f t="shared" si="91"/>
        <v>20100147514</v>
      </c>
    </row>
    <row r="1959" spans="1:7">
      <c r="A1959" s="496">
        <f t="shared" si="92"/>
        <v>1958</v>
      </c>
      <c r="B1959" s="496" t="s">
        <v>2045</v>
      </c>
      <c r="C1959" s="495" t="s">
        <v>85</v>
      </c>
      <c r="D1959" s="497" t="s">
        <v>86</v>
      </c>
      <c r="E1959" s="496" t="str">
        <f t="shared" si="90"/>
        <v>09</v>
      </c>
      <c r="F1959" s="496">
        <v>25719</v>
      </c>
      <c r="G1959" s="496" t="str">
        <f t="shared" si="91"/>
        <v>20507493476</v>
      </c>
    </row>
    <row r="1960" spans="1:7">
      <c r="A1960" s="496">
        <f t="shared" si="92"/>
        <v>1959</v>
      </c>
      <c r="B1960" s="496" t="s">
        <v>2046</v>
      </c>
      <c r="C1960" s="495" t="s">
        <v>88</v>
      </c>
      <c r="D1960" s="497" t="s">
        <v>89</v>
      </c>
      <c r="E1960" s="496" t="str">
        <f t="shared" si="90"/>
        <v>11</v>
      </c>
      <c r="F1960" s="496">
        <v>25720</v>
      </c>
      <c r="G1960" s="496" t="str">
        <f t="shared" si="91"/>
        <v>20330791684</v>
      </c>
    </row>
    <row r="1961" spans="1:7">
      <c r="A1961" s="496">
        <f t="shared" si="92"/>
        <v>1960</v>
      </c>
      <c r="B1961" s="496" t="s">
        <v>2047</v>
      </c>
      <c r="C1961" s="495" t="s">
        <v>91</v>
      </c>
      <c r="D1961" s="497" t="s">
        <v>92</v>
      </c>
      <c r="E1961" s="496" t="str">
        <f t="shared" si="90"/>
        <v>12</v>
      </c>
      <c r="F1961" s="496">
        <v>25724</v>
      </c>
      <c r="G1961" s="496" t="str">
        <f t="shared" si="91"/>
        <v>20100070970</v>
      </c>
    </row>
    <row r="1962" spans="1:7">
      <c r="A1962" s="496">
        <f t="shared" si="92"/>
        <v>1961</v>
      </c>
      <c r="B1962" s="496" t="s">
        <v>2048</v>
      </c>
      <c r="C1962" s="495" t="s">
        <v>77</v>
      </c>
      <c r="D1962" s="497" t="s">
        <v>78</v>
      </c>
      <c r="E1962" s="496" t="str">
        <f t="shared" si="90"/>
        <v>07</v>
      </c>
      <c r="F1962" s="496">
        <v>25717</v>
      </c>
      <c r="G1962" s="496" t="str">
        <f t="shared" si="91"/>
        <v>20466590747</v>
      </c>
    </row>
    <row r="1963" spans="1:7">
      <c r="A1963" s="496">
        <f t="shared" si="92"/>
        <v>1962</v>
      </c>
      <c r="B1963" s="496" t="s">
        <v>2049</v>
      </c>
      <c r="C1963" s="495" t="s">
        <v>82</v>
      </c>
      <c r="D1963" s="497" t="s">
        <v>83</v>
      </c>
      <c r="E1963" s="496" t="str">
        <f t="shared" si="90"/>
        <v>08</v>
      </c>
      <c r="F1963" s="496">
        <v>25718</v>
      </c>
      <c r="G1963" s="496" t="str">
        <f t="shared" si="91"/>
        <v>20204621242</v>
      </c>
    </row>
    <row r="1964" spans="1:7">
      <c r="A1964" s="496">
        <f t="shared" si="92"/>
        <v>1963</v>
      </c>
      <c r="B1964" s="496" t="s">
        <v>2050</v>
      </c>
      <c r="C1964" s="495" t="s">
        <v>85</v>
      </c>
      <c r="D1964" s="497" t="s">
        <v>86</v>
      </c>
      <c r="E1964" s="496" t="str">
        <f t="shared" si="90"/>
        <v>09</v>
      </c>
      <c r="F1964" s="496">
        <v>25719</v>
      </c>
      <c r="G1964" s="496" t="str">
        <f t="shared" si="91"/>
        <v>20433763221</v>
      </c>
    </row>
    <row r="1965" spans="1:7">
      <c r="A1965" s="496">
        <f t="shared" si="92"/>
        <v>1964</v>
      </c>
      <c r="B1965" s="496" t="s">
        <v>2051</v>
      </c>
      <c r="C1965" s="495" t="s">
        <v>88</v>
      </c>
      <c r="D1965" s="497" t="s">
        <v>89</v>
      </c>
      <c r="E1965" s="496" t="str">
        <f t="shared" si="90"/>
        <v>11</v>
      </c>
      <c r="F1965" s="496">
        <v>25720</v>
      </c>
      <c r="G1965" s="496" t="str">
        <f t="shared" si="91"/>
        <v>20100971772</v>
      </c>
    </row>
    <row r="1966" spans="1:7">
      <c r="A1966" s="496">
        <f t="shared" si="92"/>
        <v>1965</v>
      </c>
      <c r="B1966" s="496" t="s">
        <v>2052</v>
      </c>
      <c r="C1966" s="495" t="s">
        <v>91</v>
      </c>
      <c r="D1966" s="497" t="s">
        <v>92</v>
      </c>
      <c r="E1966" s="496" t="str">
        <f t="shared" si="90"/>
        <v>12</v>
      </c>
      <c r="F1966" s="496">
        <v>25724</v>
      </c>
      <c r="G1966" s="496" t="str">
        <f t="shared" si="91"/>
        <v>20510569491</v>
      </c>
    </row>
    <row r="1967" spans="1:7">
      <c r="A1967" s="496">
        <f t="shared" si="92"/>
        <v>1966</v>
      </c>
      <c r="B1967" s="496" t="s">
        <v>2053</v>
      </c>
      <c r="C1967" s="495" t="s">
        <v>77</v>
      </c>
      <c r="D1967" s="497" t="s">
        <v>78</v>
      </c>
      <c r="E1967" s="496" t="str">
        <f t="shared" si="90"/>
        <v>07</v>
      </c>
      <c r="F1967" s="496">
        <v>25717</v>
      </c>
      <c r="G1967" s="496" t="str">
        <f t="shared" si="91"/>
        <v>20499433698</v>
      </c>
    </row>
    <row r="1968" spans="1:7">
      <c r="A1968" s="496">
        <f t="shared" si="92"/>
        <v>1967</v>
      </c>
      <c r="B1968" s="496" t="s">
        <v>2054</v>
      </c>
      <c r="C1968" s="495" t="s">
        <v>82</v>
      </c>
      <c r="D1968" s="497" t="s">
        <v>83</v>
      </c>
      <c r="E1968" s="496" t="str">
        <f t="shared" si="90"/>
        <v>08</v>
      </c>
      <c r="F1968" s="496">
        <v>25718</v>
      </c>
      <c r="G1968" s="496" t="str">
        <f t="shared" si="91"/>
        <v>20100017491</v>
      </c>
    </row>
    <row r="1969" spans="1:7">
      <c r="A1969" s="496">
        <f t="shared" si="92"/>
        <v>1968</v>
      </c>
      <c r="B1969" s="496" t="s">
        <v>2055</v>
      </c>
      <c r="C1969" s="495" t="s">
        <v>85</v>
      </c>
      <c r="D1969" s="497" t="s">
        <v>86</v>
      </c>
      <c r="E1969" s="496" t="str">
        <f t="shared" si="90"/>
        <v>09</v>
      </c>
      <c r="F1969" s="496">
        <v>25719</v>
      </c>
      <c r="G1969" s="496" t="str">
        <f t="shared" si="91"/>
        <v>20501827623</v>
      </c>
    </row>
    <row r="1970" spans="1:7">
      <c r="A1970" s="496">
        <f t="shared" si="92"/>
        <v>1969</v>
      </c>
      <c r="B1970" s="496" t="s">
        <v>2056</v>
      </c>
      <c r="C1970" s="495" t="s">
        <v>88</v>
      </c>
      <c r="D1970" s="497" t="s">
        <v>89</v>
      </c>
      <c r="E1970" s="496" t="str">
        <f t="shared" si="90"/>
        <v>11</v>
      </c>
      <c r="F1970" s="496">
        <v>25720</v>
      </c>
      <c r="G1970" s="496" t="str">
        <f t="shared" si="91"/>
        <v>20458362077</v>
      </c>
    </row>
    <row r="1971" spans="1:7">
      <c r="A1971" s="496">
        <f t="shared" si="92"/>
        <v>1970</v>
      </c>
      <c r="B1971" s="496" t="s">
        <v>2057</v>
      </c>
      <c r="C1971" s="495" t="s">
        <v>91</v>
      </c>
      <c r="D1971" s="497" t="s">
        <v>92</v>
      </c>
      <c r="E1971" s="496" t="str">
        <f t="shared" si="90"/>
        <v>12</v>
      </c>
      <c r="F1971" s="496">
        <v>25724</v>
      </c>
      <c r="G1971" s="496" t="str">
        <f t="shared" si="91"/>
        <v>20290000263</v>
      </c>
    </row>
    <row r="1972" spans="1:7">
      <c r="A1972" s="496">
        <f t="shared" si="92"/>
        <v>1971</v>
      </c>
      <c r="B1972" s="496" t="s">
        <v>2058</v>
      </c>
      <c r="C1972" s="495" t="s">
        <v>77</v>
      </c>
      <c r="D1972" s="497" t="s">
        <v>78</v>
      </c>
      <c r="E1972" s="496" t="str">
        <f t="shared" si="90"/>
        <v>07</v>
      </c>
      <c r="F1972" s="496">
        <v>25717</v>
      </c>
      <c r="G1972" s="496" t="str">
        <f t="shared" si="91"/>
        <v>20515621190</v>
      </c>
    </row>
    <row r="1973" spans="1:7">
      <c r="A1973" s="496">
        <f t="shared" si="92"/>
        <v>1972</v>
      </c>
      <c r="B1973" s="496" t="s">
        <v>2059</v>
      </c>
      <c r="C1973" s="495" t="s">
        <v>82</v>
      </c>
      <c r="D1973" s="497" t="s">
        <v>83</v>
      </c>
      <c r="E1973" s="496" t="str">
        <f t="shared" si="90"/>
        <v>08</v>
      </c>
      <c r="F1973" s="496">
        <v>25718</v>
      </c>
      <c r="G1973" s="496" t="str">
        <f t="shared" si="91"/>
        <v>20522473571</v>
      </c>
    </row>
    <row r="1974" spans="1:7">
      <c r="A1974" s="496">
        <f t="shared" si="92"/>
        <v>1973</v>
      </c>
      <c r="B1974" s="496" t="s">
        <v>2060</v>
      </c>
      <c r="C1974" s="495" t="s">
        <v>85</v>
      </c>
      <c r="D1974" s="497" t="s">
        <v>86</v>
      </c>
      <c r="E1974" s="496" t="str">
        <f t="shared" si="90"/>
        <v>09</v>
      </c>
      <c r="F1974" s="496">
        <v>25719</v>
      </c>
      <c r="G1974" s="496" t="str">
        <f t="shared" si="91"/>
        <v>20432807160</v>
      </c>
    </row>
    <row r="1975" spans="1:7">
      <c r="A1975" s="496">
        <f t="shared" si="92"/>
        <v>1974</v>
      </c>
      <c r="B1975" s="496" t="s">
        <v>2061</v>
      </c>
      <c r="C1975" s="495" t="s">
        <v>88</v>
      </c>
      <c r="D1975" s="497" t="s">
        <v>89</v>
      </c>
      <c r="E1975" s="496" t="str">
        <f t="shared" si="90"/>
        <v>11</v>
      </c>
      <c r="F1975" s="496">
        <v>25720</v>
      </c>
      <c r="G1975" s="496" t="str">
        <f t="shared" si="91"/>
        <v>20337564373</v>
      </c>
    </row>
    <row r="1976" spans="1:7">
      <c r="A1976" s="496">
        <f t="shared" si="92"/>
        <v>1975</v>
      </c>
      <c r="B1976" s="496" t="s">
        <v>2062</v>
      </c>
      <c r="C1976" s="495" t="s">
        <v>91</v>
      </c>
      <c r="D1976" s="497" t="s">
        <v>92</v>
      </c>
      <c r="E1976" s="496" t="str">
        <f t="shared" si="90"/>
        <v>12</v>
      </c>
      <c r="F1976" s="496">
        <v>25724</v>
      </c>
      <c r="G1976" s="496" t="str">
        <f t="shared" si="91"/>
        <v>20520694910</v>
      </c>
    </row>
    <row r="1977" spans="1:7">
      <c r="A1977" s="496">
        <f t="shared" si="92"/>
        <v>1976</v>
      </c>
      <c r="B1977" s="496" t="s">
        <v>2063</v>
      </c>
      <c r="C1977" s="495" t="s">
        <v>77</v>
      </c>
      <c r="D1977" s="497" t="s">
        <v>78</v>
      </c>
      <c r="E1977" s="496" t="str">
        <f t="shared" si="90"/>
        <v>07</v>
      </c>
      <c r="F1977" s="496">
        <v>25717</v>
      </c>
      <c r="G1977" s="496" t="str">
        <f t="shared" si="91"/>
        <v>20100132592</v>
      </c>
    </row>
    <row r="1978" spans="1:7">
      <c r="A1978" s="496">
        <f t="shared" si="92"/>
        <v>1977</v>
      </c>
      <c r="B1978" s="496" t="s">
        <v>2064</v>
      </c>
      <c r="C1978" s="495" t="s">
        <v>82</v>
      </c>
      <c r="D1978" s="497" t="s">
        <v>83</v>
      </c>
      <c r="E1978" s="496" t="str">
        <f t="shared" si="90"/>
        <v>08</v>
      </c>
      <c r="F1978" s="496">
        <v>25718</v>
      </c>
      <c r="G1978" s="496" t="str">
        <f t="shared" si="91"/>
        <v>20101395031</v>
      </c>
    </row>
    <row r="1979" spans="1:7">
      <c r="A1979" s="496">
        <f t="shared" si="92"/>
        <v>1978</v>
      </c>
      <c r="B1979" s="496" t="s">
        <v>2065</v>
      </c>
      <c r="C1979" s="495" t="s">
        <v>85</v>
      </c>
      <c r="D1979" s="497" t="s">
        <v>86</v>
      </c>
      <c r="E1979" s="496" t="str">
        <f t="shared" si="90"/>
        <v>09</v>
      </c>
      <c r="F1979" s="496">
        <v>25719</v>
      </c>
      <c r="G1979" s="496" t="str">
        <f t="shared" si="91"/>
        <v>20555286831</v>
      </c>
    </row>
    <row r="1980" spans="1:7">
      <c r="A1980" s="496">
        <f t="shared" si="92"/>
        <v>1979</v>
      </c>
      <c r="B1980" s="496" t="s">
        <v>2066</v>
      </c>
      <c r="C1980" s="495" t="s">
        <v>88</v>
      </c>
      <c r="D1980" s="497" t="s">
        <v>89</v>
      </c>
      <c r="E1980" s="496" t="str">
        <f t="shared" si="90"/>
        <v>11</v>
      </c>
      <c r="F1980" s="496">
        <v>25720</v>
      </c>
      <c r="G1980" s="496" t="str">
        <f t="shared" si="91"/>
        <v>20499432021</v>
      </c>
    </row>
    <row r="1981" spans="1:7">
      <c r="A1981" s="496">
        <f t="shared" si="92"/>
        <v>1980</v>
      </c>
      <c r="B1981" s="496" t="s">
        <v>2067</v>
      </c>
      <c r="C1981" s="495" t="s">
        <v>91</v>
      </c>
      <c r="D1981" s="497" t="s">
        <v>92</v>
      </c>
      <c r="E1981" s="496" t="str">
        <f t="shared" si="90"/>
        <v>12</v>
      </c>
      <c r="F1981" s="496">
        <v>25724</v>
      </c>
      <c r="G1981" s="496" t="str">
        <f t="shared" si="91"/>
        <v>20100003946</v>
      </c>
    </row>
    <row r="1982" spans="1:7">
      <c r="A1982" s="496">
        <f t="shared" si="92"/>
        <v>1981</v>
      </c>
      <c r="B1982" s="496" t="s">
        <v>2068</v>
      </c>
      <c r="C1982" s="495" t="s">
        <v>77</v>
      </c>
      <c r="D1982" s="497" t="s">
        <v>78</v>
      </c>
      <c r="E1982" s="496" t="str">
        <f t="shared" si="90"/>
        <v>07</v>
      </c>
      <c r="F1982" s="496">
        <v>25717</v>
      </c>
      <c r="G1982" s="496" t="str">
        <f t="shared" si="91"/>
        <v>20100137390</v>
      </c>
    </row>
    <row r="1983" spans="1:7">
      <c r="A1983" s="496">
        <f t="shared" si="92"/>
        <v>1982</v>
      </c>
      <c r="B1983" s="496" t="s">
        <v>2069</v>
      </c>
      <c r="C1983" s="495" t="s">
        <v>82</v>
      </c>
      <c r="D1983" s="497" t="s">
        <v>83</v>
      </c>
      <c r="E1983" s="496" t="str">
        <f t="shared" si="90"/>
        <v>08</v>
      </c>
      <c r="F1983" s="496">
        <v>25718</v>
      </c>
      <c r="G1983" s="496" t="str">
        <f t="shared" si="91"/>
        <v>20100113610</v>
      </c>
    </row>
    <row r="1984" spans="1:7">
      <c r="A1984" s="496">
        <f t="shared" si="92"/>
        <v>1983</v>
      </c>
      <c r="B1984" s="496" t="s">
        <v>2070</v>
      </c>
      <c r="C1984" s="495" t="s">
        <v>85</v>
      </c>
      <c r="D1984" s="497" t="s">
        <v>86</v>
      </c>
      <c r="E1984" s="496" t="str">
        <f t="shared" si="90"/>
        <v>09</v>
      </c>
      <c r="F1984" s="496">
        <v>25719</v>
      </c>
      <c r="G1984" s="496" t="str">
        <f t="shared" si="91"/>
        <v>20100102413</v>
      </c>
    </row>
    <row r="1985" spans="1:7">
      <c r="A1985" s="496">
        <f t="shared" si="92"/>
        <v>1984</v>
      </c>
      <c r="B1985" s="496" t="s">
        <v>2071</v>
      </c>
      <c r="C1985" s="495" t="s">
        <v>88</v>
      </c>
      <c r="D1985" s="497" t="s">
        <v>89</v>
      </c>
      <c r="E1985" s="496" t="str">
        <f t="shared" si="90"/>
        <v>11</v>
      </c>
      <c r="F1985" s="496">
        <v>25720</v>
      </c>
      <c r="G1985" s="496" t="str">
        <f t="shared" si="91"/>
        <v>20211614545</v>
      </c>
    </row>
    <row r="1986" spans="1:7">
      <c r="A1986" s="496">
        <f t="shared" si="92"/>
        <v>1985</v>
      </c>
      <c r="B1986" s="496" t="s">
        <v>2072</v>
      </c>
      <c r="C1986" s="495" t="s">
        <v>91</v>
      </c>
      <c r="D1986" s="497" t="s">
        <v>92</v>
      </c>
      <c r="E1986" s="496" t="str">
        <f t="shared" si="90"/>
        <v>12</v>
      </c>
      <c r="F1986" s="496">
        <v>25724</v>
      </c>
      <c r="G1986" s="496" t="str">
        <f t="shared" si="91"/>
        <v>20297868790</v>
      </c>
    </row>
    <row r="1987" spans="1:7">
      <c r="A1987" s="496">
        <f t="shared" si="92"/>
        <v>1986</v>
      </c>
      <c r="B1987" s="496" t="s">
        <v>2073</v>
      </c>
      <c r="C1987" s="495" t="s">
        <v>77</v>
      </c>
      <c r="D1987" s="497" t="s">
        <v>78</v>
      </c>
      <c r="E1987" s="496" t="str">
        <f t="shared" ref="E1987:E2039" si="93">IF(MID(D1987,14,1)="@",MID(D1987,12,2),"0"&amp;MID(D1987,12,1))</f>
        <v>07</v>
      </c>
      <c r="F1987" s="496">
        <v>25717</v>
      </c>
      <c r="G1987" s="496" t="str">
        <f t="shared" ref="G1987:G2039" si="94">CONCATENATE(B1987)</f>
        <v>20492055973</v>
      </c>
    </row>
    <row r="1988" spans="1:7">
      <c r="A1988" s="496">
        <f t="shared" ref="A1988:A2039" si="95">+A1987+1</f>
        <v>1987</v>
      </c>
      <c r="B1988" s="496" t="s">
        <v>2074</v>
      </c>
      <c r="C1988" s="495" t="s">
        <v>82</v>
      </c>
      <c r="D1988" s="497" t="s">
        <v>83</v>
      </c>
      <c r="E1988" s="496" t="str">
        <f t="shared" si="93"/>
        <v>08</v>
      </c>
      <c r="F1988" s="496">
        <v>25718</v>
      </c>
      <c r="G1988" s="496" t="str">
        <f t="shared" si="94"/>
        <v>20493840925</v>
      </c>
    </row>
    <row r="1989" spans="1:7">
      <c r="A1989" s="496">
        <f t="shared" si="95"/>
        <v>1988</v>
      </c>
      <c r="B1989" s="496" t="s">
        <v>2075</v>
      </c>
      <c r="C1989" s="495" t="s">
        <v>85</v>
      </c>
      <c r="D1989" s="497" t="s">
        <v>86</v>
      </c>
      <c r="E1989" s="496" t="str">
        <f t="shared" si="93"/>
        <v>09</v>
      </c>
      <c r="F1989" s="496">
        <v>25719</v>
      </c>
      <c r="G1989" s="496" t="str">
        <f t="shared" si="94"/>
        <v>20377575351</v>
      </c>
    </row>
    <row r="1990" spans="1:7">
      <c r="A1990" s="496">
        <f t="shared" si="95"/>
        <v>1989</v>
      </c>
      <c r="B1990" s="496" t="s">
        <v>2076</v>
      </c>
      <c r="C1990" s="495" t="s">
        <v>88</v>
      </c>
      <c r="D1990" s="497" t="s">
        <v>89</v>
      </c>
      <c r="E1990" s="496" t="str">
        <f t="shared" si="93"/>
        <v>11</v>
      </c>
      <c r="F1990" s="496">
        <v>25720</v>
      </c>
      <c r="G1990" s="496" t="str">
        <f t="shared" si="94"/>
        <v>20399253030</v>
      </c>
    </row>
    <row r="1991" spans="1:7">
      <c r="A1991" s="496">
        <f t="shared" si="95"/>
        <v>1990</v>
      </c>
      <c r="B1991" s="496" t="s">
        <v>2077</v>
      </c>
      <c r="C1991" s="495" t="s">
        <v>91</v>
      </c>
      <c r="D1991" s="497" t="s">
        <v>92</v>
      </c>
      <c r="E1991" s="496" t="str">
        <f t="shared" si="93"/>
        <v>12</v>
      </c>
      <c r="F1991" s="496">
        <v>25724</v>
      </c>
      <c r="G1991" s="496" t="str">
        <f t="shared" si="94"/>
        <v>20100119065</v>
      </c>
    </row>
    <row r="1992" spans="1:7">
      <c r="A1992" s="496">
        <f t="shared" si="95"/>
        <v>1991</v>
      </c>
      <c r="B1992" s="496" t="s">
        <v>2078</v>
      </c>
      <c r="C1992" s="495" t="s">
        <v>77</v>
      </c>
      <c r="D1992" s="497" t="s">
        <v>78</v>
      </c>
      <c r="E1992" s="496" t="str">
        <f t="shared" si="93"/>
        <v>07</v>
      </c>
      <c r="F1992" s="496">
        <v>25717</v>
      </c>
      <c r="G1992" s="496" t="str">
        <f t="shared" si="94"/>
        <v>20100692628</v>
      </c>
    </row>
    <row r="1993" spans="1:7">
      <c r="A1993" s="496">
        <f t="shared" si="95"/>
        <v>1992</v>
      </c>
      <c r="B1993" s="496" t="s">
        <v>2079</v>
      </c>
      <c r="C1993" s="495" t="s">
        <v>82</v>
      </c>
      <c r="D1993" s="497" t="s">
        <v>83</v>
      </c>
      <c r="E1993" s="496" t="str">
        <f t="shared" si="93"/>
        <v>08</v>
      </c>
      <c r="F1993" s="496">
        <v>25718</v>
      </c>
      <c r="G1993" s="496" t="str">
        <f t="shared" si="94"/>
        <v>20100181534</v>
      </c>
    </row>
    <row r="1994" spans="1:7">
      <c r="A1994" s="496">
        <f t="shared" si="95"/>
        <v>1993</v>
      </c>
      <c r="B1994" s="496" t="s">
        <v>2080</v>
      </c>
      <c r="C1994" s="495" t="s">
        <v>85</v>
      </c>
      <c r="D1994" s="497" t="s">
        <v>86</v>
      </c>
      <c r="E1994" s="496" t="str">
        <f t="shared" si="93"/>
        <v>09</v>
      </c>
      <c r="F1994" s="496">
        <v>25719</v>
      </c>
      <c r="G1994" s="496" t="str">
        <f t="shared" si="94"/>
        <v>20100015014</v>
      </c>
    </row>
    <row r="1995" spans="1:7">
      <c r="A1995" s="496">
        <f t="shared" si="95"/>
        <v>1994</v>
      </c>
      <c r="B1995" s="496" t="s">
        <v>2081</v>
      </c>
      <c r="C1995" s="495" t="s">
        <v>88</v>
      </c>
      <c r="D1995" s="497" t="s">
        <v>89</v>
      </c>
      <c r="E1995" s="496" t="str">
        <f t="shared" si="93"/>
        <v>11</v>
      </c>
      <c r="F1995" s="496">
        <v>25720</v>
      </c>
      <c r="G1995" s="496" t="str">
        <f t="shared" si="94"/>
        <v>20511129975</v>
      </c>
    </row>
    <row r="1996" spans="1:7">
      <c r="A1996" s="496">
        <f t="shared" si="95"/>
        <v>1995</v>
      </c>
      <c r="B1996" s="496" t="s">
        <v>2082</v>
      </c>
      <c r="C1996" s="495" t="s">
        <v>91</v>
      </c>
      <c r="D1996" s="497" t="s">
        <v>92</v>
      </c>
      <c r="E1996" s="496" t="str">
        <f t="shared" si="93"/>
        <v>12</v>
      </c>
      <c r="F1996" s="496">
        <v>25724</v>
      </c>
      <c r="G1996" s="496" t="str">
        <f t="shared" si="94"/>
        <v>20511125040</v>
      </c>
    </row>
    <row r="1997" spans="1:7">
      <c r="A1997" s="496">
        <f t="shared" si="95"/>
        <v>1996</v>
      </c>
      <c r="B1997" s="496" t="s">
        <v>2083</v>
      </c>
      <c r="C1997" s="495" t="s">
        <v>77</v>
      </c>
      <c r="D1997" s="497" t="s">
        <v>78</v>
      </c>
      <c r="E1997" s="496" t="str">
        <f t="shared" si="93"/>
        <v>07</v>
      </c>
      <c r="F1997" s="496">
        <v>25717</v>
      </c>
      <c r="G1997" s="496" t="str">
        <f t="shared" si="94"/>
        <v>20518410858</v>
      </c>
    </row>
    <row r="1998" spans="1:7">
      <c r="A1998" s="496">
        <f t="shared" si="95"/>
        <v>1997</v>
      </c>
      <c r="B1998" s="496" t="s">
        <v>2084</v>
      </c>
      <c r="C1998" s="495" t="s">
        <v>82</v>
      </c>
      <c r="D1998" s="497" t="s">
        <v>83</v>
      </c>
      <c r="E1998" s="496" t="str">
        <f t="shared" si="93"/>
        <v>08</v>
      </c>
      <c r="F1998" s="496">
        <v>25718</v>
      </c>
      <c r="G1998" s="496" t="str">
        <f t="shared" si="94"/>
        <v>20390625007</v>
      </c>
    </row>
    <row r="1999" spans="1:7">
      <c r="A1999" s="496">
        <f t="shared" si="95"/>
        <v>1998</v>
      </c>
      <c r="B1999" s="496" t="s">
        <v>2085</v>
      </c>
      <c r="C1999" s="495" t="s">
        <v>85</v>
      </c>
      <c r="D1999" s="497" t="s">
        <v>86</v>
      </c>
      <c r="E1999" s="496" t="str">
        <f t="shared" si="93"/>
        <v>09</v>
      </c>
      <c r="F1999" s="496">
        <v>25719</v>
      </c>
      <c r="G1999" s="496" t="str">
        <f t="shared" si="94"/>
        <v>20513469471</v>
      </c>
    </row>
    <row r="2000" spans="1:7">
      <c r="A2000" s="496">
        <f t="shared" si="95"/>
        <v>1999</v>
      </c>
      <c r="B2000" s="496" t="s">
        <v>2086</v>
      </c>
      <c r="C2000" s="495" t="s">
        <v>88</v>
      </c>
      <c r="D2000" s="497" t="s">
        <v>89</v>
      </c>
      <c r="E2000" s="496" t="str">
        <f t="shared" si="93"/>
        <v>11</v>
      </c>
      <c r="F2000" s="496">
        <v>25720</v>
      </c>
      <c r="G2000" s="496" t="str">
        <f t="shared" si="94"/>
        <v>20510210451</v>
      </c>
    </row>
    <row r="2001" spans="1:7">
      <c r="A2001" s="496">
        <f t="shared" si="95"/>
        <v>2000</v>
      </c>
      <c r="B2001" s="496" t="s">
        <v>2087</v>
      </c>
      <c r="C2001" s="495" t="s">
        <v>91</v>
      </c>
      <c r="D2001" s="497" t="s">
        <v>92</v>
      </c>
      <c r="E2001" s="496" t="str">
        <f t="shared" si="93"/>
        <v>12</v>
      </c>
      <c r="F2001" s="496">
        <v>25724</v>
      </c>
      <c r="G2001" s="496" t="str">
        <f t="shared" si="94"/>
        <v>20516373301</v>
      </c>
    </row>
    <row r="2002" spans="1:7">
      <c r="A2002" s="496">
        <f t="shared" si="95"/>
        <v>2001</v>
      </c>
      <c r="B2002" s="496" t="s">
        <v>2088</v>
      </c>
      <c r="C2002" s="495" t="s">
        <v>77</v>
      </c>
      <c r="D2002" s="497" t="s">
        <v>78</v>
      </c>
      <c r="E2002" s="496" t="str">
        <f t="shared" si="93"/>
        <v>07</v>
      </c>
      <c r="F2002" s="496">
        <v>25717</v>
      </c>
      <c r="G2002" s="496" t="str">
        <f t="shared" si="94"/>
        <v>20110886862</v>
      </c>
    </row>
    <row r="2003" spans="1:7">
      <c r="A2003" s="496">
        <f t="shared" si="95"/>
        <v>2002</v>
      </c>
      <c r="B2003" s="496" t="s">
        <v>2089</v>
      </c>
      <c r="C2003" s="495" t="s">
        <v>82</v>
      </c>
      <c r="D2003" s="497" t="s">
        <v>83</v>
      </c>
      <c r="E2003" s="496" t="str">
        <f t="shared" si="93"/>
        <v>08</v>
      </c>
      <c r="F2003" s="496">
        <v>25718</v>
      </c>
      <c r="G2003" s="496" t="str">
        <f t="shared" si="94"/>
        <v>20100228352</v>
      </c>
    </row>
    <row r="2004" spans="1:7">
      <c r="A2004" s="496">
        <f t="shared" si="95"/>
        <v>2003</v>
      </c>
      <c r="B2004" s="496" t="s">
        <v>2090</v>
      </c>
      <c r="C2004" s="495" t="s">
        <v>85</v>
      </c>
      <c r="D2004" s="497" t="s">
        <v>86</v>
      </c>
      <c r="E2004" s="496" t="str">
        <f t="shared" si="93"/>
        <v>09</v>
      </c>
      <c r="F2004" s="496">
        <v>25719</v>
      </c>
      <c r="G2004" s="496" t="str">
        <f t="shared" si="94"/>
        <v>20100355206</v>
      </c>
    </row>
    <row r="2005" spans="1:7">
      <c r="A2005" s="496">
        <f t="shared" si="95"/>
        <v>2004</v>
      </c>
      <c r="B2005" s="496" t="s">
        <v>2091</v>
      </c>
      <c r="C2005" s="495" t="s">
        <v>88</v>
      </c>
      <c r="D2005" s="497" t="s">
        <v>89</v>
      </c>
      <c r="E2005" s="496" t="str">
        <f t="shared" si="93"/>
        <v>11</v>
      </c>
      <c r="F2005" s="496">
        <v>25720</v>
      </c>
      <c r="G2005" s="496" t="str">
        <f t="shared" si="94"/>
        <v>20104347691</v>
      </c>
    </row>
    <row r="2006" spans="1:7">
      <c r="A2006" s="496">
        <f t="shared" si="95"/>
        <v>2005</v>
      </c>
      <c r="B2006" s="496" t="s">
        <v>2092</v>
      </c>
      <c r="C2006" s="495" t="s">
        <v>91</v>
      </c>
      <c r="D2006" s="497" t="s">
        <v>92</v>
      </c>
      <c r="E2006" s="496" t="str">
        <f t="shared" si="93"/>
        <v>12</v>
      </c>
      <c r="F2006" s="496">
        <v>25724</v>
      </c>
      <c r="G2006" s="496" t="str">
        <f t="shared" si="94"/>
        <v>20119982911</v>
      </c>
    </row>
    <row r="2007" spans="1:7">
      <c r="A2007" s="496">
        <f t="shared" si="95"/>
        <v>2006</v>
      </c>
      <c r="B2007" s="496" t="s">
        <v>2093</v>
      </c>
      <c r="C2007" s="495" t="s">
        <v>77</v>
      </c>
      <c r="D2007" s="497" t="s">
        <v>78</v>
      </c>
      <c r="E2007" s="496" t="str">
        <f t="shared" si="93"/>
        <v>07</v>
      </c>
      <c r="F2007" s="496">
        <v>25717</v>
      </c>
      <c r="G2007" s="496" t="str">
        <f t="shared" si="94"/>
        <v>20153275450</v>
      </c>
    </row>
    <row r="2008" spans="1:7">
      <c r="A2008" s="496">
        <f t="shared" si="95"/>
        <v>2007</v>
      </c>
      <c r="B2008" s="496" t="s">
        <v>2094</v>
      </c>
      <c r="C2008" s="495" t="s">
        <v>82</v>
      </c>
      <c r="D2008" s="497" t="s">
        <v>83</v>
      </c>
      <c r="E2008" s="496" t="str">
        <f t="shared" si="93"/>
        <v>08</v>
      </c>
      <c r="F2008" s="496">
        <v>25718</v>
      </c>
      <c r="G2008" s="496" t="str">
        <f t="shared" si="94"/>
        <v>20197226944</v>
      </c>
    </row>
    <row r="2009" spans="1:7">
      <c r="A2009" s="496">
        <f t="shared" si="95"/>
        <v>2008</v>
      </c>
      <c r="B2009" s="496" t="s">
        <v>2095</v>
      </c>
      <c r="C2009" s="495" t="s">
        <v>85</v>
      </c>
      <c r="D2009" s="497" t="s">
        <v>86</v>
      </c>
      <c r="E2009" s="496" t="str">
        <f t="shared" si="93"/>
        <v>09</v>
      </c>
      <c r="F2009" s="496">
        <v>25719</v>
      </c>
      <c r="G2009" s="496" t="str">
        <f t="shared" si="94"/>
        <v>20205605500</v>
      </c>
    </row>
    <row r="2010" spans="1:7">
      <c r="A2010" s="496">
        <f t="shared" si="95"/>
        <v>2009</v>
      </c>
      <c r="B2010" s="496" t="s">
        <v>2096</v>
      </c>
      <c r="C2010" s="495" t="s">
        <v>88</v>
      </c>
      <c r="D2010" s="497" t="s">
        <v>89</v>
      </c>
      <c r="E2010" s="496" t="str">
        <f t="shared" si="93"/>
        <v>11</v>
      </c>
      <c r="F2010" s="496">
        <v>25720</v>
      </c>
      <c r="G2010" s="496" t="str">
        <f t="shared" si="94"/>
        <v>20262207774</v>
      </c>
    </row>
    <row r="2011" spans="1:7">
      <c r="A2011" s="496">
        <f t="shared" si="95"/>
        <v>2010</v>
      </c>
      <c r="B2011" s="496" t="s">
        <v>2097</v>
      </c>
      <c r="C2011" s="495" t="s">
        <v>91</v>
      </c>
      <c r="D2011" s="497" t="s">
        <v>92</v>
      </c>
      <c r="E2011" s="496" t="str">
        <f t="shared" si="93"/>
        <v>12</v>
      </c>
      <c r="F2011" s="496">
        <v>25724</v>
      </c>
      <c r="G2011" s="496" t="str">
        <f t="shared" si="94"/>
        <v>20329560687</v>
      </c>
    </row>
    <row r="2012" spans="1:7">
      <c r="A2012" s="496">
        <f t="shared" si="95"/>
        <v>2011</v>
      </c>
      <c r="B2012" s="496" t="s">
        <v>2098</v>
      </c>
      <c r="C2012" s="495" t="s">
        <v>77</v>
      </c>
      <c r="D2012" s="497" t="s">
        <v>78</v>
      </c>
      <c r="E2012" s="496" t="str">
        <f t="shared" si="93"/>
        <v>07</v>
      </c>
      <c r="F2012" s="496">
        <v>25717</v>
      </c>
      <c r="G2012" s="496" t="str">
        <f t="shared" si="94"/>
        <v>20337996834</v>
      </c>
    </row>
    <row r="2013" spans="1:7">
      <c r="A2013" s="496">
        <f t="shared" si="95"/>
        <v>2012</v>
      </c>
      <c r="B2013" s="496" t="s">
        <v>2099</v>
      </c>
      <c r="C2013" s="495" t="s">
        <v>82</v>
      </c>
      <c r="D2013" s="497" t="s">
        <v>83</v>
      </c>
      <c r="E2013" s="496" t="str">
        <f t="shared" si="93"/>
        <v>08</v>
      </c>
      <c r="F2013" s="496">
        <v>25718</v>
      </c>
      <c r="G2013" s="496" t="str">
        <f t="shared" si="94"/>
        <v>20345337769</v>
      </c>
    </row>
    <row r="2014" spans="1:7">
      <c r="A2014" s="496">
        <f t="shared" si="95"/>
        <v>2013</v>
      </c>
      <c r="B2014" s="496" t="s">
        <v>2100</v>
      </c>
      <c r="C2014" s="495" t="s">
        <v>85</v>
      </c>
      <c r="D2014" s="497" t="s">
        <v>86</v>
      </c>
      <c r="E2014" s="496" t="str">
        <f t="shared" si="93"/>
        <v>09</v>
      </c>
      <c r="F2014" s="496">
        <v>25719</v>
      </c>
      <c r="G2014" s="496" t="str">
        <f t="shared" si="94"/>
        <v>20348817401</v>
      </c>
    </row>
    <row r="2015" spans="1:7">
      <c r="A2015" s="496">
        <f t="shared" si="95"/>
        <v>2014</v>
      </c>
      <c r="B2015" s="496" t="s">
        <v>2101</v>
      </c>
      <c r="C2015" s="495" t="s">
        <v>88</v>
      </c>
      <c r="D2015" s="497" t="s">
        <v>89</v>
      </c>
      <c r="E2015" s="496" t="str">
        <f t="shared" si="93"/>
        <v>11</v>
      </c>
      <c r="F2015" s="496">
        <v>25720</v>
      </c>
      <c r="G2015" s="496" t="str">
        <f t="shared" si="94"/>
        <v>20379859888</v>
      </c>
    </row>
    <row r="2016" spans="1:7">
      <c r="A2016" s="496">
        <f t="shared" si="95"/>
        <v>2015</v>
      </c>
      <c r="B2016" s="496" t="s">
        <v>2102</v>
      </c>
      <c r="C2016" s="495" t="s">
        <v>91</v>
      </c>
      <c r="D2016" s="497" t="s">
        <v>92</v>
      </c>
      <c r="E2016" s="496" t="str">
        <f t="shared" si="93"/>
        <v>12</v>
      </c>
      <c r="F2016" s="496">
        <v>25724</v>
      </c>
      <c r="G2016" s="496" t="str">
        <f t="shared" si="94"/>
        <v>20382072023</v>
      </c>
    </row>
    <row r="2017" spans="1:7">
      <c r="A2017" s="496">
        <f t="shared" si="95"/>
        <v>2016</v>
      </c>
      <c r="B2017" s="496" t="s">
        <v>2103</v>
      </c>
      <c r="C2017" s="495" t="s">
        <v>77</v>
      </c>
      <c r="D2017" s="497" t="s">
        <v>78</v>
      </c>
      <c r="E2017" s="496" t="str">
        <f t="shared" si="93"/>
        <v>07</v>
      </c>
      <c r="F2017" s="496">
        <v>25717</v>
      </c>
      <c r="G2017" s="496" t="str">
        <f t="shared" si="94"/>
        <v>20419455912</v>
      </c>
    </row>
    <row r="2018" spans="1:7">
      <c r="A2018" s="496">
        <f t="shared" si="95"/>
        <v>2017</v>
      </c>
      <c r="B2018" s="496" t="s">
        <v>2104</v>
      </c>
      <c r="C2018" s="495" t="s">
        <v>82</v>
      </c>
      <c r="D2018" s="497" t="s">
        <v>83</v>
      </c>
      <c r="E2018" s="496" t="str">
        <f t="shared" si="93"/>
        <v>08</v>
      </c>
      <c r="F2018" s="496">
        <v>25718</v>
      </c>
      <c r="G2018" s="496" t="str">
        <f t="shared" si="94"/>
        <v>20432347142</v>
      </c>
    </row>
    <row r="2019" spans="1:7">
      <c r="A2019" s="496">
        <f t="shared" si="95"/>
        <v>2018</v>
      </c>
      <c r="B2019" s="496" t="s">
        <v>2105</v>
      </c>
      <c r="C2019" s="495" t="s">
        <v>85</v>
      </c>
      <c r="D2019" s="497" t="s">
        <v>86</v>
      </c>
      <c r="E2019" s="496" t="str">
        <f t="shared" si="93"/>
        <v>09</v>
      </c>
      <c r="F2019" s="496">
        <v>25719</v>
      </c>
      <c r="G2019" s="496" t="str">
        <f t="shared" si="94"/>
        <v>20432348114</v>
      </c>
    </row>
    <row r="2020" spans="1:7">
      <c r="A2020" s="496">
        <f t="shared" si="95"/>
        <v>2019</v>
      </c>
      <c r="B2020" s="496" t="s">
        <v>2106</v>
      </c>
      <c r="C2020" s="495" t="s">
        <v>88</v>
      </c>
      <c r="D2020" s="497" t="s">
        <v>89</v>
      </c>
      <c r="E2020" s="496" t="str">
        <f t="shared" si="93"/>
        <v>11</v>
      </c>
      <c r="F2020" s="496">
        <v>25720</v>
      </c>
      <c r="G2020" s="496" t="str">
        <f t="shared" si="94"/>
        <v>20433819544</v>
      </c>
    </row>
    <row r="2021" spans="1:7">
      <c r="A2021" s="496">
        <f t="shared" si="95"/>
        <v>2020</v>
      </c>
      <c r="B2021" s="496" t="s">
        <v>2107</v>
      </c>
      <c r="C2021" s="495" t="s">
        <v>91</v>
      </c>
      <c r="D2021" s="497" t="s">
        <v>92</v>
      </c>
      <c r="E2021" s="496" t="str">
        <f t="shared" si="93"/>
        <v>12</v>
      </c>
      <c r="F2021" s="496">
        <v>25724</v>
      </c>
      <c r="G2021" s="496" t="str">
        <f t="shared" si="94"/>
        <v>20433841558</v>
      </c>
    </row>
    <row r="2022" spans="1:7">
      <c r="A2022" s="496">
        <f t="shared" si="95"/>
        <v>2021</v>
      </c>
      <c r="B2022" s="496" t="s">
        <v>2108</v>
      </c>
      <c r="C2022" s="495" t="s">
        <v>77</v>
      </c>
      <c r="D2022" s="497" t="s">
        <v>78</v>
      </c>
      <c r="E2022" s="496" t="str">
        <f t="shared" si="93"/>
        <v>07</v>
      </c>
      <c r="F2022" s="496">
        <v>25717</v>
      </c>
      <c r="G2022" s="496" t="str">
        <f t="shared" si="94"/>
        <v>20504843867</v>
      </c>
    </row>
    <row r="2023" spans="1:7">
      <c r="A2023" s="496">
        <f t="shared" si="95"/>
        <v>2022</v>
      </c>
      <c r="B2023" s="496" t="s">
        <v>2109</v>
      </c>
      <c r="C2023" s="495" t="s">
        <v>82</v>
      </c>
      <c r="D2023" s="497" t="s">
        <v>83</v>
      </c>
      <c r="E2023" s="496" t="str">
        <f t="shared" si="93"/>
        <v>08</v>
      </c>
      <c r="F2023" s="496">
        <v>25718</v>
      </c>
      <c r="G2023" s="496" t="str">
        <f t="shared" si="94"/>
        <v>20505153970</v>
      </c>
    </row>
    <row r="2024" spans="1:7">
      <c r="A2024" s="496">
        <f t="shared" si="95"/>
        <v>2023</v>
      </c>
      <c r="B2024" s="496" t="s">
        <v>2110</v>
      </c>
      <c r="C2024" s="495" t="s">
        <v>85</v>
      </c>
      <c r="D2024" s="497" t="s">
        <v>86</v>
      </c>
      <c r="E2024" s="496" t="str">
        <f t="shared" si="93"/>
        <v>09</v>
      </c>
      <c r="F2024" s="496">
        <v>25719</v>
      </c>
      <c r="G2024" s="496" t="str">
        <f t="shared" si="94"/>
        <v>20507941304</v>
      </c>
    </row>
    <row r="2025" spans="1:7">
      <c r="A2025" s="496">
        <f t="shared" si="95"/>
        <v>2024</v>
      </c>
      <c r="B2025" s="496" t="s">
        <v>2111</v>
      </c>
      <c r="C2025" s="495" t="s">
        <v>88</v>
      </c>
      <c r="D2025" s="497" t="s">
        <v>89</v>
      </c>
      <c r="E2025" s="496" t="str">
        <f t="shared" si="93"/>
        <v>11</v>
      </c>
      <c r="F2025" s="496">
        <v>25720</v>
      </c>
      <c r="G2025" s="496" t="str">
        <f t="shared" si="94"/>
        <v>20507977082</v>
      </c>
    </row>
    <row r="2026" spans="1:7">
      <c r="A2026" s="496">
        <f t="shared" si="95"/>
        <v>2025</v>
      </c>
      <c r="B2026" s="496" t="s">
        <v>2112</v>
      </c>
      <c r="C2026" s="495" t="s">
        <v>91</v>
      </c>
      <c r="D2026" s="497" t="s">
        <v>92</v>
      </c>
      <c r="E2026" s="496" t="str">
        <f t="shared" si="93"/>
        <v>12</v>
      </c>
      <c r="F2026" s="496">
        <v>25724</v>
      </c>
      <c r="G2026" s="496" t="str">
        <f t="shared" si="94"/>
        <v>20508499702</v>
      </c>
    </row>
    <row r="2027" spans="1:7">
      <c r="A2027" s="496">
        <f t="shared" si="95"/>
        <v>2026</v>
      </c>
      <c r="B2027" s="496" t="s">
        <v>2113</v>
      </c>
      <c r="C2027" s="495" t="s">
        <v>77</v>
      </c>
      <c r="D2027" s="497" t="s">
        <v>78</v>
      </c>
      <c r="E2027" s="496" t="str">
        <f t="shared" si="93"/>
        <v>07</v>
      </c>
      <c r="F2027" s="496">
        <v>25717</v>
      </c>
      <c r="G2027" s="496" t="str">
        <f t="shared" si="94"/>
        <v>20509709573</v>
      </c>
    </row>
    <row r="2028" spans="1:7">
      <c r="A2028" s="496">
        <f t="shared" si="95"/>
        <v>2027</v>
      </c>
      <c r="B2028" s="496" t="s">
        <v>2114</v>
      </c>
      <c r="C2028" s="495" t="s">
        <v>82</v>
      </c>
      <c r="D2028" s="497" t="s">
        <v>83</v>
      </c>
      <c r="E2028" s="496" t="str">
        <f t="shared" si="93"/>
        <v>08</v>
      </c>
      <c r="F2028" s="496">
        <v>25718</v>
      </c>
      <c r="G2028" s="496" t="str">
        <f t="shared" si="94"/>
        <v>20510017375</v>
      </c>
    </row>
    <row r="2029" spans="1:7">
      <c r="A2029" s="496">
        <f t="shared" si="95"/>
        <v>2028</v>
      </c>
      <c r="B2029" s="496" t="s">
        <v>2115</v>
      </c>
      <c r="C2029" s="495" t="s">
        <v>85</v>
      </c>
      <c r="D2029" s="497" t="s">
        <v>86</v>
      </c>
      <c r="E2029" s="496" t="str">
        <f t="shared" si="93"/>
        <v>09</v>
      </c>
      <c r="F2029" s="496">
        <v>25719</v>
      </c>
      <c r="G2029" s="496" t="str">
        <f t="shared" si="94"/>
        <v>20510017456</v>
      </c>
    </row>
    <row r="2030" spans="1:7">
      <c r="A2030" s="496">
        <f t="shared" si="95"/>
        <v>2029</v>
      </c>
      <c r="B2030" s="496" t="s">
        <v>2116</v>
      </c>
      <c r="C2030" s="495" t="s">
        <v>88</v>
      </c>
      <c r="D2030" s="497" t="s">
        <v>89</v>
      </c>
      <c r="E2030" s="496" t="str">
        <f t="shared" si="93"/>
        <v>11</v>
      </c>
      <c r="F2030" s="496">
        <v>25720</v>
      </c>
      <c r="G2030" s="496" t="str">
        <f t="shared" si="94"/>
        <v>20510169558</v>
      </c>
    </row>
    <row r="2031" spans="1:7">
      <c r="A2031" s="496">
        <f t="shared" si="95"/>
        <v>2030</v>
      </c>
      <c r="B2031" s="496" t="s">
        <v>2117</v>
      </c>
      <c r="C2031" s="495" t="s">
        <v>91</v>
      </c>
      <c r="D2031" s="497" t="s">
        <v>92</v>
      </c>
      <c r="E2031" s="496" t="str">
        <f t="shared" si="93"/>
        <v>12</v>
      </c>
      <c r="F2031" s="496">
        <v>25724</v>
      </c>
      <c r="G2031" s="496" t="str">
        <f t="shared" si="94"/>
        <v>20513155965</v>
      </c>
    </row>
    <row r="2032" spans="1:7">
      <c r="A2032" s="496">
        <f t="shared" si="95"/>
        <v>2031</v>
      </c>
      <c r="B2032" s="496" t="s">
        <v>2118</v>
      </c>
      <c r="C2032" s="495" t="s">
        <v>77</v>
      </c>
      <c r="D2032" s="497" t="s">
        <v>78</v>
      </c>
      <c r="E2032" s="496" t="str">
        <f t="shared" si="93"/>
        <v>07</v>
      </c>
      <c r="F2032" s="496">
        <v>25717</v>
      </c>
      <c r="G2032" s="496" t="str">
        <f t="shared" si="94"/>
        <v>20536924869</v>
      </c>
    </row>
    <row r="2033" spans="1:7">
      <c r="A2033" s="496">
        <f t="shared" si="95"/>
        <v>2032</v>
      </c>
      <c r="B2033" s="496" t="s">
        <v>2119</v>
      </c>
      <c r="C2033" s="495" t="s">
        <v>82</v>
      </c>
      <c r="D2033" s="497" t="s">
        <v>83</v>
      </c>
      <c r="E2033" s="496" t="str">
        <f t="shared" si="93"/>
        <v>08</v>
      </c>
      <c r="F2033" s="496">
        <v>25718</v>
      </c>
      <c r="G2033" s="496" t="str">
        <f t="shared" si="94"/>
        <v>20380122317</v>
      </c>
    </row>
    <row r="2034" spans="1:7">
      <c r="A2034" s="496">
        <f t="shared" si="95"/>
        <v>2033</v>
      </c>
      <c r="B2034" s="496" t="s">
        <v>2120</v>
      </c>
      <c r="C2034" s="495" t="s">
        <v>85</v>
      </c>
      <c r="D2034" s="497" t="s">
        <v>86</v>
      </c>
      <c r="E2034" s="496" t="str">
        <f t="shared" si="93"/>
        <v>09</v>
      </c>
      <c r="F2034" s="496">
        <v>25719</v>
      </c>
      <c r="G2034" s="496" t="str">
        <f t="shared" si="94"/>
        <v>20509016454</v>
      </c>
    </row>
    <row r="2035" spans="1:7">
      <c r="A2035" s="496">
        <f t="shared" si="95"/>
        <v>2034</v>
      </c>
      <c r="B2035" s="496" t="s">
        <v>2121</v>
      </c>
      <c r="C2035" s="495" t="s">
        <v>88</v>
      </c>
      <c r="D2035" s="497" t="s">
        <v>89</v>
      </c>
      <c r="E2035" s="496" t="str">
        <f t="shared" si="93"/>
        <v>11</v>
      </c>
      <c r="F2035" s="496">
        <v>25720</v>
      </c>
      <c r="G2035" s="496" t="str">
        <f t="shared" si="94"/>
        <v>20392895800</v>
      </c>
    </row>
    <row r="2036" spans="1:7">
      <c r="A2036" s="496">
        <f t="shared" si="95"/>
        <v>2035</v>
      </c>
      <c r="B2036" s="496" t="s">
        <v>2122</v>
      </c>
      <c r="C2036" s="495" t="s">
        <v>91</v>
      </c>
      <c r="D2036" s="497" t="s">
        <v>92</v>
      </c>
      <c r="E2036" s="496" t="str">
        <f t="shared" si="93"/>
        <v>12</v>
      </c>
      <c r="F2036" s="496">
        <v>25724</v>
      </c>
      <c r="G2036" s="496" t="str">
        <f t="shared" si="94"/>
        <v>20100042330</v>
      </c>
    </row>
    <row r="2037" spans="1:7">
      <c r="A2037" s="496">
        <f t="shared" si="95"/>
        <v>2036</v>
      </c>
      <c r="B2037" s="496" t="s">
        <v>2123</v>
      </c>
      <c r="C2037" s="495" t="s">
        <v>77</v>
      </c>
      <c r="D2037" s="497" t="s">
        <v>78</v>
      </c>
      <c r="E2037" s="496" t="str">
        <f t="shared" si="93"/>
        <v>07</v>
      </c>
      <c r="F2037" s="496">
        <v>25717</v>
      </c>
      <c r="G2037" s="496" t="str">
        <f t="shared" si="94"/>
        <v>20139425287</v>
      </c>
    </row>
    <row r="2038" spans="1:7">
      <c r="A2038" s="496">
        <f t="shared" si="95"/>
        <v>2037</v>
      </c>
      <c r="B2038" s="496" t="s">
        <v>2124</v>
      </c>
      <c r="C2038" s="495" t="s">
        <v>82</v>
      </c>
      <c r="D2038" s="497" t="s">
        <v>83</v>
      </c>
      <c r="E2038" s="496" t="str">
        <f t="shared" si="93"/>
        <v>08</v>
      </c>
      <c r="F2038" s="496">
        <v>25718</v>
      </c>
      <c r="G2038" s="496" t="str">
        <f t="shared" si="94"/>
        <v>20510452624</v>
      </c>
    </row>
    <row r="2039" spans="1:7">
      <c r="A2039" s="496">
        <f t="shared" si="95"/>
        <v>2038</v>
      </c>
      <c r="B2039" s="496" t="s">
        <v>2125</v>
      </c>
      <c r="C2039" s="495" t="s">
        <v>85</v>
      </c>
      <c r="D2039" s="497" t="s">
        <v>86</v>
      </c>
      <c r="E2039" s="496" t="str">
        <f t="shared" si="93"/>
        <v>09</v>
      </c>
      <c r="F2039" s="496">
        <v>25719</v>
      </c>
      <c r="G2039" s="496" t="str">
        <f t="shared" si="94"/>
        <v>20300119884</v>
      </c>
    </row>
    <row r="2040" spans="1:7" ht="15">
      <c r="A2040" s="499" t="s">
        <v>2126</v>
      </c>
      <c r="B2040" s="500" t="s">
        <v>2126</v>
      </c>
      <c r="C2040" s="499" t="s">
        <v>2126</v>
      </c>
      <c r="D2040" s="499" t="s">
        <v>2126</v>
      </c>
      <c r="E2040" s="499" t="s">
        <v>2126</v>
      </c>
      <c r="F2040" s="501" t="s">
        <v>2126</v>
      </c>
      <c r="G2040" s="501" t="s">
        <v>2126</v>
      </c>
    </row>
  </sheetData>
  <autoFilter ref="A1:G2040" xr:uid="{00000000-0009-0000-0000-000004000000}"/>
  <printOptions horizontalCentered="1" verticalCentered="1" gridLines="1"/>
  <pageMargins left="0.75" right="0.75" top="1" bottom="1" header="0" footer="0"/>
  <pageSetup paperSize="9" scale="10" orientation="landscape" r:id="rId1"/>
  <headerFooter alignWithMargins="0"/>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15">
    <tabColor theme="9" tint="-0.499984740745262"/>
  </sheetPr>
  <dimension ref="A1:AL3"/>
  <sheetViews>
    <sheetView workbookViewId="0">
      <selection activeCell="AK13" sqref="AK13"/>
    </sheetView>
  </sheetViews>
  <sheetFormatPr baseColWidth="10" defaultColWidth="11.42578125" defaultRowHeight="12.75"/>
  <cols>
    <col min="1" max="1" width="12" bestFit="1" customWidth="1"/>
  </cols>
  <sheetData>
    <row r="1" spans="1:38" ht="15.75">
      <c r="A1" s="12"/>
      <c r="B1" s="13" t="s">
        <v>4429</v>
      </c>
      <c r="C1" s="14"/>
      <c r="D1" s="14"/>
      <c r="E1" s="14"/>
      <c r="F1" s="14"/>
      <c r="G1" s="14"/>
      <c r="H1" s="14"/>
      <c r="I1" s="14"/>
      <c r="J1" s="14"/>
      <c r="K1" s="14"/>
      <c r="L1" s="15"/>
      <c r="M1" s="16"/>
      <c r="N1" s="17" t="s">
        <v>4430</v>
      </c>
      <c r="O1" s="18"/>
      <c r="P1" s="18"/>
      <c r="Q1" s="18"/>
      <c r="R1" s="18"/>
      <c r="S1" s="18"/>
      <c r="T1" s="18"/>
      <c r="U1" s="18"/>
      <c r="V1" s="18"/>
      <c r="W1" s="19"/>
      <c r="X1" s="16"/>
      <c r="Y1" s="20" t="s">
        <v>4431</v>
      </c>
      <c r="Z1" s="21"/>
      <c r="AA1" s="21"/>
      <c r="AB1" s="21"/>
      <c r="AC1" s="21"/>
      <c r="AD1" s="21"/>
      <c r="AE1" s="21"/>
      <c r="AF1" s="21"/>
      <c r="AG1" s="21"/>
      <c r="AH1" s="22"/>
      <c r="AI1" s="16"/>
      <c r="AJ1" s="12"/>
      <c r="AK1" s="12"/>
      <c r="AL1" s="12"/>
    </row>
    <row r="2" spans="1:38">
      <c r="A2" s="23" t="s">
        <v>67</v>
      </c>
      <c r="B2" s="24">
        <v>1</v>
      </c>
      <c r="C2" s="25">
        <v>2</v>
      </c>
      <c r="D2" s="25">
        <v>3</v>
      </c>
      <c r="E2" s="25">
        <v>4</v>
      </c>
      <c r="F2" s="25">
        <v>5</v>
      </c>
      <c r="G2" s="25">
        <v>6</v>
      </c>
      <c r="H2" s="25">
        <v>7</v>
      </c>
      <c r="I2" s="25">
        <v>8</v>
      </c>
      <c r="J2" s="25">
        <v>9</v>
      </c>
      <c r="K2" s="25">
        <v>10</v>
      </c>
      <c r="L2" s="26">
        <v>11</v>
      </c>
      <c r="M2" s="27"/>
      <c r="N2" s="28" t="s">
        <v>4432</v>
      </c>
      <c r="O2" s="29" t="s">
        <v>4433</v>
      </c>
      <c r="P2" s="29" t="s">
        <v>4434</v>
      </c>
      <c r="Q2" s="29" t="s">
        <v>4435</v>
      </c>
      <c r="R2" s="29" t="s">
        <v>4436</v>
      </c>
      <c r="S2" s="29" t="s">
        <v>4437</v>
      </c>
      <c r="T2" s="29" t="s">
        <v>4438</v>
      </c>
      <c r="U2" s="29" t="s">
        <v>4439</v>
      </c>
      <c r="V2" s="29" t="s">
        <v>4440</v>
      </c>
      <c r="W2" s="30" t="s">
        <v>4441</v>
      </c>
      <c r="X2" s="31"/>
      <c r="Y2" s="32">
        <v>1</v>
      </c>
      <c r="Z2" s="33">
        <v>2</v>
      </c>
      <c r="AA2" s="33">
        <v>3</v>
      </c>
      <c r="AB2" s="33">
        <v>4</v>
      </c>
      <c r="AC2" s="33">
        <v>5</v>
      </c>
      <c r="AD2" s="33">
        <v>6</v>
      </c>
      <c r="AE2" s="33">
        <v>7</v>
      </c>
      <c r="AF2" s="33">
        <v>8</v>
      </c>
      <c r="AG2" s="33">
        <v>9</v>
      </c>
      <c r="AH2" s="34">
        <v>10</v>
      </c>
      <c r="AI2" s="31"/>
      <c r="AJ2" s="35" t="s">
        <v>4442</v>
      </c>
      <c r="AK2" s="36" t="s">
        <v>4443</v>
      </c>
      <c r="AL2" s="37" t="s">
        <v>4444</v>
      </c>
    </row>
    <row r="3" spans="1:38">
      <c r="A3" s="12">
        <f>IF(DatosGenerales!D11=0,12345678911,DatosGenerales!D11)</f>
        <v>12345678911</v>
      </c>
      <c r="B3" s="12">
        <f>VALUE(MID(A3,1,1))</f>
        <v>1</v>
      </c>
      <c r="C3" s="12">
        <f>VALUE(MID(A3,2,1))</f>
        <v>2</v>
      </c>
      <c r="D3" s="12">
        <f>VALUE(MID(A3,3,1))</f>
        <v>3</v>
      </c>
      <c r="E3" s="12">
        <f>VALUE(MID(A3,4,1))</f>
        <v>4</v>
      </c>
      <c r="F3" s="12">
        <f>VALUE(MID(A3,5,1))</f>
        <v>5</v>
      </c>
      <c r="G3" s="12">
        <f>VALUE(MID(A3,6,1))</f>
        <v>6</v>
      </c>
      <c r="H3" s="12">
        <f>VALUE(MID(A3,7,1))</f>
        <v>7</v>
      </c>
      <c r="I3" s="12">
        <f>VALUE(MID(A3,8,1))</f>
        <v>8</v>
      </c>
      <c r="J3" s="12">
        <f>VALUE(MID(A3,9,1))</f>
        <v>9</v>
      </c>
      <c r="K3" s="12">
        <f>VALUE(MID(A3,10,1))</f>
        <v>1</v>
      </c>
      <c r="L3" s="12">
        <f>VALUE(MID(A3,11,1))</f>
        <v>1</v>
      </c>
      <c r="M3" s="16"/>
      <c r="N3">
        <v>5</v>
      </c>
      <c r="O3">
        <v>4</v>
      </c>
      <c r="P3">
        <v>3</v>
      </c>
      <c r="Q3">
        <v>2</v>
      </c>
      <c r="R3">
        <v>7</v>
      </c>
      <c r="S3">
        <v>6</v>
      </c>
      <c r="T3">
        <v>5</v>
      </c>
      <c r="U3">
        <v>4</v>
      </c>
      <c r="V3">
        <v>3</v>
      </c>
      <c r="W3">
        <v>2</v>
      </c>
      <c r="X3" s="16"/>
      <c r="Y3">
        <f>+N3*B3</f>
        <v>5</v>
      </c>
      <c r="Z3">
        <f t="shared" ref="Z3:AH3" si="0">+O3*C3</f>
        <v>8</v>
      </c>
      <c r="AA3">
        <f t="shared" si="0"/>
        <v>9</v>
      </c>
      <c r="AB3">
        <f t="shared" si="0"/>
        <v>8</v>
      </c>
      <c r="AC3">
        <f t="shared" si="0"/>
        <v>35</v>
      </c>
      <c r="AD3">
        <f t="shared" si="0"/>
        <v>36</v>
      </c>
      <c r="AE3">
        <f t="shared" si="0"/>
        <v>35</v>
      </c>
      <c r="AF3">
        <f t="shared" si="0"/>
        <v>32</v>
      </c>
      <c r="AG3">
        <f t="shared" si="0"/>
        <v>27</v>
      </c>
      <c r="AH3">
        <f t="shared" si="0"/>
        <v>2</v>
      </c>
      <c r="AI3" s="16"/>
      <c r="AJ3" s="12">
        <f>SUM(Y3:AH3)</f>
        <v>197</v>
      </c>
      <c r="AK3" s="12">
        <f>IF(11-MOD(+AJ3,11)=11,1,IF(11-MOD(+AJ3,11)=10,0,11-MOD(+AJ3,11)))</f>
        <v>1</v>
      </c>
      <c r="AL3" s="12">
        <f>+AK3-L3</f>
        <v>0</v>
      </c>
    </row>
  </sheetData>
  <phoneticPr fontId="0" type="noConversion"/>
  <pageMargins left="0.75" right="0.75" top="1" bottom="1" header="0" footer="0"/>
  <pageSetup orientation="portrait" verticalDpi="36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9E016-2B8E-44D1-8785-0CD3A856DD01}">
  <sheetPr codeName="Hoja25">
    <tabColor theme="1"/>
  </sheetPr>
  <dimension ref="A2:L82"/>
  <sheetViews>
    <sheetView showGridLines="0" workbookViewId="0">
      <selection activeCell="D8" sqref="D8"/>
    </sheetView>
  </sheetViews>
  <sheetFormatPr baseColWidth="10" defaultColWidth="0" defaultRowHeight="12.75"/>
  <cols>
    <col min="1" max="2" width="6.140625" style="495" customWidth="1"/>
    <col min="3" max="3" width="110.42578125" style="495" customWidth="1"/>
    <col min="4" max="4" width="11.42578125" style="1506" customWidth="1"/>
    <col min="5" max="5" width="11.42578125" style="495" customWidth="1"/>
    <col min="6" max="9" width="11.42578125" style="495" hidden="1" customWidth="1"/>
    <col min="10" max="12" width="0" style="495" hidden="1" customWidth="1"/>
    <col min="13" max="16384" width="11.42578125" style="495" hidden="1"/>
  </cols>
  <sheetData>
    <row r="2" spans="2:4" s="1511" customFormat="1" ht="26.25">
      <c r="C2" s="1513" t="s">
        <v>2127</v>
      </c>
      <c r="D2" s="1512"/>
    </row>
    <row r="4" spans="2:4" s="1500" customFormat="1" ht="35.1" customHeight="1">
      <c r="B4" s="1510">
        <v>1</v>
      </c>
      <c r="C4" s="1498" t="s">
        <v>2128</v>
      </c>
      <c r="D4" s="1499" t="str">
        <f>+IF(D6=D8,"OK","Alerta")</f>
        <v>OK</v>
      </c>
    </row>
    <row r="5" spans="2:4" s="1500" customFormat="1" ht="35.1" customHeight="1">
      <c r="B5" s="1501"/>
      <c r="C5" s="1502" t="str">
        <f>+IF(D4="Alerta","El patrimonio declarado en Panorama B. no coincide con el detalle de la Tabla VI.","")</f>
        <v/>
      </c>
      <c r="D5" s="1503"/>
    </row>
    <row r="6" spans="2:4">
      <c r="C6" s="1504" t="s">
        <v>2129</v>
      </c>
      <c r="D6" s="1505">
        <f>+D7</f>
        <v>0</v>
      </c>
    </row>
    <row r="7" spans="2:4">
      <c r="C7" s="497" t="s">
        <v>2130</v>
      </c>
      <c r="D7" s="1506">
        <f>+'Panorama B.'!M46</f>
        <v>0</v>
      </c>
    </row>
    <row r="8" spans="2:4">
      <c r="C8" s="1504" t="s">
        <v>2131</v>
      </c>
      <c r="D8" s="1505">
        <f>+SUM(D9:D10)</f>
        <v>0</v>
      </c>
    </row>
    <row r="9" spans="2:4">
      <c r="C9" s="497" t="s">
        <v>2132</v>
      </c>
      <c r="D9" s="1506">
        <f>+'Tabla VI.'!P49+'Tabla VI.'!P54</f>
        <v>0</v>
      </c>
    </row>
    <row r="10" spans="2:4">
      <c r="C10" s="497" t="s">
        <v>2133</v>
      </c>
      <c r="D10" s="1506">
        <f>+'Tabla VI.'!P55</f>
        <v>0</v>
      </c>
    </row>
    <row r="11" spans="2:4">
      <c r="C11" s="497"/>
    </row>
    <row r="12" spans="2:4" s="1500" customFormat="1" ht="35.1" customHeight="1">
      <c r="B12" s="1510">
        <v>2</v>
      </c>
      <c r="C12" s="1498" t="s">
        <v>2134</v>
      </c>
      <c r="D12" s="1499" t="str">
        <f>+IF(D16&lt;=D14,"OK","Alerta")</f>
        <v>OK</v>
      </c>
    </row>
    <row r="13" spans="2:4" s="1500" customFormat="1" ht="35.1" customHeight="1">
      <c r="B13" s="1501"/>
      <c r="C13" s="1502" t="str">
        <f>+IF(D12="Alerta","Las inversiones en empresas no residentes declaradas en Tabla VI. no pueden superar al activo total declarado en Panorama B.","")</f>
        <v/>
      </c>
      <c r="D13" s="1503"/>
    </row>
    <row r="14" spans="2:4">
      <c r="C14" s="1504" t="s">
        <v>2129</v>
      </c>
      <c r="D14" s="1505">
        <f>+D15</f>
        <v>0</v>
      </c>
    </row>
    <row r="15" spans="2:4">
      <c r="C15" s="497" t="s">
        <v>2135</v>
      </c>
      <c r="D15" s="1506">
        <f>+'Panorama B.'!M11</f>
        <v>0</v>
      </c>
    </row>
    <row r="16" spans="2:4">
      <c r="C16" s="1504" t="s">
        <v>2131</v>
      </c>
      <c r="D16" s="1505">
        <f>+SUM(D17:D18)</f>
        <v>0</v>
      </c>
    </row>
    <row r="17" spans="2:4">
      <c r="C17" s="497" t="s">
        <v>2136</v>
      </c>
      <c r="D17" s="1506">
        <f>+'Tabla VI.'!O16</f>
        <v>0</v>
      </c>
    </row>
    <row r="18" spans="2:4">
      <c r="C18" s="497" t="s">
        <v>2137</v>
      </c>
      <c r="D18" s="1506">
        <f>+'Tabla VI.'!O21</f>
        <v>0</v>
      </c>
    </row>
    <row r="19" spans="2:4">
      <c r="C19" s="497"/>
    </row>
    <row r="20" spans="2:4" s="1500" customFormat="1" ht="35.1" customHeight="1">
      <c r="B20" s="1510">
        <v>3</v>
      </c>
      <c r="C20" s="1498" t="s">
        <v>2138</v>
      </c>
      <c r="D20" s="1499" t="str">
        <f ca="1">IF(ABS((D22-D25))&gt;1,"Alerta", "OK")</f>
        <v>OK</v>
      </c>
    </row>
    <row r="21" spans="2:4" s="1500" customFormat="1" ht="35.1" customHeight="1">
      <c r="B21" s="1501"/>
      <c r="C21" s="1502" t="str">
        <f ca="1">+IF(D20="Alerta","El balance de servicios del Panorama C no coincide con el balance de servicios de la Tabla I.","")</f>
        <v/>
      </c>
      <c r="D21" s="1503"/>
    </row>
    <row r="22" spans="2:4">
      <c r="C22" s="1504" t="s">
        <v>2139</v>
      </c>
      <c r="D22" s="1505">
        <f>+D23-D24</f>
        <v>0</v>
      </c>
    </row>
    <row r="23" spans="2:4">
      <c r="C23" s="497" t="s">
        <v>2140</v>
      </c>
      <c r="D23" s="1506">
        <f>+'Panorama C.'!H17</f>
        <v>0</v>
      </c>
    </row>
    <row r="24" spans="2:4">
      <c r="C24" s="497" t="s">
        <v>2141</v>
      </c>
      <c r="D24" s="1506">
        <f>+'Panorama C.'!H18</f>
        <v>0</v>
      </c>
    </row>
    <row r="25" spans="2:4">
      <c r="C25" s="1504" t="s">
        <v>2962</v>
      </c>
      <c r="D25" s="1505">
        <f ca="1">+D26-D27</f>
        <v>0</v>
      </c>
    </row>
    <row r="26" spans="2:4">
      <c r="C26" s="497" t="s">
        <v>2140</v>
      </c>
      <c r="D26" s="1506">
        <f ca="1">+SUMIFS('Tabla I.'!F:F,'Tabla I.'!C:C,"&lt;11")</f>
        <v>0</v>
      </c>
    </row>
    <row r="27" spans="2:4">
      <c r="C27" s="497" t="s">
        <v>2141</v>
      </c>
      <c r="D27" s="1506">
        <f ca="1">+SUMIFS('Tabla I.'!G:G,'Tabla I.'!C:C,"&lt;11")</f>
        <v>0</v>
      </c>
    </row>
    <row r="29" spans="2:4" s="1507" customFormat="1" ht="35.1" customHeight="1">
      <c r="B29" s="1510">
        <v>4</v>
      </c>
      <c r="C29" s="1498" t="s">
        <v>2142</v>
      </c>
      <c r="D29" s="1499" t="str">
        <f>+IF(OR(AND(D32=0,D39=0),AND(D32&gt;0,D39&gt;0)),"OK","Alerta")</f>
        <v>OK</v>
      </c>
    </row>
    <row r="30" spans="2:4" s="1507" customFormat="1" ht="35.1" customHeight="1">
      <c r="B30" s="1508"/>
      <c r="C30" s="1502" t="str">
        <f>+IF(D29="Alerta","La declaración de empresas de propiedad inmediata no residentes no es consistente con la declaración de saldos y flujos de la Tabla VI.","")</f>
        <v/>
      </c>
      <c r="D30" s="1503"/>
    </row>
    <row r="31" spans="2:4">
      <c r="C31" s="1504" t="s">
        <v>2143</v>
      </c>
    </row>
    <row r="32" spans="2:4">
      <c r="C32" s="497" t="s">
        <v>2144</v>
      </c>
      <c r="D32" s="1506">
        <f>+COUNTA('Panorama A.'!$I$53:$I$62)</f>
        <v>0</v>
      </c>
    </row>
    <row r="33" spans="2:4">
      <c r="C33" s="1504" t="s">
        <v>2131</v>
      </c>
    </row>
    <row r="34" spans="2:4">
      <c r="C34" s="497" t="s">
        <v>2145</v>
      </c>
      <c r="D34" s="1506">
        <f>+'Tabla VI.'!H15</f>
        <v>0</v>
      </c>
    </row>
    <row r="35" spans="2:4">
      <c r="C35" s="497" t="s">
        <v>2146</v>
      </c>
      <c r="D35" s="1506">
        <f>+'Tabla VI.'!I15</f>
        <v>0</v>
      </c>
    </row>
    <row r="36" spans="2:4">
      <c r="C36" s="497" t="s">
        <v>2147</v>
      </c>
      <c r="D36" s="1506">
        <f>+'Tabla VI.'!J15</f>
        <v>0</v>
      </c>
    </row>
    <row r="37" spans="2:4">
      <c r="C37" s="497" t="s">
        <v>2148</v>
      </c>
      <c r="D37" s="1506">
        <f>'Tabla VI.'!L15</f>
        <v>0</v>
      </c>
    </row>
    <row r="38" spans="2:4">
      <c r="C38" s="497" t="s">
        <v>2149</v>
      </c>
      <c r="D38" s="1506">
        <f>+'Tabla VI.'!N15</f>
        <v>0</v>
      </c>
    </row>
    <row r="39" spans="2:4">
      <c r="C39" s="497" t="s">
        <v>2150</v>
      </c>
      <c r="D39" s="1506">
        <f>+'Tabla VI.'!O15</f>
        <v>0</v>
      </c>
    </row>
    <row r="41" spans="2:4" s="1507" customFormat="1" ht="35.1" customHeight="1">
      <c r="B41" s="1510">
        <v>5</v>
      </c>
      <c r="C41" s="1498" t="s">
        <v>2151</v>
      </c>
      <c r="D41" s="1499" t="str">
        <f>+IF(OR(AND(D45=0,D52=0),AND(D45&gt;0,D52&lt;&gt;0)),"OK","Alerta")</f>
        <v>OK</v>
      </c>
    </row>
    <row r="42" spans="2:4" s="1507" customFormat="1" ht="35.1" customHeight="1">
      <c r="B42" s="1508"/>
      <c r="C42" s="1502" t="str">
        <f>+IF(D41="Alerta","La declaración de accionistas inmediatos no residentes no es consistente con la declaración de saldos y flujos de la Tabla VI.","")</f>
        <v/>
      </c>
      <c r="D42" s="1503"/>
    </row>
    <row r="43" spans="2:4">
      <c r="C43" s="1504" t="s">
        <v>2143</v>
      </c>
    </row>
    <row r="44" spans="2:4">
      <c r="C44" s="497" t="s">
        <v>2152</v>
      </c>
      <c r="D44" s="1506">
        <f>+'Panorama A.'!I10</f>
        <v>0</v>
      </c>
    </row>
    <row r="45" spans="2:4">
      <c r="C45" s="497" t="s">
        <v>2153</v>
      </c>
      <c r="D45" s="1506">
        <f>+'Panorama A.'!I21</f>
        <v>0</v>
      </c>
    </row>
    <row r="46" spans="2:4">
      <c r="C46" s="1504" t="s">
        <v>2131</v>
      </c>
    </row>
    <row r="47" spans="2:4">
      <c r="C47" s="497" t="s">
        <v>2145</v>
      </c>
      <c r="D47" s="1506">
        <f>+'Tabla VI.'!I49</f>
        <v>0</v>
      </c>
    </row>
    <row r="48" spans="2:4">
      <c r="C48" s="497" t="s">
        <v>2146</v>
      </c>
      <c r="D48" s="1506">
        <f>+'Tabla VI.'!J49</f>
        <v>0</v>
      </c>
    </row>
    <row r="49" spans="2:4">
      <c r="C49" s="497" t="s">
        <v>2154</v>
      </c>
      <c r="D49" s="1506">
        <f>+'Tabla VI.'!K48*D45/100</f>
        <v>0</v>
      </c>
    </row>
    <row r="50" spans="2:4">
      <c r="C50" s="497" t="s">
        <v>2155</v>
      </c>
      <c r="D50" s="1506">
        <f>+'Tabla VI.'!M48*D45/100</f>
        <v>0</v>
      </c>
    </row>
    <row r="51" spans="2:4">
      <c r="C51" s="497" t="s">
        <v>2156</v>
      </c>
      <c r="D51" s="1506">
        <f>+'Tabla VI.'!O48*D45/100</f>
        <v>0</v>
      </c>
    </row>
    <row r="52" spans="2:4">
      <c r="C52" s="497" t="s">
        <v>2150</v>
      </c>
      <c r="D52" s="1506">
        <f>+'Tabla VI.'!P49</f>
        <v>0</v>
      </c>
    </row>
    <row r="54" spans="2:4" s="1507" customFormat="1" ht="35.1" customHeight="1">
      <c r="B54" s="1510">
        <v>6</v>
      </c>
      <c r="C54" s="1498" t="s">
        <v>2157</v>
      </c>
      <c r="D54" s="1499" t="str">
        <f>IF(AND(D57=D60,D58=D67),"OK","Alerta")</f>
        <v>OK</v>
      </c>
    </row>
    <row r="55" spans="2:4" s="1507" customFormat="1" ht="35.1" customHeight="1">
      <c r="B55" s="1508"/>
      <c r="C55" s="1502" t="str">
        <f>+IF(D54="Alerta","La declaración de obligaciones de instrumentos de deuda no coincide con la declaración de cronograma de pago","")</f>
        <v/>
      </c>
      <c r="D55" s="1503"/>
    </row>
    <row r="56" spans="2:4">
      <c r="C56" s="1504" t="s">
        <v>2158</v>
      </c>
    </row>
    <row r="57" spans="2:4">
      <c r="C57" s="497" t="s">
        <v>2159</v>
      </c>
      <c r="D57" s="1506">
        <f>+'Tabla III.1.'!L25</f>
        <v>0</v>
      </c>
    </row>
    <row r="58" spans="2:4">
      <c r="C58" s="497" t="s">
        <v>2160</v>
      </c>
      <c r="D58" s="1506">
        <f>+'Tabla III.1.'!L63</f>
        <v>0</v>
      </c>
    </row>
    <row r="59" spans="2:4">
      <c r="C59" s="1504" t="s">
        <v>4478</v>
      </c>
    </row>
    <row r="60" spans="2:4">
      <c r="C60" s="497" t="s">
        <v>2159</v>
      </c>
      <c r="D60" s="1506">
        <f>+'Tabla III.3.'!H24</f>
        <v>0</v>
      </c>
    </row>
    <row r="61" spans="2:4">
      <c r="C61" s="1509" t="s">
        <v>2161</v>
      </c>
      <c r="D61" s="1506">
        <f>+SUM('Tabla III.3.'!I24:M24)</f>
        <v>0</v>
      </c>
    </row>
    <row r="62" spans="2:4">
      <c r="C62" s="1509" t="s">
        <v>2162</v>
      </c>
      <c r="D62" s="1506">
        <f>+SUM('Tabla III.3.'!N24:O24)</f>
        <v>0</v>
      </c>
    </row>
    <row r="63" spans="2:4">
      <c r="C63" s="1509" t="s">
        <v>2163</v>
      </c>
      <c r="D63" s="1506">
        <f>+'Tabla III.3.'!P24</f>
        <v>0</v>
      </c>
    </row>
    <row r="64" spans="2:4">
      <c r="C64" s="1509" t="s">
        <v>2164</v>
      </c>
      <c r="D64" s="1506">
        <f>+'Tabla III.3.'!Q24</f>
        <v>0</v>
      </c>
    </row>
    <row r="65" spans="2:4">
      <c r="C65" s="1509" t="s">
        <v>2165</v>
      </c>
      <c r="D65" s="1506">
        <f>+'Tabla III.3.'!R24</f>
        <v>0</v>
      </c>
    </row>
    <row r="66" spans="2:4">
      <c r="C66" s="1509" t="s">
        <v>2166</v>
      </c>
      <c r="D66" s="1506">
        <f>+'Tabla III.3.'!S24</f>
        <v>0</v>
      </c>
    </row>
    <row r="67" spans="2:4">
      <c r="C67" s="497" t="s">
        <v>2160</v>
      </c>
      <c r="D67" s="1506">
        <f>+'Tabla III.3.'!H54</f>
        <v>0</v>
      </c>
    </row>
    <row r="68" spans="2:4">
      <c r="C68" s="1509" t="s">
        <v>2161</v>
      </c>
      <c r="D68" s="1506">
        <f>+SUM('Tabla III.3.'!I54:M54)</f>
        <v>0</v>
      </c>
    </row>
    <row r="69" spans="2:4">
      <c r="C69" s="1509" t="s">
        <v>2162</v>
      </c>
      <c r="D69" s="1506">
        <f>+SUM('Tabla III.3.'!N54:O54)</f>
        <v>0</v>
      </c>
    </row>
    <row r="70" spans="2:4">
      <c r="C70" s="1509" t="s">
        <v>2163</v>
      </c>
      <c r="D70" s="1506">
        <f>+'Tabla III.3.'!P54</f>
        <v>0</v>
      </c>
    </row>
    <row r="71" spans="2:4">
      <c r="C71" s="1509" t="s">
        <v>2164</v>
      </c>
      <c r="D71" s="1506">
        <f>+'Tabla III.3.'!Q54</f>
        <v>0</v>
      </c>
    </row>
    <row r="72" spans="2:4">
      <c r="C72" s="1509" t="s">
        <v>2165</v>
      </c>
      <c r="D72" s="1506">
        <f>+'Tabla III.3.'!R54</f>
        <v>0</v>
      </c>
    </row>
    <row r="73" spans="2:4">
      <c r="C73" s="1509" t="s">
        <v>2166</v>
      </c>
      <c r="D73" s="1506">
        <f>+'Tabla III.3.'!S54</f>
        <v>0</v>
      </c>
    </row>
    <row r="75" spans="2:4" s="1507" customFormat="1" ht="35.1" customHeight="1">
      <c r="B75" s="1510">
        <v>7</v>
      </c>
      <c r="C75" s="1498" t="s">
        <v>2167</v>
      </c>
      <c r="D75" s="1499" t="str">
        <f>IFERROR(+IF(OR(SUM(D78:D80)=0,D81/(D82-D77)&gt;0.7),"Alerta","OK"),"OK")</f>
        <v>OK</v>
      </c>
    </row>
    <row r="76" spans="2:4" s="1507" customFormat="1" ht="35.1" customHeight="1">
      <c r="B76" s="1508"/>
      <c r="C76" s="1502" t="str">
        <f>+IF(D75="Alerta","La variación del patrimonio está siendo explicada principalmente por otros fujos, revisar si es correcto","")</f>
        <v/>
      </c>
      <c r="D76" s="1503"/>
    </row>
    <row r="77" spans="2:4">
      <c r="C77" s="497" t="s">
        <v>2145</v>
      </c>
      <c r="D77" s="1506">
        <f>+'Tabla VI.'!I48</f>
        <v>0</v>
      </c>
    </row>
    <row r="78" spans="2:4">
      <c r="C78" s="497" t="s">
        <v>2146</v>
      </c>
      <c r="D78" s="1506">
        <f>+'Tabla VI.'!J48</f>
        <v>0</v>
      </c>
    </row>
    <row r="79" spans="2:4">
      <c r="C79" s="497" t="s">
        <v>2147</v>
      </c>
      <c r="D79" s="1506">
        <f>+'Tabla VI.'!K48</f>
        <v>0</v>
      </c>
    </row>
    <row r="80" spans="2:4">
      <c r="C80" s="497" t="s">
        <v>2148</v>
      </c>
      <c r="D80" s="1506">
        <f>+'Tabla VI.'!M48</f>
        <v>0</v>
      </c>
    </row>
    <row r="81" spans="3:4">
      <c r="C81" s="497" t="s">
        <v>2149</v>
      </c>
      <c r="D81" s="1506">
        <f>+'Tabla VI.'!O48</f>
        <v>0</v>
      </c>
    </row>
    <row r="82" spans="3:4">
      <c r="C82" s="497" t="s">
        <v>2150</v>
      </c>
      <c r="D82" s="1506">
        <f>+'Tabla VI.'!P48</f>
        <v>0</v>
      </c>
    </row>
  </sheetData>
  <sheetProtection algorithmName="SHA-512" hashValue="90NHM9cpHu9pOT66UOqF5P+/h3SOYEGgiDXXi+2v4c3k3ulyYlvKmsbAZnaDH4seEn4iJGifABnERD30flWXRQ==" saltValue="xzTqwrjSESWt3Jjc7s6Hd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3">
    <tabColor rgb="FFFF0000"/>
    <pageSetUpPr fitToPage="1"/>
  </sheetPr>
  <dimension ref="A1:Z99"/>
  <sheetViews>
    <sheetView showGridLines="0" topLeftCell="D1" zoomScale="55" zoomScaleNormal="55" workbookViewId="0">
      <selection activeCell="G11" sqref="G11"/>
    </sheetView>
  </sheetViews>
  <sheetFormatPr baseColWidth="10" defaultColWidth="11.42578125" defaultRowHeight="15.75"/>
  <cols>
    <col min="1" max="1" width="23" style="518" hidden="1" customWidth="1"/>
    <col min="2" max="2" width="18.42578125" style="519" hidden="1" customWidth="1"/>
    <col min="3" max="3" width="19.42578125" style="519" hidden="1" customWidth="1"/>
    <col min="4" max="4" width="4.140625" style="519" customWidth="1"/>
    <col min="5" max="5" width="19.140625" style="1" customWidth="1"/>
    <col min="6" max="6" width="23.42578125" style="1" customWidth="1"/>
    <col min="7" max="7" width="135.140625" style="1" customWidth="1"/>
    <col min="8" max="8" width="71.140625" style="1" customWidth="1"/>
    <col min="9" max="9" width="32.42578125" style="1" customWidth="1"/>
    <col min="10" max="11" width="11.42578125" style="518"/>
    <col min="12" max="12" width="66.5703125" style="518" customWidth="1"/>
    <col min="13" max="26" width="11.42578125" style="518"/>
    <col min="27" max="16384" width="11.42578125" style="1"/>
  </cols>
  <sheetData>
    <row r="1" spans="1:26" s="518" customFormat="1">
      <c r="B1" s="519"/>
      <c r="C1" s="519"/>
      <c r="D1" s="519"/>
    </row>
    <row r="2" spans="1:26" s="518" customFormat="1" ht="18" customHeight="1">
      <c r="B2" s="519"/>
      <c r="C2" s="519"/>
      <c r="D2" s="519"/>
      <c r="E2" s="178"/>
      <c r="F2" s="178"/>
      <c r="G2" s="178"/>
      <c r="H2" s="179"/>
      <c r="I2" s="180"/>
    </row>
    <row r="3" spans="1:26" s="518" customFormat="1" ht="33.75">
      <c r="B3" s="519"/>
      <c r="C3" s="519"/>
      <c r="D3" s="519"/>
      <c r="E3" s="170" t="str">
        <f ca="1">$B$7&amp;"  Personas naturales y jurídicas relacionadas con la empresa declarante "&amp;"a "&amp;(LOWER(+Menu!E3))&amp;" "&amp;ANUAL</f>
        <v>Panorama A.  Personas naturales y jurídicas relacionadas con la empresa declarante a setiembre 2025</v>
      </c>
      <c r="F3" s="170"/>
      <c r="G3" s="160"/>
      <c r="H3" s="160"/>
      <c r="I3" s="161"/>
    </row>
    <row r="4" spans="1:26" s="518" customFormat="1" ht="12.75" customHeight="1">
      <c r="B4" s="519"/>
      <c r="C4" s="519"/>
      <c r="D4" s="519"/>
      <c r="E4" s="169"/>
      <c r="F4" s="169"/>
      <c r="G4" s="160"/>
      <c r="H4" s="160"/>
      <c r="I4" s="168"/>
    </row>
    <row r="5" spans="1:26" s="518" customFormat="1" ht="33" customHeight="1">
      <c r="B5" s="519"/>
      <c r="C5" s="519"/>
      <c r="D5" s="519"/>
      <c r="E5" s="178"/>
      <c r="F5" s="178"/>
      <c r="G5" s="178"/>
      <c r="H5" s="179"/>
      <c r="I5" s="180"/>
    </row>
    <row r="6" spans="1:26" s="518" customFormat="1" ht="16.5" customHeight="1">
      <c r="B6" s="519"/>
      <c r="C6" s="519"/>
      <c r="D6" s="519"/>
      <c r="E6" s="520"/>
      <c r="F6" s="520"/>
      <c r="G6" s="520"/>
      <c r="H6" s="521"/>
      <c r="I6" s="521"/>
    </row>
    <row r="7" spans="1:26" s="518" customFormat="1" ht="39" thickBot="1">
      <c r="B7" s="130" t="str">
        <f ca="1">RIGHT(CELL("nombrearchivo",A6),LEN(CELL("nombrearchivo",A6))-SEARCH("]",CELL("nombrearchivo",A6)))</f>
        <v>Panorama A.</v>
      </c>
      <c r="C7" s="519"/>
      <c r="D7" s="519"/>
      <c r="E7" s="2238" t="s">
        <v>2168</v>
      </c>
      <c r="F7" s="2238"/>
      <c r="G7" s="2239"/>
      <c r="H7" s="2239"/>
      <c r="I7" s="2239"/>
    </row>
    <row r="8" spans="1:26" s="1100" customFormat="1" ht="33.75" customHeight="1" thickTop="1">
      <c r="A8" s="1949"/>
      <c r="B8" s="2240" t="str">
        <f ca="1">RIGHT(CELL("nombrearchivo",A6),LEN(CELL("nombrearchivo",A6))-SEARCH("]",CELL("nombrearchivo",A6)))</f>
        <v>Panorama A.</v>
      </c>
      <c r="C8" s="2241"/>
      <c r="D8" s="2055"/>
      <c r="E8" s="2229" t="s">
        <v>2169</v>
      </c>
      <c r="F8" s="2236" t="s">
        <v>4477</v>
      </c>
      <c r="G8" s="2231" t="str">
        <f>"A C C I O N I S T A S   I N M E D I A T O S  "&amp;$C$33&amp;"/"</f>
        <v>A C C I O N I S T A S   I N M E D I A T O S  1/</v>
      </c>
      <c r="H8" s="2222" t="s">
        <v>2170</v>
      </c>
      <c r="I8" s="2242" t="str">
        <f>"PORCENTAJE DE LA PROPIEDAD "&amp;$C$34&amp;"/
"&amp;"(con dos decimales)"</f>
        <v>PORCENTAJE DE LA PROPIEDAD 2/
(con dos decimales)</v>
      </c>
      <c r="J8" s="1947"/>
      <c r="K8" s="1947"/>
      <c r="L8" s="1947"/>
      <c r="M8" s="1949"/>
      <c r="N8" s="1949"/>
      <c r="O8" s="1949"/>
      <c r="P8" s="1949"/>
      <c r="Q8" s="1949"/>
      <c r="R8" s="1949"/>
      <c r="S8" s="1949"/>
      <c r="T8" s="1949"/>
      <c r="U8" s="1949"/>
      <c r="V8" s="1949"/>
      <c r="W8" s="1949"/>
      <c r="X8" s="1949"/>
      <c r="Y8" s="1949"/>
      <c r="Z8" s="1949"/>
    </row>
    <row r="9" spans="1:26" s="1948" customFormat="1" ht="33.75" customHeight="1" thickBot="1">
      <c r="A9" s="1947"/>
      <c r="B9" s="2056" t="s">
        <v>2171</v>
      </c>
      <c r="C9" s="2057" t="s">
        <v>2172</v>
      </c>
      <c r="D9" s="2055"/>
      <c r="E9" s="2230"/>
      <c r="F9" s="2237"/>
      <c r="G9" s="2232"/>
      <c r="H9" s="2223"/>
      <c r="I9" s="2243"/>
      <c r="J9" s="1947"/>
      <c r="K9" s="1947"/>
      <c r="L9" s="1947"/>
      <c r="M9" s="1947"/>
      <c r="N9" s="1947"/>
      <c r="O9" s="1947"/>
      <c r="P9" s="1947"/>
      <c r="Q9" s="1947"/>
      <c r="R9" s="1947"/>
      <c r="S9" s="1947"/>
      <c r="T9" s="1947"/>
      <c r="U9" s="1947"/>
      <c r="V9" s="1947"/>
      <c r="W9" s="1947"/>
      <c r="X9" s="1947"/>
      <c r="Y9" s="1947"/>
      <c r="Z9" s="1947"/>
    </row>
    <row r="10" spans="1:26" s="1100" customFormat="1" ht="39.950000000000003" customHeight="1" thickTop="1">
      <c r="A10" s="1949"/>
      <c r="B10" s="2058" t="s">
        <v>20</v>
      </c>
      <c r="C10" s="2059" t="s">
        <v>2173</v>
      </c>
      <c r="D10" s="524"/>
      <c r="E10" s="2060" t="str">
        <f>+C10</f>
        <v>01.01.00.</v>
      </c>
      <c r="F10" s="2061"/>
      <c r="G10" s="2062" t="s">
        <v>2174</v>
      </c>
      <c r="H10" s="2063"/>
      <c r="I10" s="2064">
        <f>SUM(I11:I20)</f>
        <v>0</v>
      </c>
      <c r="J10" s="1947"/>
      <c r="K10" s="1947"/>
      <c r="L10" s="1947"/>
      <c r="M10" s="1949"/>
      <c r="N10" s="1949"/>
      <c r="O10" s="1949"/>
      <c r="P10" s="1949"/>
      <c r="Q10" s="1949"/>
      <c r="R10" s="1949"/>
      <c r="S10" s="1949"/>
      <c r="T10" s="1949"/>
      <c r="U10" s="1949"/>
      <c r="V10" s="1949"/>
      <c r="W10" s="1949"/>
      <c r="X10" s="1949"/>
      <c r="Y10" s="1949"/>
      <c r="Z10" s="1949"/>
    </row>
    <row r="11" spans="1:26" s="1100" customFormat="1" ht="30" customHeight="1">
      <c r="A11" s="1949"/>
      <c r="B11" s="1818" t="s">
        <v>20</v>
      </c>
      <c r="C11" s="2065" t="s">
        <v>2175</v>
      </c>
      <c r="D11" s="1965"/>
      <c r="E11" s="2066" t="str">
        <f t="shared" ref="E11:E31" si="0">+C11</f>
        <v>01.01.01.</v>
      </c>
      <c r="F11" s="2067"/>
      <c r="G11" s="2068"/>
      <c r="H11" s="2069" t="s">
        <v>2176</v>
      </c>
      <c r="I11" s="2070"/>
      <c r="J11" s="1947"/>
      <c r="K11" s="1947"/>
      <c r="L11" s="1947"/>
      <c r="M11" s="1949"/>
      <c r="N11" s="1949"/>
      <c r="O11" s="1949"/>
      <c r="P11" s="1949"/>
      <c r="Q11" s="1949"/>
      <c r="R11" s="1949"/>
      <c r="S11" s="1949"/>
      <c r="T11" s="1949"/>
      <c r="U11" s="1949"/>
      <c r="V11" s="1949"/>
      <c r="W11" s="1949"/>
      <c r="X11" s="1949"/>
      <c r="Y11" s="1949"/>
      <c r="Z11" s="1949"/>
    </row>
    <row r="12" spans="1:26" s="1100" customFormat="1" ht="30" customHeight="1">
      <c r="A12" s="1949"/>
      <c r="B12" s="1818" t="s">
        <v>20</v>
      </c>
      <c r="C12" s="2065" t="s">
        <v>2177</v>
      </c>
      <c r="D12" s="186"/>
      <c r="E12" s="2071" t="str">
        <f t="shared" si="0"/>
        <v>01.01.02.</v>
      </c>
      <c r="F12" s="2072"/>
      <c r="G12" s="2073"/>
      <c r="H12" s="2074" t="s">
        <v>2176</v>
      </c>
      <c r="I12" s="2075"/>
      <c r="J12" s="1947"/>
      <c r="K12" s="1947"/>
      <c r="L12" s="1947"/>
      <c r="M12" s="1949"/>
      <c r="N12" s="1949"/>
      <c r="O12" s="1949"/>
      <c r="P12" s="1949"/>
      <c r="Q12" s="1949"/>
      <c r="R12" s="1949"/>
      <c r="S12" s="1949"/>
      <c r="T12" s="1949"/>
      <c r="U12" s="1949"/>
      <c r="V12" s="1949"/>
      <c r="W12" s="1949"/>
      <c r="X12" s="1949"/>
      <c r="Y12" s="1949"/>
      <c r="Z12" s="1949"/>
    </row>
    <row r="13" spans="1:26" s="1100" customFormat="1" ht="30" customHeight="1">
      <c r="A13" s="1949"/>
      <c r="B13" s="1818" t="s">
        <v>20</v>
      </c>
      <c r="C13" s="2065" t="s">
        <v>2178</v>
      </c>
      <c r="D13" s="186"/>
      <c r="E13" s="2071" t="str">
        <f t="shared" si="0"/>
        <v>01.01.03.</v>
      </c>
      <c r="F13" s="2072"/>
      <c r="G13" s="2073"/>
      <c r="H13" s="2074" t="s">
        <v>2176</v>
      </c>
      <c r="I13" s="2075"/>
      <c r="J13" s="1947"/>
      <c r="K13" s="1947"/>
      <c r="L13" s="1947"/>
      <c r="M13" s="1949"/>
      <c r="N13" s="1949"/>
      <c r="O13" s="1949"/>
      <c r="P13" s="1949"/>
      <c r="Q13" s="1949"/>
      <c r="R13" s="1949"/>
      <c r="S13" s="1949"/>
      <c r="T13" s="1949"/>
      <c r="U13" s="1949"/>
      <c r="V13" s="1949"/>
      <c r="W13" s="1949"/>
      <c r="X13" s="1949"/>
      <c r="Y13" s="1949"/>
      <c r="Z13" s="1949"/>
    </row>
    <row r="14" spans="1:26" s="1100" customFormat="1" ht="30" customHeight="1">
      <c r="A14" s="1949"/>
      <c r="B14" s="1818" t="s">
        <v>20</v>
      </c>
      <c r="C14" s="2065" t="s">
        <v>2179</v>
      </c>
      <c r="D14" s="1965"/>
      <c r="E14" s="2071" t="str">
        <f t="shared" si="0"/>
        <v>01.01.04.</v>
      </c>
      <c r="F14" s="2072"/>
      <c r="G14" s="2073"/>
      <c r="H14" s="2074" t="s">
        <v>2176</v>
      </c>
      <c r="I14" s="2075"/>
      <c r="J14" s="1947"/>
      <c r="K14" s="1947"/>
      <c r="L14" s="1947"/>
      <c r="M14" s="1949"/>
      <c r="N14" s="1949"/>
      <c r="O14" s="1949"/>
      <c r="P14" s="1949"/>
      <c r="Q14" s="1949"/>
      <c r="R14" s="1949"/>
      <c r="S14" s="1949"/>
      <c r="T14" s="1949"/>
      <c r="U14" s="1949"/>
      <c r="V14" s="1949"/>
      <c r="W14" s="1949"/>
      <c r="X14" s="1949"/>
      <c r="Y14" s="1949"/>
      <c r="Z14" s="1949"/>
    </row>
    <row r="15" spans="1:26" s="1100" customFormat="1" ht="30" customHeight="1">
      <c r="A15" s="1949"/>
      <c r="B15" s="1818" t="s">
        <v>20</v>
      </c>
      <c r="C15" s="2065" t="s">
        <v>2180</v>
      </c>
      <c r="D15" s="1965"/>
      <c r="E15" s="2071" t="str">
        <f t="shared" si="0"/>
        <v>01.01.05.</v>
      </c>
      <c r="F15" s="2072"/>
      <c r="G15" s="2073"/>
      <c r="H15" s="2074" t="s">
        <v>2176</v>
      </c>
      <c r="I15" s="2075"/>
      <c r="J15" s="1947"/>
      <c r="K15" s="1947"/>
      <c r="L15" s="1947"/>
      <c r="M15" s="1949"/>
      <c r="N15" s="1949"/>
      <c r="O15" s="1949"/>
      <c r="P15" s="1949"/>
      <c r="Q15" s="1949"/>
      <c r="R15" s="1949"/>
      <c r="S15" s="1949"/>
      <c r="T15" s="1949"/>
      <c r="U15" s="1949"/>
      <c r="V15" s="1949"/>
      <c r="W15" s="1949"/>
      <c r="X15" s="1949"/>
      <c r="Y15" s="1949"/>
      <c r="Z15" s="1949"/>
    </row>
    <row r="16" spans="1:26" s="1100" customFormat="1" ht="30" customHeight="1">
      <c r="A16" s="1949"/>
      <c r="B16" s="1818" t="s">
        <v>20</v>
      </c>
      <c r="C16" s="2065" t="s">
        <v>2181</v>
      </c>
      <c r="D16" s="1965"/>
      <c r="E16" s="2071" t="str">
        <f t="shared" si="0"/>
        <v>01.01.06.</v>
      </c>
      <c r="F16" s="2072"/>
      <c r="G16" s="2073"/>
      <c r="H16" s="2074" t="s">
        <v>2176</v>
      </c>
      <c r="I16" s="2076"/>
      <c r="J16" s="1947"/>
      <c r="K16" s="1947"/>
      <c r="L16" s="1947"/>
      <c r="M16" s="1949"/>
      <c r="N16" s="1949"/>
      <c r="O16" s="1949"/>
      <c r="P16" s="1949"/>
      <c r="Q16" s="1949"/>
      <c r="R16" s="1949"/>
      <c r="S16" s="1949"/>
      <c r="T16" s="1949"/>
      <c r="U16" s="1949"/>
      <c r="V16" s="1949"/>
      <c r="W16" s="1949"/>
      <c r="X16" s="1949"/>
      <c r="Y16" s="1949"/>
      <c r="Z16" s="1949"/>
    </row>
    <row r="17" spans="1:26" s="1100" customFormat="1" ht="30" customHeight="1">
      <c r="A17" s="1949"/>
      <c r="B17" s="1818" t="s">
        <v>20</v>
      </c>
      <c r="C17" s="2065" t="s">
        <v>2182</v>
      </c>
      <c r="D17" s="1965"/>
      <c r="E17" s="2071" t="str">
        <f t="shared" si="0"/>
        <v>01.01.07.</v>
      </c>
      <c r="F17" s="2072"/>
      <c r="G17" s="2073"/>
      <c r="H17" s="2074" t="s">
        <v>2176</v>
      </c>
      <c r="I17" s="2075"/>
      <c r="J17" s="1947"/>
      <c r="K17" s="1947"/>
      <c r="L17" s="1947"/>
      <c r="M17" s="1949"/>
      <c r="N17" s="1949"/>
      <c r="O17" s="1949"/>
      <c r="P17" s="1949"/>
      <c r="Q17" s="1949"/>
      <c r="R17" s="1949"/>
      <c r="S17" s="1949"/>
      <c r="T17" s="1949"/>
      <c r="U17" s="1949"/>
      <c r="V17" s="1949"/>
      <c r="W17" s="1949"/>
      <c r="X17" s="1949"/>
      <c r="Y17" s="1949"/>
      <c r="Z17" s="1949"/>
    </row>
    <row r="18" spans="1:26" s="1100" customFormat="1" ht="30" customHeight="1">
      <c r="A18" s="1949"/>
      <c r="B18" s="1818" t="s">
        <v>20</v>
      </c>
      <c r="C18" s="2065" t="s">
        <v>2183</v>
      </c>
      <c r="D18" s="1965"/>
      <c r="E18" s="2071" t="str">
        <f t="shared" si="0"/>
        <v>01.01.08.</v>
      </c>
      <c r="F18" s="2072"/>
      <c r="G18" s="2073"/>
      <c r="H18" s="2074" t="s">
        <v>2176</v>
      </c>
      <c r="I18" s="2075"/>
      <c r="J18" s="1947"/>
      <c r="K18" s="1947"/>
      <c r="L18" s="1947"/>
      <c r="M18" s="1949"/>
      <c r="N18" s="1949"/>
      <c r="O18" s="1949"/>
      <c r="P18" s="1949"/>
      <c r="Q18" s="1949"/>
      <c r="R18" s="1949"/>
      <c r="S18" s="1949"/>
      <c r="T18" s="1949"/>
      <c r="U18" s="1949"/>
      <c r="V18" s="1949"/>
      <c r="W18" s="1949"/>
      <c r="X18" s="1949"/>
      <c r="Y18" s="1949"/>
      <c r="Z18" s="1949"/>
    </row>
    <row r="19" spans="1:26" s="1100" customFormat="1" ht="30" customHeight="1">
      <c r="A19" s="1949"/>
      <c r="B19" s="1818" t="s">
        <v>20</v>
      </c>
      <c r="C19" s="2065" t="s">
        <v>2184</v>
      </c>
      <c r="D19" s="1965"/>
      <c r="E19" s="2071" t="str">
        <f t="shared" si="0"/>
        <v>01.01.09.</v>
      </c>
      <c r="F19" s="2072"/>
      <c r="G19" s="2073"/>
      <c r="H19" s="2074" t="s">
        <v>2176</v>
      </c>
      <c r="I19" s="2075"/>
      <c r="J19" s="1947"/>
      <c r="K19" s="1947"/>
      <c r="L19" s="1947"/>
      <c r="M19" s="1949"/>
      <c r="N19" s="1949"/>
      <c r="O19" s="1949"/>
      <c r="P19" s="1949"/>
      <c r="Q19" s="1949"/>
      <c r="R19" s="1949"/>
      <c r="S19" s="1949"/>
      <c r="T19" s="1949"/>
      <c r="U19" s="1949"/>
      <c r="V19" s="1949"/>
      <c r="W19" s="1949"/>
      <c r="X19" s="1949"/>
      <c r="Y19" s="1949"/>
      <c r="Z19" s="1949"/>
    </row>
    <row r="20" spans="1:26" s="1100" customFormat="1" ht="30" customHeight="1">
      <c r="A20" s="1949"/>
      <c r="B20" s="1818" t="s">
        <v>20</v>
      </c>
      <c r="C20" s="2065" t="s">
        <v>2185</v>
      </c>
      <c r="D20" s="1965"/>
      <c r="E20" s="2077" t="str">
        <f t="shared" si="0"/>
        <v>01.01.10.</v>
      </c>
      <c r="F20" s="2078"/>
      <c r="G20" s="2079"/>
      <c r="H20" s="2080" t="s">
        <v>2176</v>
      </c>
      <c r="I20" s="2081"/>
      <c r="J20" s="1947"/>
      <c r="K20" s="1947"/>
      <c r="L20" s="1947"/>
      <c r="M20" s="1949"/>
      <c r="N20" s="1949"/>
      <c r="O20" s="1949"/>
      <c r="P20" s="1949"/>
      <c r="Q20" s="1949"/>
      <c r="R20" s="1949"/>
      <c r="S20" s="1949"/>
      <c r="T20" s="1949"/>
      <c r="U20" s="1949"/>
      <c r="V20" s="1949"/>
      <c r="W20" s="1949"/>
      <c r="X20" s="1949"/>
      <c r="Y20" s="1949"/>
      <c r="Z20" s="1949"/>
    </row>
    <row r="21" spans="1:26" s="1100" customFormat="1" ht="39.950000000000003" customHeight="1">
      <c r="A21" s="1949"/>
      <c r="B21" s="2082" t="s">
        <v>20</v>
      </c>
      <c r="C21" s="2059" t="s">
        <v>2186</v>
      </c>
      <c r="D21" s="2083"/>
      <c r="E21" s="2084" t="str">
        <f t="shared" si="0"/>
        <v>01.02.00.</v>
      </c>
      <c r="F21" s="2085"/>
      <c r="G21" s="2086" t="s">
        <v>2187</v>
      </c>
      <c r="H21" s="2087"/>
      <c r="I21" s="2088">
        <f>SUM(I22:I31)</f>
        <v>0</v>
      </c>
      <c r="J21" s="1947"/>
      <c r="K21" s="1947"/>
      <c r="L21" s="1947"/>
      <c r="M21" s="1949"/>
      <c r="N21" s="1949"/>
      <c r="O21" s="1949"/>
      <c r="P21" s="1949"/>
      <c r="Q21" s="1949"/>
      <c r="R21" s="1949"/>
      <c r="S21" s="1949"/>
      <c r="T21" s="1949"/>
      <c r="U21" s="1949"/>
      <c r="V21" s="1949"/>
      <c r="W21" s="1949"/>
      <c r="X21" s="1949"/>
      <c r="Y21" s="1949"/>
      <c r="Z21" s="1949"/>
    </row>
    <row r="22" spans="1:26" s="1100" customFormat="1" ht="30" customHeight="1">
      <c r="A22" s="1949"/>
      <c r="B22" s="1818" t="s">
        <v>20</v>
      </c>
      <c r="C22" s="2065" t="s">
        <v>2188</v>
      </c>
      <c r="D22" s="1965"/>
      <c r="E22" s="2066" t="str">
        <f t="shared" si="0"/>
        <v>01.02.01.</v>
      </c>
      <c r="F22" s="2089"/>
      <c r="G22" s="2068"/>
      <c r="H22" s="2090" t="s">
        <v>2189</v>
      </c>
      <c r="I22" s="2070"/>
      <c r="J22" s="1947"/>
      <c r="K22" s="1947"/>
      <c r="L22" s="1947"/>
      <c r="M22" s="1949"/>
      <c r="N22" s="1949"/>
      <c r="O22" s="1949"/>
      <c r="P22" s="1949"/>
      <c r="Q22" s="1949"/>
      <c r="R22" s="1949"/>
      <c r="S22" s="1949"/>
      <c r="T22" s="1949"/>
      <c r="U22" s="1949"/>
      <c r="V22" s="1949"/>
      <c r="W22" s="1949"/>
      <c r="X22" s="1949"/>
      <c r="Y22" s="1949"/>
      <c r="Z22" s="1949"/>
    </row>
    <row r="23" spans="1:26" s="1100" customFormat="1" ht="30" customHeight="1">
      <c r="A23" s="1949"/>
      <c r="B23" s="1818" t="s">
        <v>20</v>
      </c>
      <c r="C23" s="2065" t="s">
        <v>2190</v>
      </c>
      <c r="D23" s="1965"/>
      <c r="E23" s="2071" t="str">
        <f t="shared" si="0"/>
        <v>01.02.02.</v>
      </c>
      <c r="F23" s="2091"/>
      <c r="G23" s="2073"/>
      <c r="H23" s="2090" t="s">
        <v>2189</v>
      </c>
      <c r="I23" s="2075"/>
      <c r="J23" s="1947"/>
      <c r="K23" s="1947"/>
      <c r="L23" s="1947"/>
      <c r="M23" s="1949"/>
      <c r="N23" s="1949"/>
      <c r="O23" s="1949"/>
      <c r="P23" s="1949"/>
      <c r="Q23" s="1949"/>
      <c r="R23" s="1949"/>
      <c r="S23" s="1949"/>
      <c r="T23" s="1949"/>
      <c r="U23" s="1949"/>
      <c r="V23" s="1949"/>
      <c r="W23" s="1949"/>
      <c r="X23" s="1949"/>
      <c r="Y23" s="1949"/>
      <c r="Z23" s="1949"/>
    </row>
    <row r="24" spans="1:26" s="1100" customFormat="1" ht="30" customHeight="1">
      <c r="A24" s="1949"/>
      <c r="B24" s="1818" t="s">
        <v>20</v>
      </c>
      <c r="C24" s="2065" t="s">
        <v>2191</v>
      </c>
      <c r="D24" s="1965"/>
      <c r="E24" s="2071" t="str">
        <f t="shared" si="0"/>
        <v>01.02.03.</v>
      </c>
      <c r="F24" s="2091"/>
      <c r="G24" s="2073"/>
      <c r="H24" s="2090" t="s">
        <v>2189</v>
      </c>
      <c r="I24" s="2075"/>
      <c r="J24" s="1947"/>
      <c r="K24" s="1947"/>
      <c r="L24" s="1947"/>
      <c r="M24" s="1949"/>
      <c r="N24" s="1949"/>
      <c r="O24" s="1949"/>
      <c r="P24" s="1949"/>
      <c r="Q24" s="1949"/>
      <c r="R24" s="1949"/>
      <c r="S24" s="1949"/>
      <c r="T24" s="1949"/>
      <c r="U24" s="1949"/>
      <c r="V24" s="1949"/>
      <c r="W24" s="1949"/>
      <c r="X24" s="1949"/>
      <c r="Y24" s="1949"/>
      <c r="Z24" s="1949"/>
    </row>
    <row r="25" spans="1:26" s="1100" customFormat="1" ht="30" customHeight="1">
      <c r="A25" s="1949"/>
      <c r="B25" s="1818" t="s">
        <v>20</v>
      </c>
      <c r="C25" s="2065" t="s">
        <v>2192</v>
      </c>
      <c r="D25" s="1965"/>
      <c r="E25" s="2071" t="str">
        <f t="shared" si="0"/>
        <v>01.02.04.</v>
      </c>
      <c r="F25" s="2091"/>
      <c r="G25" s="2073"/>
      <c r="H25" s="2090" t="s">
        <v>2189</v>
      </c>
      <c r="I25" s="2075"/>
      <c r="J25" s="1947"/>
      <c r="K25" s="1947"/>
      <c r="L25" s="1947"/>
      <c r="M25" s="1949"/>
      <c r="N25" s="1949"/>
      <c r="O25" s="1949"/>
      <c r="P25" s="1949"/>
      <c r="Q25" s="1949"/>
      <c r="R25" s="1949"/>
      <c r="S25" s="1949"/>
      <c r="T25" s="1949"/>
      <c r="U25" s="1949"/>
      <c r="V25" s="1949"/>
      <c r="W25" s="1949"/>
      <c r="X25" s="1949"/>
      <c r="Y25" s="1949"/>
      <c r="Z25" s="1949"/>
    </row>
    <row r="26" spans="1:26" s="1100" customFormat="1" ht="30" customHeight="1">
      <c r="A26" s="1949"/>
      <c r="B26" s="1818" t="s">
        <v>20</v>
      </c>
      <c r="C26" s="2065" t="s">
        <v>2193</v>
      </c>
      <c r="D26" s="1965"/>
      <c r="E26" s="2071" t="str">
        <f t="shared" si="0"/>
        <v>01.02.05.</v>
      </c>
      <c r="F26" s="2091"/>
      <c r="G26" s="2073"/>
      <c r="H26" s="2090" t="s">
        <v>2189</v>
      </c>
      <c r="I26" s="2075"/>
      <c r="J26" s="1947"/>
      <c r="K26" s="1947"/>
      <c r="L26" s="1947"/>
      <c r="M26" s="1949"/>
      <c r="N26" s="1949"/>
      <c r="O26" s="1949"/>
      <c r="P26" s="1949"/>
      <c r="Q26" s="1949"/>
      <c r="R26" s="1949"/>
      <c r="S26" s="1949"/>
      <c r="T26" s="1949"/>
      <c r="U26" s="1949"/>
      <c r="V26" s="1949"/>
      <c r="W26" s="1949"/>
      <c r="X26" s="1949"/>
      <c r="Y26" s="1949"/>
      <c r="Z26" s="1949"/>
    </row>
    <row r="27" spans="1:26" s="1100" customFormat="1" ht="30" customHeight="1">
      <c r="A27" s="1949"/>
      <c r="B27" s="1818" t="s">
        <v>20</v>
      </c>
      <c r="C27" s="2065" t="s">
        <v>2194</v>
      </c>
      <c r="D27" s="1965"/>
      <c r="E27" s="2092" t="str">
        <f t="shared" si="0"/>
        <v>01.02.06.</v>
      </c>
      <c r="F27" s="2093"/>
      <c r="G27" s="2094"/>
      <c r="H27" s="2090" t="s">
        <v>2189</v>
      </c>
      <c r="I27" s="2076"/>
      <c r="J27" s="1947"/>
      <c r="K27" s="1947"/>
      <c r="L27" s="1947"/>
      <c r="M27" s="1949"/>
      <c r="N27" s="1949"/>
      <c r="O27" s="1949"/>
      <c r="P27" s="1949"/>
      <c r="Q27" s="1949"/>
      <c r="R27" s="1949"/>
      <c r="S27" s="1949"/>
      <c r="T27" s="1949"/>
      <c r="U27" s="1949"/>
      <c r="V27" s="1949"/>
      <c r="W27" s="1949"/>
      <c r="X27" s="1949"/>
      <c r="Y27" s="1949"/>
      <c r="Z27" s="1949"/>
    </row>
    <row r="28" spans="1:26" s="1100" customFormat="1" ht="30" customHeight="1">
      <c r="A28" s="1949"/>
      <c r="B28" s="1818" t="s">
        <v>20</v>
      </c>
      <c r="C28" s="2065" t="s">
        <v>2195</v>
      </c>
      <c r="D28" s="1965"/>
      <c r="E28" s="2071" t="str">
        <f t="shared" si="0"/>
        <v>01.02.07.</v>
      </c>
      <c r="F28" s="2091"/>
      <c r="G28" s="2073"/>
      <c r="H28" s="2090" t="s">
        <v>2189</v>
      </c>
      <c r="I28" s="2075"/>
      <c r="J28" s="1947"/>
      <c r="K28" s="1947"/>
      <c r="L28" s="1947"/>
      <c r="M28" s="1949"/>
      <c r="N28" s="1949"/>
      <c r="O28" s="1949"/>
      <c r="P28" s="1949"/>
      <c r="Q28" s="1949"/>
      <c r="R28" s="1949"/>
      <c r="S28" s="1949"/>
      <c r="T28" s="1949"/>
      <c r="U28" s="1949"/>
      <c r="V28" s="1949"/>
      <c r="W28" s="1949"/>
      <c r="X28" s="1949"/>
      <c r="Y28" s="1949"/>
      <c r="Z28" s="1949"/>
    </row>
    <row r="29" spans="1:26" s="1100" customFormat="1" ht="30" customHeight="1">
      <c r="A29" s="1949"/>
      <c r="B29" s="1818" t="s">
        <v>20</v>
      </c>
      <c r="C29" s="2065" t="s">
        <v>2196</v>
      </c>
      <c r="D29" s="1965"/>
      <c r="E29" s="2071" t="str">
        <f t="shared" si="0"/>
        <v>01.02.08.</v>
      </c>
      <c r="F29" s="2091"/>
      <c r="G29" s="2073"/>
      <c r="H29" s="2090" t="s">
        <v>2189</v>
      </c>
      <c r="I29" s="2075"/>
      <c r="J29" s="1947"/>
      <c r="K29" s="1947"/>
      <c r="L29" s="1947"/>
      <c r="M29" s="1949"/>
      <c r="N29" s="1949"/>
      <c r="O29" s="1949"/>
      <c r="P29" s="1949"/>
      <c r="Q29" s="1949"/>
      <c r="R29" s="1949"/>
      <c r="S29" s="1949"/>
      <c r="T29" s="1949"/>
      <c r="U29" s="1949"/>
      <c r="V29" s="1949"/>
      <c r="W29" s="1949"/>
      <c r="X29" s="1949"/>
      <c r="Y29" s="1949"/>
      <c r="Z29" s="1949"/>
    </row>
    <row r="30" spans="1:26" s="1100" customFormat="1" ht="30" customHeight="1">
      <c r="A30" s="1949"/>
      <c r="B30" s="1818" t="s">
        <v>20</v>
      </c>
      <c r="C30" s="2065" t="s">
        <v>2197</v>
      </c>
      <c r="D30" s="1965"/>
      <c r="E30" s="2071" t="str">
        <f t="shared" si="0"/>
        <v>01.02.09.</v>
      </c>
      <c r="F30" s="2091"/>
      <c r="G30" s="2073"/>
      <c r="H30" s="2090" t="s">
        <v>2189</v>
      </c>
      <c r="I30" s="2075"/>
      <c r="J30" s="1947"/>
      <c r="K30" s="1947"/>
      <c r="L30" s="1947"/>
      <c r="M30" s="1949"/>
      <c r="N30" s="1949"/>
      <c r="O30" s="1949"/>
      <c r="P30" s="1949"/>
      <c r="Q30" s="1949"/>
      <c r="R30" s="1949"/>
      <c r="S30" s="1949"/>
      <c r="T30" s="1949"/>
      <c r="U30" s="1949"/>
      <c r="V30" s="1949"/>
      <c r="W30" s="1949"/>
      <c r="X30" s="1949"/>
      <c r="Y30" s="1949"/>
      <c r="Z30" s="1949"/>
    </row>
    <row r="31" spans="1:26" s="1100" customFormat="1" ht="30" customHeight="1" thickBot="1">
      <c r="A31" s="1949"/>
      <c r="B31" s="1819" t="s">
        <v>20</v>
      </c>
      <c r="C31" s="2095" t="s">
        <v>2198</v>
      </c>
      <c r="D31" s="1965"/>
      <c r="E31" s="2096" t="str">
        <f t="shared" si="0"/>
        <v>01.02.10.</v>
      </c>
      <c r="F31" s="2097"/>
      <c r="G31" s="2098"/>
      <c r="H31" s="2090" t="s">
        <v>2189</v>
      </c>
      <c r="I31" s="2099"/>
      <c r="J31" s="1947"/>
      <c r="K31" s="1947"/>
      <c r="L31" s="1947"/>
      <c r="M31" s="1949"/>
      <c r="N31" s="1949"/>
      <c r="O31" s="1949"/>
      <c r="P31" s="1949"/>
      <c r="Q31" s="1949"/>
      <c r="R31" s="1949"/>
      <c r="S31" s="1949"/>
      <c r="T31" s="1949"/>
      <c r="U31" s="1949"/>
      <c r="V31" s="1949"/>
      <c r="W31" s="1949"/>
      <c r="X31" s="1949"/>
      <c r="Y31" s="1949"/>
      <c r="Z31" s="1949"/>
    </row>
    <row r="32" spans="1:26" s="1100" customFormat="1" ht="27.75" customHeight="1" thickTop="1">
      <c r="A32" s="1949"/>
      <c r="B32" s="1455"/>
      <c r="C32" s="1455"/>
      <c r="D32" s="1965"/>
      <c r="E32" s="201" t="s">
        <v>2199</v>
      </c>
      <c r="F32" s="527"/>
      <c r="G32" s="2100"/>
      <c r="H32" s="2101"/>
      <c r="I32" s="2102"/>
      <c r="J32" s="1947"/>
      <c r="K32" s="1947"/>
      <c r="L32" s="1947"/>
      <c r="M32" s="1949"/>
      <c r="N32" s="1949"/>
      <c r="O32" s="1949"/>
      <c r="P32" s="1949"/>
      <c r="Q32" s="1949"/>
      <c r="R32" s="1949"/>
      <c r="S32" s="1949"/>
      <c r="T32" s="1949"/>
      <c r="U32" s="1949"/>
      <c r="V32" s="1949"/>
      <c r="W32" s="1949"/>
      <c r="X32" s="1949"/>
      <c r="Y32" s="1949"/>
      <c r="Z32" s="1949"/>
    </row>
    <row r="33" spans="1:26" s="1949" customFormat="1" ht="18">
      <c r="B33" s="2054"/>
      <c r="C33" s="2054">
        <v>1</v>
      </c>
      <c r="D33" s="1965"/>
      <c r="E33" s="529" t="str">
        <f>C33&amp;"/ "&amp;"Personas naturales o jurídicas."</f>
        <v>1/ Personas naturales o jurídicas.</v>
      </c>
      <c r="F33" s="530"/>
      <c r="G33" s="2103"/>
      <c r="H33" s="2104"/>
      <c r="I33" s="2105"/>
      <c r="J33" s="1947"/>
      <c r="K33" s="1947"/>
      <c r="L33" s="1947"/>
    </row>
    <row r="34" spans="1:26" s="1949" customFormat="1" ht="18.75" thickBot="1">
      <c r="B34" s="2054"/>
      <c r="C34" s="531">
        <f>COUNTA($C$33:C33)+1</f>
        <v>2</v>
      </c>
      <c r="D34" s="1965"/>
      <c r="E34" s="1966" t="str">
        <f>C34&amp;"/ "&amp;"Incluya solo a propietarios que poseen el 10% o más de las acciones y participaciones de capital con derecho a voto."</f>
        <v>2/ Incluya solo a propietarios que poseen el 10% o más de las acciones y participaciones de capital con derecho a voto.</v>
      </c>
      <c r="F34" s="2106"/>
      <c r="G34" s="2107"/>
      <c r="H34" s="2108"/>
      <c r="I34" s="2109"/>
      <c r="J34" s="1947"/>
      <c r="K34" s="1947"/>
      <c r="L34" s="1947"/>
    </row>
    <row r="35" spans="1:26" s="1949" customFormat="1" ht="15.75" customHeight="1" thickTop="1">
      <c r="B35" s="2054"/>
      <c r="C35" s="2054"/>
      <c r="D35" s="1965"/>
      <c r="E35" s="906"/>
      <c r="F35" s="906"/>
      <c r="G35" s="2103"/>
      <c r="H35" s="2104"/>
      <c r="I35" s="2110"/>
      <c r="J35" s="1947"/>
      <c r="K35" s="1947"/>
      <c r="L35" s="1947"/>
    </row>
    <row r="36" spans="1:26" s="1949" customFormat="1" ht="15" customHeight="1">
      <c r="B36" s="2054"/>
      <c r="C36" s="2054"/>
      <c r="D36" s="1965"/>
      <c r="E36" s="2111"/>
      <c r="F36" s="2111"/>
      <c r="G36" s="2112"/>
      <c r="H36" s="2113"/>
      <c r="I36" s="2114"/>
      <c r="J36" s="1947"/>
      <c r="K36" s="1947"/>
      <c r="L36" s="1947"/>
    </row>
    <row r="37" spans="1:26" s="1949" customFormat="1" ht="15.75" customHeight="1">
      <c r="B37" s="2054"/>
      <c r="C37" s="2054"/>
      <c r="D37" s="2054"/>
      <c r="E37" s="2054"/>
      <c r="F37" s="2054"/>
      <c r="G37" s="2054"/>
      <c r="H37" s="2054"/>
      <c r="I37" s="2054"/>
      <c r="J37" s="1947"/>
      <c r="K37" s="1947"/>
      <c r="L37" s="1947"/>
    </row>
    <row r="38" spans="1:26" s="1949" customFormat="1" ht="30.75" customHeight="1" thickBot="1">
      <c r="B38" s="2054"/>
      <c r="C38" s="2054"/>
      <c r="D38" s="1965"/>
      <c r="E38" s="2238" t="s">
        <v>2200</v>
      </c>
      <c r="F38" s="2238"/>
      <c r="G38" s="2239"/>
      <c r="H38" s="2239"/>
      <c r="I38" s="2239"/>
      <c r="J38" s="1947"/>
      <c r="K38" s="1947"/>
      <c r="L38" s="1947"/>
    </row>
    <row r="39" spans="1:26" s="1100" customFormat="1" ht="39.75" customHeight="1" thickTop="1">
      <c r="A39" s="1949"/>
      <c r="B39" s="2227" t="str">
        <f ca="1">RIGHT(CELL("nombrearchivo",A30),LEN(CELL("nombrearchivo",A30))-SEARCH("]",CELL("nombrearchivo",A30)))</f>
        <v>Panorama A.</v>
      </c>
      <c r="C39" s="2228"/>
      <c r="D39" s="2055"/>
      <c r="E39" s="2229" t="s">
        <v>2169</v>
      </c>
      <c r="F39" s="2222" t="s">
        <v>4477</v>
      </c>
      <c r="G39" s="2231" t="str">
        <f>"R A Z Ó N   S O C I A L  "&amp;C64&amp;"/"</f>
        <v>R A Z Ó N   S O C I A L  1/</v>
      </c>
      <c r="H39" s="2222" t="s">
        <v>2170</v>
      </c>
      <c r="I39" s="2242" t="str">
        <f>"PORCENTAJE DE LA PROPIEDAD "&amp;$C$65&amp;"/
"&amp;"(con dos decimales)"</f>
        <v>PORCENTAJE DE LA PROPIEDAD 2/
(con dos decimales)</v>
      </c>
      <c r="J39" s="1947"/>
      <c r="K39" s="1947"/>
      <c r="L39" s="1947"/>
      <c r="M39" s="1949"/>
      <c r="N39" s="1949"/>
      <c r="O39" s="1949"/>
      <c r="P39" s="1949"/>
      <c r="Q39" s="1949"/>
      <c r="R39" s="1949"/>
      <c r="S39" s="1949"/>
      <c r="T39" s="1949"/>
      <c r="U39" s="1949"/>
      <c r="V39" s="1949"/>
      <c r="W39" s="1949"/>
      <c r="X39" s="1949"/>
      <c r="Y39" s="1949"/>
      <c r="Z39" s="1949"/>
    </row>
    <row r="40" spans="1:26" s="1948" customFormat="1" ht="32.25" customHeight="1" thickBot="1">
      <c r="A40" s="1947"/>
      <c r="B40" s="2056" t="s">
        <v>2171</v>
      </c>
      <c r="C40" s="2057" t="s">
        <v>2172</v>
      </c>
      <c r="D40" s="2055"/>
      <c r="E40" s="2230"/>
      <c r="F40" s="2223"/>
      <c r="G40" s="2232"/>
      <c r="H40" s="2223"/>
      <c r="I40" s="2243"/>
      <c r="J40" s="1947"/>
      <c r="K40" s="1947"/>
      <c r="L40" s="1947"/>
      <c r="M40" s="1947"/>
      <c r="N40" s="1947"/>
      <c r="O40" s="1947"/>
      <c r="P40" s="1947"/>
      <c r="Q40" s="1947"/>
      <c r="R40" s="1947"/>
      <c r="S40" s="1947"/>
      <c r="T40" s="1947"/>
      <c r="U40" s="1947"/>
      <c r="V40" s="1947"/>
      <c r="W40" s="1947"/>
      <c r="X40" s="1947"/>
      <c r="Y40" s="1947"/>
      <c r="Z40" s="1947"/>
    </row>
    <row r="41" spans="1:26" s="1100" customFormat="1" ht="39.950000000000003" customHeight="1" thickTop="1">
      <c r="A41" s="1949"/>
      <c r="B41" s="2082" t="s">
        <v>20</v>
      </c>
      <c r="C41" s="2059" t="s">
        <v>2201</v>
      </c>
      <c r="D41" s="2083"/>
      <c r="E41" s="2060" t="str">
        <f t="shared" ref="E41:E62" si="1">+C41</f>
        <v>02.01.00.</v>
      </c>
      <c r="F41" s="2061"/>
      <c r="G41" s="2062" t="s">
        <v>2202</v>
      </c>
      <c r="H41" s="2063"/>
      <c r="I41" s="2064"/>
      <c r="J41" s="1947"/>
      <c r="K41" s="1947"/>
      <c r="L41" s="1947"/>
      <c r="M41" s="1949"/>
      <c r="N41" s="1949"/>
      <c r="O41" s="1949"/>
      <c r="P41" s="1949"/>
      <c r="Q41" s="1949"/>
      <c r="R41" s="1949"/>
      <c r="S41" s="1949"/>
      <c r="T41" s="1949"/>
      <c r="U41" s="1949"/>
      <c r="V41" s="1949"/>
      <c r="W41" s="1949"/>
      <c r="X41" s="1949"/>
      <c r="Y41" s="1949"/>
      <c r="Z41" s="1949"/>
    </row>
    <row r="42" spans="1:26" s="1100" customFormat="1" ht="30" customHeight="1">
      <c r="A42" s="1949"/>
      <c r="B42" s="1818" t="s">
        <v>20</v>
      </c>
      <c r="C42" s="2065" t="s">
        <v>2203</v>
      </c>
      <c r="D42" s="1965"/>
      <c r="E42" s="2066" t="str">
        <f t="shared" si="1"/>
        <v>02.01.01.</v>
      </c>
      <c r="F42" s="2115"/>
      <c r="G42" s="2068"/>
      <c r="H42" s="2069" t="s">
        <v>2176</v>
      </c>
      <c r="I42" s="2070"/>
      <c r="J42" s="1947"/>
      <c r="K42" s="1947"/>
      <c r="L42" s="1947"/>
      <c r="M42" s="1949"/>
      <c r="N42" s="1949"/>
      <c r="O42" s="1949"/>
      <c r="P42" s="1949"/>
      <c r="Q42" s="1949"/>
      <c r="R42" s="1949"/>
      <c r="S42" s="1949"/>
      <c r="T42" s="1949"/>
      <c r="U42" s="1949"/>
      <c r="V42" s="1949"/>
      <c r="W42" s="1949"/>
      <c r="X42" s="1949"/>
      <c r="Y42" s="1949"/>
      <c r="Z42" s="1949"/>
    </row>
    <row r="43" spans="1:26" s="1100" customFormat="1" ht="30" customHeight="1">
      <c r="A43" s="1949"/>
      <c r="B43" s="1818" t="s">
        <v>20</v>
      </c>
      <c r="C43" s="2065" t="s">
        <v>2204</v>
      </c>
      <c r="D43" s="1965"/>
      <c r="E43" s="2071" t="str">
        <f t="shared" si="1"/>
        <v>02.01.02.</v>
      </c>
      <c r="F43" s="2116"/>
      <c r="G43" s="2073"/>
      <c r="H43" s="2074" t="s">
        <v>2176</v>
      </c>
      <c r="I43" s="2075"/>
      <c r="J43" s="1947"/>
      <c r="K43" s="1947"/>
      <c r="L43" s="1947"/>
      <c r="M43" s="1949"/>
      <c r="N43" s="1949"/>
      <c r="O43" s="1949"/>
      <c r="P43" s="1949"/>
      <c r="Q43" s="1949"/>
      <c r="R43" s="1949"/>
      <c r="S43" s="1949"/>
      <c r="T43" s="1949"/>
      <c r="U43" s="1949"/>
      <c r="V43" s="1949"/>
      <c r="W43" s="1949"/>
      <c r="X43" s="1949"/>
      <c r="Y43" s="1949"/>
      <c r="Z43" s="1949"/>
    </row>
    <row r="44" spans="1:26" s="1100" customFormat="1" ht="30" customHeight="1">
      <c r="A44" s="1949"/>
      <c r="B44" s="1818" t="s">
        <v>20</v>
      </c>
      <c r="C44" s="2065" t="s">
        <v>2205</v>
      </c>
      <c r="D44" s="1965"/>
      <c r="E44" s="2071" t="str">
        <f t="shared" si="1"/>
        <v>02.01.03.</v>
      </c>
      <c r="F44" s="2116"/>
      <c r="G44" s="2073"/>
      <c r="H44" s="2074" t="s">
        <v>2176</v>
      </c>
      <c r="I44" s="2075"/>
      <c r="J44" s="1947"/>
      <c r="K44" s="1947"/>
      <c r="L44" s="1947"/>
      <c r="M44" s="1949"/>
      <c r="N44" s="1949"/>
      <c r="O44" s="1949"/>
      <c r="P44" s="1949"/>
      <c r="Q44" s="1949"/>
      <c r="R44" s="1949"/>
      <c r="S44" s="1949"/>
      <c r="T44" s="1949"/>
      <c r="U44" s="1949"/>
      <c r="V44" s="1949"/>
      <c r="W44" s="1949"/>
      <c r="X44" s="1949"/>
      <c r="Y44" s="1949"/>
      <c r="Z44" s="1949"/>
    </row>
    <row r="45" spans="1:26" s="1100" customFormat="1" ht="30" customHeight="1">
      <c r="A45" s="1949"/>
      <c r="B45" s="1818" t="s">
        <v>20</v>
      </c>
      <c r="C45" s="2065" t="s">
        <v>2206</v>
      </c>
      <c r="D45" s="1965"/>
      <c r="E45" s="2071" t="str">
        <f t="shared" si="1"/>
        <v>02.01.04.</v>
      </c>
      <c r="F45" s="2116"/>
      <c r="G45" s="2073"/>
      <c r="H45" s="2074" t="s">
        <v>2176</v>
      </c>
      <c r="I45" s="2075"/>
      <c r="J45" s="1947"/>
      <c r="K45" s="1947"/>
      <c r="L45" s="1947"/>
      <c r="M45" s="1949"/>
      <c r="N45" s="1949"/>
      <c r="O45" s="1949"/>
      <c r="P45" s="1949"/>
      <c r="Q45" s="1949"/>
      <c r="R45" s="1949"/>
      <c r="S45" s="1949"/>
      <c r="T45" s="1949"/>
      <c r="U45" s="1949"/>
      <c r="V45" s="1949"/>
      <c r="W45" s="1949"/>
      <c r="X45" s="1949"/>
      <c r="Y45" s="1949"/>
      <c r="Z45" s="1949"/>
    </row>
    <row r="46" spans="1:26" s="1100" customFormat="1" ht="30" customHeight="1">
      <c r="A46" s="1949"/>
      <c r="B46" s="1818" t="s">
        <v>20</v>
      </c>
      <c r="C46" s="2065" t="s">
        <v>2207</v>
      </c>
      <c r="D46" s="1965"/>
      <c r="E46" s="2071" t="str">
        <f t="shared" si="1"/>
        <v>02.01.05.</v>
      </c>
      <c r="F46" s="2116"/>
      <c r="G46" s="2073"/>
      <c r="H46" s="2074" t="s">
        <v>2176</v>
      </c>
      <c r="I46" s="2075"/>
      <c r="J46" s="1947"/>
      <c r="K46" s="1947"/>
      <c r="L46" s="1947"/>
      <c r="M46" s="1949"/>
      <c r="N46" s="1949"/>
      <c r="O46" s="1949"/>
      <c r="P46" s="1949"/>
      <c r="Q46" s="1949"/>
      <c r="R46" s="1949"/>
      <c r="S46" s="1949"/>
      <c r="T46" s="1949"/>
      <c r="U46" s="1949"/>
      <c r="V46" s="1949"/>
      <c r="W46" s="1949"/>
      <c r="X46" s="1949"/>
      <c r="Y46" s="1949"/>
      <c r="Z46" s="1949"/>
    </row>
    <row r="47" spans="1:26" s="1100" customFormat="1" ht="30" customHeight="1">
      <c r="A47" s="1949"/>
      <c r="B47" s="1818" t="s">
        <v>20</v>
      </c>
      <c r="C47" s="2065" t="s">
        <v>2208</v>
      </c>
      <c r="D47" s="1965"/>
      <c r="E47" s="2071" t="str">
        <f t="shared" si="1"/>
        <v>02.01.06.</v>
      </c>
      <c r="F47" s="2116"/>
      <c r="G47" s="2073"/>
      <c r="H47" s="2074" t="s">
        <v>2176</v>
      </c>
      <c r="I47" s="2076"/>
      <c r="J47" s="1947"/>
      <c r="K47" s="1947"/>
      <c r="L47" s="1947"/>
      <c r="M47" s="1949"/>
      <c r="N47" s="1949"/>
      <c r="O47" s="1949"/>
      <c r="P47" s="1949"/>
      <c r="Q47" s="1949"/>
      <c r="R47" s="1949"/>
      <c r="S47" s="1949"/>
      <c r="T47" s="1949"/>
      <c r="U47" s="1949"/>
      <c r="V47" s="1949"/>
      <c r="W47" s="1949"/>
      <c r="X47" s="1949"/>
      <c r="Y47" s="1949"/>
      <c r="Z47" s="1949"/>
    </row>
    <row r="48" spans="1:26" s="1100" customFormat="1" ht="30" customHeight="1">
      <c r="A48" s="1949"/>
      <c r="B48" s="1818" t="s">
        <v>20</v>
      </c>
      <c r="C48" s="2065" t="s">
        <v>2209</v>
      </c>
      <c r="D48" s="1965"/>
      <c r="E48" s="2071" t="str">
        <f t="shared" si="1"/>
        <v>02.01.07.</v>
      </c>
      <c r="F48" s="2116"/>
      <c r="G48" s="2073"/>
      <c r="H48" s="2074" t="s">
        <v>2176</v>
      </c>
      <c r="I48" s="2075"/>
      <c r="J48" s="1947"/>
      <c r="K48" s="1947"/>
      <c r="L48" s="1947"/>
      <c r="M48" s="1949"/>
      <c r="N48" s="1949"/>
      <c r="O48" s="1949"/>
      <c r="P48" s="1949"/>
      <c r="Q48" s="1949"/>
      <c r="R48" s="1949"/>
      <c r="S48" s="1949"/>
      <c r="T48" s="1949"/>
      <c r="U48" s="1949"/>
      <c r="V48" s="1949"/>
      <c r="W48" s="1949"/>
      <c r="X48" s="1949"/>
      <c r="Y48" s="1949"/>
      <c r="Z48" s="1949"/>
    </row>
    <row r="49" spans="1:26" s="1100" customFormat="1" ht="30" customHeight="1">
      <c r="A49" s="1949"/>
      <c r="B49" s="1818" t="s">
        <v>20</v>
      </c>
      <c r="C49" s="2065" t="s">
        <v>2210</v>
      </c>
      <c r="D49" s="1965"/>
      <c r="E49" s="2071" t="str">
        <f t="shared" si="1"/>
        <v>02.01.08.</v>
      </c>
      <c r="F49" s="2116"/>
      <c r="G49" s="2073"/>
      <c r="H49" s="2074" t="s">
        <v>2176</v>
      </c>
      <c r="I49" s="2075"/>
      <c r="J49" s="1947"/>
      <c r="K49" s="1947"/>
      <c r="L49" s="1947"/>
      <c r="M49" s="1949"/>
      <c r="N49" s="1949"/>
      <c r="O49" s="1949"/>
      <c r="P49" s="1949"/>
      <c r="Q49" s="1949"/>
      <c r="R49" s="1949"/>
      <c r="S49" s="1949"/>
      <c r="T49" s="1949"/>
      <c r="U49" s="1949"/>
      <c r="V49" s="1949"/>
      <c r="W49" s="1949"/>
      <c r="X49" s="1949"/>
      <c r="Y49" s="1949"/>
      <c r="Z49" s="1949"/>
    </row>
    <row r="50" spans="1:26" s="1100" customFormat="1" ht="30" customHeight="1">
      <c r="A50" s="1949"/>
      <c r="B50" s="1818" t="s">
        <v>20</v>
      </c>
      <c r="C50" s="2065" t="s">
        <v>2211</v>
      </c>
      <c r="D50" s="1965"/>
      <c r="E50" s="2071" t="str">
        <f t="shared" si="1"/>
        <v>02.01.09.</v>
      </c>
      <c r="F50" s="2116"/>
      <c r="G50" s="2073"/>
      <c r="H50" s="2074" t="s">
        <v>2176</v>
      </c>
      <c r="I50" s="2075"/>
      <c r="J50" s="1947"/>
      <c r="K50" s="1947"/>
      <c r="L50" s="1947"/>
      <c r="M50" s="1949"/>
      <c r="N50" s="1949"/>
      <c r="O50" s="1949"/>
      <c r="P50" s="1949"/>
      <c r="Q50" s="1949"/>
      <c r="R50" s="1949"/>
      <c r="S50" s="1949"/>
      <c r="T50" s="1949"/>
      <c r="U50" s="1949"/>
      <c r="V50" s="1949"/>
      <c r="W50" s="1949"/>
      <c r="X50" s="1949"/>
      <c r="Y50" s="1949"/>
      <c r="Z50" s="1949"/>
    </row>
    <row r="51" spans="1:26" s="1100" customFormat="1" ht="30" customHeight="1">
      <c r="A51" s="1949"/>
      <c r="B51" s="1818" t="s">
        <v>20</v>
      </c>
      <c r="C51" s="2065" t="s">
        <v>2212</v>
      </c>
      <c r="D51" s="1965"/>
      <c r="E51" s="2077" t="str">
        <f t="shared" si="1"/>
        <v>02.01.10.</v>
      </c>
      <c r="F51" s="2117"/>
      <c r="G51" s="2079"/>
      <c r="H51" s="2080" t="s">
        <v>2176</v>
      </c>
      <c r="I51" s="2081"/>
      <c r="J51" s="1947"/>
      <c r="K51" s="1947"/>
      <c r="L51" s="1947"/>
      <c r="M51" s="1949"/>
      <c r="N51" s="1949"/>
      <c r="O51" s="1949"/>
      <c r="P51" s="1949"/>
      <c r="Q51" s="1949"/>
      <c r="R51" s="1949"/>
      <c r="S51" s="1949"/>
      <c r="T51" s="1949"/>
      <c r="U51" s="1949"/>
      <c r="V51" s="1949"/>
      <c r="W51" s="1949"/>
      <c r="X51" s="1949"/>
      <c r="Y51" s="1949"/>
      <c r="Z51" s="1949"/>
    </row>
    <row r="52" spans="1:26" s="1100" customFormat="1" ht="39.950000000000003" customHeight="1">
      <c r="A52" s="1949"/>
      <c r="B52" s="2082" t="s">
        <v>20</v>
      </c>
      <c r="C52" s="2059" t="s">
        <v>2213</v>
      </c>
      <c r="D52" s="2083"/>
      <c r="E52" s="2084" t="str">
        <f t="shared" si="1"/>
        <v>02.02.00.</v>
      </c>
      <c r="F52" s="2085"/>
      <c r="G52" s="2086" t="s">
        <v>2214</v>
      </c>
      <c r="H52" s="2087"/>
      <c r="I52" s="2088"/>
      <c r="J52" s="1947"/>
      <c r="K52" s="1947"/>
      <c r="L52" s="1947"/>
      <c r="M52" s="1949"/>
      <c r="N52" s="1949"/>
      <c r="O52" s="1949"/>
      <c r="P52" s="1949"/>
      <c r="Q52" s="1949"/>
      <c r="R52" s="1949"/>
      <c r="S52" s="1949"/>
      <c r="T52" s="1949"/>
      <c r="U52" s="1949"/>
      <c r="V52" s="1949"/>
      <c r="W52" s="1949"/>
      <c r="X52" s="1949"/>
      <c r="Y52" s="1949"/>
      <c r="Z52" s="1949"/>
    </row>
    <row r="53" spans="1:26" s="1100" customFormat="1" ht="30" customHeight="1">
      <c r="A53" s="1949"/>
      <c r="B53" s="2118" t="s">
        <v>20</v>
      </c>
      <c r="C53" s="2065" t="s">
        <v>2215</v>
      </c>
      <c r="D53" s="1965"/>
      <c r="E53" s="2066" t="str">
        <f t="shared" si="1"/>
        <v>02.02.01.</v>
      </c>
      <c r="F53" s="2089"/>
      <c r="G53" s="2068"/>
      <c r="H53" s="2090" t="s">
        <v>2189</v>
      </c>
      <c r="I53" s="2070"/>
      <c r="J53" s="1947"/>
      <c r="K53" s="1947"/>
      <c r="L53" s="1947"/>
      <c r="M53" s="1949"/>
      <c r="N53" s="1949"/>
      <c r="O53" s="1949"/>
      <c r="P53" s="1949"/>
      <c r="Q53" s="1949"/>
      <c r="R53" s="1949"/>
      <c r="S53" s="1949"/>
      <c r="T53" s="1949"/>
      <c r="U53" s="1949"/>
      <c r="V53" s="1949"/>
      <c r="W53" s="1949"/>
      <c r="X53" s="1949"/>
      <c r="Y53" s="1949"/>
      <c r="Z53" s="1949"/>
    </row>
    <row r="54" spans="1:26" s="1100" customFormat="1" ht="30" customHeight="1">
      <c r="A54" s="1949"/>
      <c r="B54" s="1818" t="s">
        <v>20</v>
      </c>
      <c r="C54" s="2065" t="s">
        <v>2216</v>
      </c>
      <c r="D54" s="1965"/>
      <c r="E54" s="2071" t="str">
        <f t="shared" si="1"/>
        <v>02.02.02.</v>
      </c>
      <c r="F54" s="2091"/>
      <c r="G54" s="2073"/>
      <c r="H54" s="2090" t="s">
        <v>2189</v>
      </c>
      <c r="I54" s="2075"/>
      <c r="J54" s="1947"/>
      <c r="K54" s="1947"/>
      <c r="L54" s="1947"/>
      <c r="M54" s="1949"/>
      <c r="N54" s="1949"/>
      <c r="O54" s="1949"/>
      <c r="P54" s="1949"/>
      <c r="Q54" s="1949"/>
      <c r="R54" s="1949"/>
      <c r="S54" s="1949"/>
      <c r="T54" s="1949"/>
      <c r="U54" s="1949"/>
      <c r="V54" s="1949"/>
      <c r="W54" s="1949"/>
      <c r="X54" s="1949"/>
      <c r="Y54" s="1949"/>
      <c r="Z54" s="1949"/>
    </row>
    <row r="55" spans="1:26" s="1100" customFormat="1" ht="30" customHeight="1">
      <c r="A55" s="1949"/>
      <c r="B55" s="1818" t="s">
        <v>20</v>
      </c>
      <c r="C55" s="2065" t="s">
        <v>2217</v>
      </c>
      <c r="D55" s="1965"/>
      <c r="E55" s="2071" t="str">
        <f t="shared" si="1"/>
        <v>02.02.03.</v>
      </c>
      <c r="F55" s="2091"/>
      <c r="G55" s="2073"/>
      <c r="H55" s="2090" t="s">
        <v>2189</v>
      </c>
      <c r="I55" s="2075"/>
      <c r="J55" s="1947"/>
      <c r="K55" s="1947"/>
      <c r="L55" s="1947"/>
      <c r="M55" s="1949"/>
      <c r="N55" s="1949"/>
      <c r="O55" s="1949"/>
      <c r="P55" s="1949"/>
      <c r="Q55" s="1949"/>
      <c r="R55" s="1949"/>
      <c r="S55" s="1949"/>
      <c r="T55" s="1949"/>
      <c r="U55" s="1949"/>
      <c r="V55" s="1949"/>
      <c r="W55" s="1949"/>
      <c r="X55" s="1949"/>
      <c r="Y55" s="1949"/>
      <c r="Z55" s="1949"/>
    </row>
    <row r="56" spans="1:26" s="1100" customFormat="1" ht="30" customHeight="1">
      <c r="A56" s="1949"/>
      <c r="B56" s="1818" t="s">
        <v>20</v>
      </c>
      <c r="C56" s="2065" t="s">
        <v>2218</v>
      </c>
      <c r="D56" s="1965"/>
      <c r="E56" s="2071" t="str">
        <f t="shared" si="1"/>
        <v>02.02.04.</v>
      </c>
      <c r="F56" s="2091"/>
      <c r="G56" s="2073"/>
      <c r="H56" s="2090" t="s">
        <v>2189</v>
      </c>
      <c r="I56" s="2075"/>
      <c r="J56" s="1947"/>
      <c r="K56" s="1947"/>
      <c r="L56" s="1947"/>
      <c r="M56" s="1949"/>
      <c r="N56" s="1949"/>
      <c r="O56" s="1949"/>
      <c r="P56" s="1949"/>
      <c r="Q56" s="1949"/>
      <c r="R56" s="1949"/>
      <c r="S56" s="1949"/>
      <c r="T56" s="1949"/>
      <c r="U56" s="1949"/>
      <c r="V56" s="1949"/>
      <c r="W56" s="1949"/>
      <c r="X56" s="1949"/>
      <c r="Y56" s="1949"/>
      <c r="Z56" s="1949"/>
    </row>
    <row r="57" spans="1:26" s="1100" customFormat="1" ht="30" customHeight="1">
      <c r="A57" s="1949"/>
      <c r="B57" s="1818" t="s">
        <v>20</v>
      </c>
      <c r="C57" s="2065" t="s">
        <v>2219</v>
      </c>
      <c r="D57" s="1965"/>
      <c r="E57" s="2071" t="str">
        <f t="shared" si="1"/>
        <v>02.02.05.</v>
      </c>
      <c r="F57" s="2091"/>
      <c r="G57" s="2073"/>
      <c r="H57" s="2090" t="s">
        <v>2189</v>
      </c>
      <c r="I57" s="2075"/>
      <c r="J57" s="1947"/>
      <c r="K57" s="1947"/>
      <c r="L57" s="1947"/>
      <c r="M57" s="1949"/>
      <c r="N57" s="1949"/>
      <c r="O57" s="1949"/>
      <c r="P57" s="1949"/>
      <c r="Q57" s="1949"/>
      <c r="R57" s="1949"/>
      <c r="S57" s="1949"/>
      <c r="T57" s="1949"/>
      <c r="U57" s="1949"/>
      <c r="V57" s="1949"/>
      <c r="W57" s="1949"/>
      <c r="X57" s="1949"/>
      <c r="Y57" s="1949"/>
      <c r="Z57" s="1949"/>
    </row>
    <row r="58" spans="1:26" s="1100" customFormat="1" ht="30" customHeight="1">
      <c r="A58" s="1949"/>
      <c r="B58" s="1818" t="s">
        <v>20</v>
      </c>
      <c r="C58" s="2065" t="s">
        <v>2220</v>
      </c>
      <c r="D58" s="1965"/>
      <c r="E58" s="2071" t="str">
        <f t="shared" si="1"/>
        <v>02.02.06.</v>
      </c>
      <c r="F58" s="2093"/>
      <c r="G58" s="2073"/>
      <c r="H58" s="2090" t="s">
        <v>2189</v>
      </c>
      <c r="I58" s="2076"/>
      <c r="J58" s="1947"/>
      <c r="K58" s="1947"/>
      <c r="L58" s="1947"/>
      <c r="M58" s="1949"/>
      <c r="N58" s="1949"/>
      <c r="O58" s="1949"/>
      <c r="P58" s="1949"/>
      <c r="Q58" s="1949"/>
      <c r="R58" s="1949"/>
      <c r="S58" s="1949"/>
      <c r="T58" s="1949"/>
      <c r="U58" s="1949"/>
      <c r="V58" s="1949"/>
      <c r="W58" s="1949"/>
      <c r="X58" s="1949"/>
      <c r="Y58" s="1949"/>
      <c r="Z58" s="1949"/>
    </row>
    <row r="59" spans="1:26" s="1100" customFormat="1" ht="30" customHeight="1">
      <c r="A59" s="1949"/>
      <c r="B59" s="1818" t="s">
        <v>20</v>
      </c>
      <c r="C59" s="2065" t="s">
        <v>2221</v>
      </c>
      <c r="D59" s="1965"/>
      <c r="E59" s="2071" t="str">
        <f t="shared" si="1"/>
        <v>02.02.07.</v>
      </c>
      <c r="F59" s="2091"/>
      <c r="G59" s="2073"/>
      <c r="H59" s="2090" t="s">
        <v>2189</v>
      </c>
      <c r="I59" s="2075"/>
      <c r="J59" s="1947"/>
      <c r="K59" s="1947"/>
      <c r="L59" s="1947"/>
      <c r="M59" s="1949"/>
      <c r="N59" s="1949"/>
      <c r="O59" s="1949"/>
      <c r="P59" s="1949"/>
      <c r="Q59" s="1949"/>
      <c r="R59" s="1949"/>
      <c r="S59" s="1949"/>
      <c r="T59" s="1949"/>
      <c r="U59" s="1949"/>
      <c r="V59" s="1949"/>
      <c r="W59" s="1949"/>
      <c r="X59" s="1949"/>
      <c r="Y59" s="1949"/>
      <c r="Z59" s="1949"/>
    </row>
    <row r="60" spans="1:26" s="1100" customFormat="1" ht="30" customHeight="1">
      <c r="A60" s="1949"/>
      <c r="B60" s="1818" t="s">
        <v>20</v>
      </c>
      <c r="C60" s="2065" t="s">
        <v>2222</v>
      </c>
      <c r="D60" s="1965"/>
      <c r="E60" s="2071" t="str">
        <f t="shared" si="1"/>
        <v>02.02.08.</v>
      </c>
      <c r="F60" s="2091"/>
      <c r="G60" s="2073"/>
      <c r="H60" s="2090" t="s">
        <v>2189</v>
      </c>
      <c r="I60" s="2075"/>
      <c r="J60" s="1947"/>
      <c r="K60" s="1947"/>
      <c r="L60" s="1947"/>
      <c r="M60" s="1949"/>
      <c r="N60" s="1949"/>
      <c r="O60" s="1949"/>
      <c r="P60" s="1949"/>
      <c r="Q60" s="1949"/>
      <c r="R60" s="1949"/>
      <c r="S60" s="1949"/>
      <c r="T60" s="1949"/>
      <c r="U60" s="1949"/>
      <c r="V60" s="1949"/>
      <c r="W60" s="1949"/>
      <c r="X60" s="1949"/>
      <c r="Y60" s="1949"/>
      <c r="Z60" s="1949"/>
    </row>
    <row r="61" spans="1:26" s="1100" customFormat="1" ht="30" customHeight="1">
      <c r="A61" s="1949"/>
      <c r="B61" s="1818" t="s">
        <v>20</v>
      </c>
      <c r="C61" s="2065" t="s">
        <v>2223</v>
      </c>
      <c r="D61" s="1965"/>
      <c r="E61" s="2071" t="str">
        <f t="shared" si="1"/>
        <v>02.02.09.</v>
      </c>
      <c r="F61" s="2091"/>
      <c r="G61" s="2073"/>
      <c r="H61" s="2090" t="s">
        <v>2189</v>
      </c>
      <c r="I61" s="2075"/>
      <c r="J61" s="1947"/>
      <c r="K61" s="1947"/>
      <c r="L61" s="1947"/>
      <c r="M61" s="1949"/>
      <c r="N61" s="1949"/>
      <c r="O61" s="1949"/>
      <c r="P61" s="1949"/>
      <c r="Q61" s="1949"/>
      <c r="R61" s="1949"/>
      <c r="S61" s="1949"/>
      <c r="T61" s="1949"/>
      <c r="U61" s="1949"/>
      <c r="V61" s="1949"/>
      <c r="W61" s="1949"/>
      <c r="X61" s="1949"/>
      <c r="Y61" s="1949"/>
      <c r="Z61" s="1949"/>
    </row>
    <row r="62" spans="1:26" s="1100" customFormat="1" ht="30" customHeight="1" thickBot="1">
      <c r="A62" s="1949"/>
      <c r="B62" s="1819" t="s">
        <v>20</v>
      </c>
      <c r="C62" s="2119" t="s">
        <v>2224</v>
      </c>
      <c r="D62" s="1965"/>
      <c r="E62" s="2096" t="str">
        <f t="shared" si="1"/>
        <v>02.02.10.</v>
      </c>
      <c r="F62" s="2097"/>
      <c r="G62" s="2098"/>
      <c r="H62" s="2090" t="s">
        <v>2189</v>
      </c>
      <c r="I62" s="2099"/>
      <c r="J62" s="1947"/>
      <c r="K62" s="1947"/>
      <c r="L62" s="1947"/>
      <c r="M62" s="1949"/>
      <c r="N62" s="1949"/>
      <c r="O62" s="1949"/>
      <c r="P62" s="1949"/>
      <c r="Q62" s="1949"/>
      <c r="R62" s="1949"/>
      <c r="S62" s="1949"/>
      <c r="T62" s="1949"/>
      <c r="U62" s="1949"/>
      <c r="V62" s="1949"/>
      <c r="W62" s="1949"/>
      <c r="X62" s="1949"/>
      <c r="Y62" s="1949"/>
      <c r="Z62" s="1949"/>
    </row>
    <row r="63" spans="1:26" s="1948" customFormat="1" ht="23.25" customHeight="1" thickTop="1">
      <c r="A63" s="1947"/>
      <c r="B63" s="1946"/>
      <c r="C63" s="1946"/>
      <c r="D63" s="1946"/>
      <c r="E63" s="201" t="s">
        <v>2225</v>
      </c>
      <c r="F63" s="527"/>
      <c r="G63" s="2100"/>
      <c r="H63" s="2101"/>
      <c r="I63" s="2102"/>
      <c r="J63" s="1947"/>
      <c r="K63" s="1947"/>
      <c r="L63" s="1947"/>
      <c r="M63" s="1947"/>
      <c r="N63" s="1947"/>
      <c r="O63" s="1947"/>
      <c r="P63" s="1947"/>
      <c r="Q63" s="1947"/>
      <c r="R63" s="1947"/>
      <c r="S63" s="1947"/>
      <c r="T63" s="1947"/>
      <c r="U63" s="1947"/>
      <c r="V63" s="1947"/>
      <c r="W63" s="1947"/>
      <c r="X63" s="1947"/>
      <c r="Y63" s="1947"/>
      <c r="Z63" s="1947"/>
    </row>
    <row r="64" spans="1:26" s="1949" customFormat="1" ht="18">
      <c r="B64" s="2054"/>
      <c r="C64" s="2054">
        <v>1</v>
      </c>
      <c r="D64" s="1965"/>
      <c r="E64" s="529" t="str">
        <f>C64&amp;"/ "&amp;"Personas jurídicas."</f>
        <v>1/ Personas jurídicas.</v>
      </c>
      <c r="F64" s="530"/>
      <c r="G64" s="2103"/>
      <c r="H64" s="2104"/>
      <c r="I64" s="2105"/>
      <c r="J64" s="1947"/>
      <c r="K64" s="1947"/>
      <c r="L64" s="1947"/>
    </row>
    <row r="65" spans="1:26" s="1949" customFormat="1" ht="18.75" thickBot="1">
      <c r="B65" s="2054"/>
      <c r="C65" s="531">
        <f>COUNTA($C$64:C64)+1</f>
        <v>2</v>
      </c>
      <c r="D65" s="1965"/>
      <c r="E65" s="1966" t="str">
        <f>C65&amp;"/ "&amp;"Incluya solo a empresas sobre las cuales se posee el 10% o más de las acciones y participaciones de capital con derecho a voto."</f>
        <v>2/ Incluya solo a empresas sobre las cuales se posee el 10% o más de las acciones y participaciones de capital con derecho a voto.</v>
      </c>
      <c r="F65" s="2106"/>
      <c r="G65" s="2107"/>
      <c r="H65" s="2108"/>
      <c r="I65" s="2109"/>
      <c r="J65" s="1947"/>
      <c r="K65" s="1947"/>
      <c r="L65" s="1947"/>
    </row>
    <row r="66" spans="1:26" s="1948" customFormat="1" ht="18.75" customHeight="1" thickTop="1">
      <c r="A66" s="1947"/>
      <c r="B66" s="1946"/>
      <c r="C66" s="1946"/>
      <c r="D66" s="1946"/>
      <c r="E66" s="2244"/>
      <c r="F66" s="2244"/>
      <c r="G66" s="2244"/>
      <c r="H66" s="2244"/>
      <c r="I66" s="2244"/>
      <c r="J66" s="1947"/>
      <c r="K66" s="1947"/>
      <c r="L66" s="1947"/>
      <c r="M66" s="1947"/>
      <c r="N66" s="1947"/>
      <c r="O66" s="1947"/>
      <c r="P66" s="1947"/>
      <c r="Q66" s="1947"/>
      <c r="R66" s="1947"/>
      <c r="S66" s="1947"/>
      <c r="T66" s="1947"/>
      <c r="U66" s="1947"/>
      <c r="V66" s="1947"/>
      <c r="W66" s="1947"/>
      <c r="X66" s="1947"/>
      <c r="Y66" s="1947"/>
      <c r="Z66" s="1947"/>
    </row>
    <row r="67" spans="1:26" s="1948" customFormat="1" ht="14.25" customHeight="1">
      <c r="A67" s="1947"/>
      <c r="B67" s="1946"/>
      <c r="C67" s="1946"/>
      <c r="D67" s="1946"/>
      <c r="E67" s="2111"/>
      <c r="F67" s="2111"/>
      <c r="G67" s="2112"/>
      <c r="H67" s="2113"/>
      <c r="I67" s="2110"/>
      <c r="J67" s="1947"/>
      <c r="K67" s="1947"/>
      <c r="L67" s="1947"/>
      <c r="M67" s="1947"/>
      <c r="N67" s="1947"/>
      <c r="O67" s="1947"/>
      <c r="P67" s="1947"/>
      <c r="Q67" s="1947"/>
      <c r="R67" s="1947"/>
      <c r="S67" s="1947"/>
      <c r="T67" s="1947"/>
      <c r="U67" s="1947"/>
      <c r="V67" s="1947"/>
      <c r="W67" s="1947"/>
      <c r="X67" s="1947"/>
      <c r="Y67" s="1947"/>
      <c r="Z67" s="1947"/>
    </row>
    <row r="68" spans="1:26" s="1948" customFormat="1" ht="14.25" customHeight="1">
      <c r="A68" s="1947"/>
      <c r="B68" s="1946"/>
      <c r="C68" s="1946"/>
      <c r="D68" s="1946"/>
      <c r="E68" s="2120"/>
      <c r="F68" s="2120"/>
      <c r="G68" s="2103"/>
      <c r="H68" s="2104"/>
      <c r="I68" s="2110"/>
      <c r="J68" s="1947"/>
      <c r="K68" s="1947"/>
      <c r="L68" s="1947"/>
      <c r="M68" s="1947"/>
      <c r="N68" s="1947"/>
      <c r="O68" s="1947"/>
      <c r="P68" s="1947"/>
      <c r="Q68" s="1947"/>
      <c r="R68" s="1947"/>
      <c r="S68" s="1947"/>
      <c r="T68" s="1947"/>
      <c r="U68" s="1947"/>
      <c r="V68" s="1947"/>
      <c r="W68" s="1947"/>
      <c r="X68" s="1947"/>
      <c r="Y68" s="1947"/>
      <c r="Z68" s="1947"/>
    </row>
    <row r="69" spans="1:26" s="1949" customFormat="1" ht="37.5" customHeight="1" thickBot="1">
      <c r="B69" s="2054"/>
      <c r="C69" s="2054"/>
      <c r="D69" s="1965"/>
      <c r="E69" s="2235" t="s">
        <v>2226</v>
      </c>
      <c r="F69" s="2235"/>
      <c r="G69" s="2235"/>
      <c r="H69" s="2235"/>
      <c r="I69" s="2121"/>
      <c r="J69" s="1947"/>
      <c r="K69" s="1947"/>
      <c r="L69" s="1947"/>
    </row>
    <row r="70" spans="1:26" s="1100" customFormat="1" ht="39.75" customHeight="1" thickTop="1">
      <c r="A70" s="1949"/>
      <c r="B70" s="2227" t="str">
        <f ca="1">RIGHT(CELL("nombrearchivo",A60),LEN(CELL("nombrearchivo",A60))-SEARCH("]",CELL("nombrearchivo",A60)))</f>
        <v>Panorama A.</v>
      </c>
      <c r="C70" s="2228"/>
      <c r="D70" s="2055"/>
      <c r="E70" s="2229" t="s">
        <v>2169</v>
      </c>
      <c r="F70" s="2222" t="s">
        <v>4477</v>
      </c>
      <c r="G70" s="2231" t="str">
        <f>"R A Z Ó N   S O C I A L  "&amp;C97&amp;"/"</f>
        <v>R A Z Ó N   S O C I A L  1/</v>
      </c>
      <c r="H70" s="2233" t="s">
        <v>2170</v>
      </c>
      <c r="I70" s="1947"/>
      <c r="J70" s="1947"/>
      <c r="K70" s="1947"/>
      <c r="L70" s="1947"/>
      <c r="M70" s="1949"/>
      <c r="N70" s="1949"/>
      <c r="O70" s="1949"/>
      <c r="P70" s="1949"/>
      <c r="Q70" s="1949"/>
      <c r="R70" s="1949"/>
      <c r="S70" s="1949"/>
      <c r="T70" s="1949"/>
      <c r="U70" s="1949"/>
      <c r="V70" s="1949"/>
      <c r="W70" s="1949"/>
      <c r="X70" s="1949"/>
      <c r="Y70" s="1949"/>
      <c r="Z70" s="1949"/>
    </row>
    <row r="71" spans="1:26" s="1948" customFormat="1" ht="32.25" customHeight="1" thickBot="1">
      <c r="A71" s="1947"/>
      <c r="B71" s="2056" t="s">
        <v>2171</v>
      </c>
      <c r="C71" s="2057" t="s">
        <v>2172</v>
      </c>
      <c r="D71" s="2055"/>
      <c r="E71" s="2230"/>
      <c r="F71" s="2223"/>
      <c r="G71" s="2232"/>
      <c r="H71" s="2234"/>
      <c r="I71" s="1947"/>
      <c r="J71" s="1947"/>
      <c r="K71" s="1947"/>
      <c r="L71" s="1947"/>
      <c r="M71" s="1947"/>
      <c r="N71" s="1947"/>
      <c r="O71" s="1947"/>
      <c r="P71" s="1947"/>
      <c r="Q71" s="1947"/>
      <c r="R71" s="1947"/>
      <c r="S71" s="1947"/>
      <c r="T71" s="1947"/>
      <c r="U71" s="1947"/>
      <c r="V71" s="1947"/>
      <c r="W71" s="1947"/>
      <c r="X71" s="1947"/>
      <c r="Y71" s="1947"/>
      <c r="Z71" s="1947"/>
    </row>
    <row r="72" spans="1:26" s="1100" customFormat="1" ht="39.950000000000003" customHeight="1" thickTop="1">
      <c r="A72" s="1949"/>
      <c r="B72" s="2082" t="s">
        <v>20</v>
      </c>
      <c r="C72" s="2059" t="s">
        <v>2227</v>
      </c>
      <c r="D72" s="2083"/>
      <c r="E72" s="2060" t="str">
        <f t="shared" ref="E72:E93" si="2">+C72</f>
        <v>03.01.00.</v>
      </c>
      <c r="F72" s="2061"/>
      <c r="G72" s="2062" t="s">
        <v>2202</v>
      </c>
      <c r="H72" s="2122"/>
      <c r="I72" s="1947"/>
      <c r="J72" s="1947"/>
      <c r="K72" s="1947"/>
      <c r="L72" s="1947"/>
      <c r="M72" s="1949"/>
      <c r="N72" s="1949"/>
      <c r="O72" s="1949"/>
      <c r="P72" s="1949"/>
      <c r="Q72" s="1949"/>
      <c r="R72" s="1949"/>
      <c r="S72" s="1949"/>
      <c r="T72" s="1949"/>
      <c r="U72" s="1949"/>
      <c r="V72" s="1949"/>
      <c r="W72" s="1949"/>
      <c r="X72" s="1949"/>
      <c r="Y72" s="1949"/>
      <c r="Z72" s="1949"/>
    </row>
    <row r="73" spans="1:26" s="1100" customFormat="1" ht="30" customHeight="1">
      <c r="A73" s="1949"/>
      <c r="B73" s="1818" t="s">
        <v>20</v>
      </c>
      <c r="C73" s="2065" t="s">
        <v>2228</v>
      </c>
      <c r="D73" s="1965"/>
      <c r="E73" s="2066" t="str">
        <f t="shared" si="2"/>
        <v>03.01.01.</v>
      </c>
      <c r="F73" s="2115"/>
      <c r="G73" s="2068"/>
      <c r="H73" s="2123" t="s">
        <v>2176</v>
      </c>
      <c r="I73" s="1947"/>
      <c r="J73" s="1947"/>
      <c r="K73" s="1947"/>
      <c r="L73" s="1947"/>
      <c r="M73" s="1949"/>
      <c r="N73" s="1949"/>
      <c r="O73" s="1949"/>
      <c r="P73" s="1949"/>
      <c r="Q73" s="1949"/>
      <c r="R73" s="1949"/>
      <c r="S73" s="1949"/>
      <c r="T73" s="1949"/>
      <c r="U73" s="1949"/>
      <c r="V73" s="1949"/>
      <c r="W73" s="1949"/>
      <c r="X73" s="1949"/>
      <c r="Y73" s="1949"/>
      <c r="Z73" s="1949"/>
    </row>
    <row r="74" spans="1:26" s="1100" customFormat="1" ht="30" customHeight="1">
      <c r="A74" s="1949"/>
      <c r="B74" s="1818" t="s">
        <v>20</v>
      </c>
      <c r="C74" s="2065" t="s">
        <v>2229</v>
      </c>
      <c r="D74" s="1965"/>
      <c r="E74" s="2071" t="str">
        <f t="shared" si="2"/>
        <v>03.01.02.</v>
      </c>
      <c r="F74" s="2116"/>
      <c r="G74" s="2073"/>
      <c r="H74" s="2124" t="s">
        <v>2176</v>
      </c>
      <c r="I74" s="1947"/>
      <c r="J74" s="1947"/>
      <c r="K74" s="1947"/>
      <c r="L74" s="1947"/>
      <c r="M74" s="1949"/>
      <c r="N74" s="1949"/>
      <c r="O74" s="1949"/>
      <c r="P74" s="1949"/>
      <c r="Q74" s="1949"/>
      <c r="R74" s="1949"/>
      <c r="S74" s="1949"/>
      <c r="T74" s="1949"/>
      <c r="U74" s="1949"/>
      <c r="V74" s="1949"/>
      <c r="W74" s="1949"/>
      <c r="X74" s="1949"/>
      <c r="Y74" s="1949"/>
      <c r="Z74" s="1949"/>
    </row>
    <row r="75" spans="1:26" s="1100" customFormat="1" ht="30" customHeight="1">
      <c r="A75" s="1949"/>
      <c r="B75" s="1818" t="s">
        <v>20</v>
      </c>
      <c r="C75" s="2065" t="s">
        <v>2230</v>
      </c>
      <c r="D75" s="1965"/>
      <c r="E75" s="2071" t="str">
        <f t="shared" si="2"/>
        <v>03.01.03.</v>
      </c>
      <c r="F75" s="2116"/>
      <c r="G75" s="2073"/>
      <c r="H75" s="2124" t="s">
        <v>2176</v>
      </c>
      <c r="I75" s="1947"/>
      <c r="J75" s="1947"/>
      <c r="K75" s="1947"/>
      <c r="L75" s="1947"/>
      <c r="M75" s="1949"/>
      <c r="N75" s="1949"/>
      <c r="O75" s="1949"/>
      <c r="P75" s="1949"/>
      <c r="Q75" s="1949"/>
      <c r="R75" s="1949"/>
      <c r="S75" s="1949"/>
      <c r="T75" s="1949"/>
      <c r="U75" s="1949"/>
      <c r="V75" s="1949"/>
      <c r="W75" s="1949"/>
      <c r="X75" s="1949"/>
      <c r="Y75" s="1949"/>
      <c r="Z75" s="1949"/>
    </row>
    <row r="76" spans="1:26" s="1100" customFormat="1" ht="30" customHeight="1">
      <c r="A76" s="1949"/>
      <c r="B76" s="1818" t="s">
        <v>20</v>
      </c>
      <c r="C76" s="2065" t="s">
        <v>2231</v>
      </c>
      <c r="D76" s="1965"/>
      <c r="E76" s="2071" t="str">
        <f t="shared" si="2"/>
        <v>03.01.04.</v>
      </c>
      <c r="F76" s="2116"/>
      <c r="G76" s="2073"/>
      <c r="H76" s="2124" t="s">
        <v>2176</v>
      </c>
      <c r="I76" s="1947"/>
      <c r="J76" s="1947"/>
      <c r="K76" s="1947"/>
      <c r="L76" s="1947"/>
      <c r="M76" s="1949"/>
      <c r="N76" s="1949"/>
      <c r="O76" s="1949"/>
      <c r="P76" s="1949"/>
      <c r="Q76" s="1949"/>
      <c r="R76" s="1949"/>
      <c r="S76" s="1949"/>
      <c r="T76" s="1949"/>
      <c r="U76" s="1949"/>
      <c r="V76" s="1949"/>
      <c r="W76" s="1949"/>
      <c r="X76" s="1949"/>
      <c r="Y76" s="1949"/>
      <c r="Z76" s="1949"/>
    </row>
    <row r="77" spans="1:26" s="1100" customFormat="1" ht="30" customHeight="1">
      <c r="A77" s="1949"/>
      <c r="B77" s="1818" t="s">
        <v>20</v>
      </c>
      <c r="C77" s="2065" t="s">
        <v>2232</v>
      </c>
      <c r="D77" s="1965"/>
      <c r="E77" s="2071" t="str">
        <f t="shared" si="2"/>
        <v>03.01.05.</v>
      </c>
      <c r="F77" s="2116"/>
      <c r="G77" s="2073"/>
      <c r="H77" s="2124" t="s">
        <v>2176</v>
      </c>
      <c r="I77" s="1947"/>
      <c r="J77" s="1947"/>
      <c r="K77" s="1947"/>
      <c r="L77" s="1947"/>
      <c r="M77" s="1949"/>
      <c r="N77" s="1949"/>
      <c r="O77" s="1949"/>
      <c r="P77" s="1949"/>
      <c r="Q77" s="1949"/>
      <c r="R77" s="1949"/>
      <c r="S77" s="1949"/>
      <c r="T77" s="1949"/>
      <c r="U77" s="1949"/>
      <c r="V77" s="1949"/>
      <c r="W77" s="1949"/>
      <c r="X77" s="1949"/>
      <c r="Y77" s="1949"/>
      <c r="Z77" s="1949"/>
    </row>
    <row r="78" spans="1:26" s="1100" customFormat="1" ht="30" customHeight="1">
      <c r="A78" s="1949"/>
      <c r="B78" s="1818" t="s">
        <v>20</v>
      </c>
      <c r="C78" s="2065" t="s">
        <v>2233</v>
      </c>
      <c r="D78" s="1965"/>
      <c r="E78" s="2071" t="str">
        <f t="shared" si="2"/>
        <v>03.01.06.</v>
      </c>
      <c r="F78" s="2116"/>
      <c r="G78" s="2073"/>
      <c r="H78" s="2124" t="s">
        <v>2176</v>
      </c>
      <c r="I78" s="1947"/>
      <c r="J78" s="1947"/>
      <c r="K78" s="1947"/>
      <c r="L78" s="1947"/>
      <c r="M78" s="1949"/>
      <c r="N78" s="1949"/>
      <c r="O78" s="1949"/>
      <c r="P78" s="1949"/>
      <c r="Q78" s="1949"/>
      <c r="R78" s="1949"/>
      <c r="S78" s="1949"/>
      <c r="T78" s="1949"/>
      <c r="U78" s="1949"/>
      <c r="V78" s="1949"/>
      <c r="W78" s="1949"/>
      <c r="X78" s="1949"/>
      <c r="Y78" s="1949"/>
      <c r="Z78" s="1949"/>
    </row>
    <row r="79" spans="1:26" s="1100" customFormat="1" ht="30" customHeight="1">
      <c r="A79" s="1949"/>
      <c r="B79" s="1818" t="s">
        <v>20</v>
      </c>
      <c r="C79" s="2065" t="s">
        <v>2234</v>
      </c>
      <c r="D79" s="1965"/>
      <c r="E79" s="2071" t="str">
        <f t="shared" si="2"/>
        <v>03.01.07.</v>
      </c>
      <c r="F79" s="2116"/>
      <c r="G79" s="2073"/>
      <c r="H79" s="2124" t="s">
        <v>2176</v>
      </c>
      <c r="I79" s="1947"/>
      <c r="J79" s="1947"/>
      <c r="K79" s="1947"/>
      <c r="L79" s="1947"/>
      <c r="M79" s="1949"/>
      <c r="N79" s="1949"/>
      <c r="O79" s="1949"/>
      <c r="P79" s="1949"/>
      <c r="Q79" s="1949"/>
      <c r="R79" s="1949"/>
      <c r="S79" s="1949"/>
      <c r="T79" s="1949"/>
      <c r="U79" s="1949"/>
      <c r="V79" s="1949"/>
      <c r="W79" s="1949"/>
      <c r="X79" s="1949"/>
      <c r="Y79" s="1949"/>
      <c r="Z79" s="1949"/>
    </row>
    <row r="80" spans="1:26" s="1100" customFormat="1" ht="30" customHeight="1">
      <c r="A80" s="1949"/>
      <c r="B80" s="1818" t="s">
        <v>20</v>
      </c>
      <c r="C80" s="2065" t="s">
        <v>2235</v>
      </c>
      <c r="D80" s="1965"/>
      <c r="E80" s="2071" t="str">
        <f t="shared" si="2"/>
        <v>03.01.08.</v>
      </c>
      <c r="F80" s="2116"/>
      <c r="G80" s="2073"/>
      <c r="H80" s="2124" t="s">
        <v>2176</v>
      </c>
      <c r="I80" s="1947"/>
      <c r="J80" s="1947"/>
      <c r="K80" s="1947"/>
      <c r="L80" s="1947"/>
      <c r="M80" s="1949"/>
      <c r="N80" s="1949"/>
      <c r="O80" s="1949"/>
      <c r="P80" s="1949"/>
      <c r="Q80" s="1949"/>
      <c r="R80" s="1949"/>
      <c r="S80" s="1949"/>
      <c r="T80" s="1949"/>
      <c r="U80" s="1949"/>
      <c r="V80" s="1949"/>
      <c r="W80" s="1949"/>
      <c r="X80" s="1949"/>
      <c r="Y80" s="1949"/>
      <c r="Z80" s="1949"/>
    </row>
    <row r="81" spans="1:26" s="1100" customFormat="1" ht="30" customHeight="1">
      <c r="A81" s="1949"/>
      <c r="B81" s="1818" t="s">
        <v>20</v>
      </c>
      <c r="C81" s="2065" t="s">
        <v>2236</v>
      </c>
      <c r="D81" s="1965"/>
      <c r="E81" s="2071" t="str">
        <f t="shared" si="2"/>
        <v>03.01.09.</v>
      </c>
      <c r="F81" s="2116"/>
      <c r="G81" s="2073"/>
      <c r="H81" s="2124" t="s">
        <v>2176</v>
      </c>
      <c r="I81" s="1947"/>
      <c r="J81" s="1947"/>
      <c r="K81" s="1947"/>
      <c r="L81" s="1947"/>
      <c r="M81" s="1949"/>
      <c r="N81" s="1949"/>
      <c r="O81" s="1949"/>
      <c r="P81" s="1949"/>
      <c r="Q81" s="1949"/>
      <c r="R81" s="1949"/>
      <c r="S81" s="1949"/>
      <c r="T81" s="1949"/>
      <c r="U81" s="1949"/>
      <c r="V81" s="1949"/>
      <c r="W81" s="1949"/>
      <c r="X81" s="1949"/>
      <c r="Y81" s="1949"/>
      <c r="Z81" s="1949"/>
    </row>
    <row r="82" spans="1:26" s="1100" customFormat="1" ht="30" customHeight="1">
      <c r="A82" s="1949"/>
      <c r="B82" s="1818" t="s">
        <v>20</v>
      </c>
      <c r="C82" s="2065" t="s">
        <v>2237</v>
      </c>
      <c r="D82" s="1965"/>
      <c r="E82" s="2077" t="str">
        <f t="shared" si="2"/>
        <v>03.01.10.</v>
      </c>
      <c r="F82" s="2117"/>
      <c r="G82" s="2079"/>
      <c r="H82" s="2125" t="s">
        <v>2176</v>
      </c>
      <c r="I82" s="1947"/>
      <c r="J82" s="1947"/>
      <c r="K82" s="1947"/>
      <c r="L82" s="1947"/>
      <c r="M82" s="1949"/>
      <c r="N82" s="1949"/>
      <c r="O82" s="1949"/>
      <c r="P82" s="1949"/>
      <c r="Q82" s="1949"/>
      <c r="R82" s="1949"/>
      <c r="S82" s="1949"/>
      <c r="T82" s="1949"/>
      <c r="U82" s="1949"/>
      <c r="V82" s="1949"/>
      <c r="W82" s="1949"/>
      <c r="X82" s="1949"/>
      <c r="Y82" s="1949"/>
      <c r="Z82" s="1949"/>
    </row>
    <row r="83" spans="1:26" s="1100" customFormat="1" ht="39.950000000000003" customHeight="1">
      <c r="A83" s="1949"/>
      <c r="B83" s="2082" t="s">
        <v>20</v>
      </c>
      <c r="C83" s="2059" t="s">
        <v>2238</v>
      </c>
      <c r="D83" s="2083"/>
      <c r="E83" s="2084" t="str">
        <f t="shared" si="2"/>
        <v>03.02.00.</v>
      </c>
      <c r="F83" s="2085"/>
      <c r="G83" s="2086" t="s">
        <v>2214</v>
      </c>
      <c r="H83" s="2126"/>
      <c r="I83" s="1947"/>
      <c r="J83" s="1947"/>
      <c r="K83" s="1947"/>
      <c r="L83" s="1947"/>
      <c r="M83" s="1949"/>
      <c r="N83" s="1949"/>
      <c r="O83" s="1949"/>
      <c r="P83" s="1949"/>
      <c r="Q83" s="1949"/>
      <c r="R83" s="1949"/>
      <c r="S83" s="1949"/>
      <c r="T83" s="1949"/>
      <c r="U83" s="1949"/>
      <c r="V83" s="1949"/>
      <c r="W83" s="1949"/>
      <c r="X83" s="1949"/>
      <c r="Y83" s="1949"/>
      <c r="Z83" s="1949"/>
    </row>
    <row r="84" spans="1:26" s="1100" customFormat="1" ht="30" customHeight="1">
      <c r="A84" s="1949"/>
      <c r="B84" s="2118" t="s">
        <v>20</v>
      </c>
      <c r="C84" s="2065" t="s">
        <v>2239</v>
      </c>
      <c r="D84" s="1965"/>
      <c r="E84" s="2066" t="str">
        <f t="shared" si="2"/>
        <v>03.02.01.</v>
      </c>
      <c r="F84" s="2089"/>
      <c r="G84" s="2068"/>
      <c r="H84" s="2127" t="s">
        <v>2189</v>
      </c>
      <c r="I84" s="1947"/>
      <c r="J84" s="1947"/>
      <c r="K84" s="1947"/>
      <c r="L84" s="1947"/>
      <c r="M84" s="1949"/>
      <c r="N84" s="1949"/>
      <c r="O84" s="1949"/>
      <c r="P84" s="1949"/>
      <c r="Q84" s="1949"/>
      <c r="R84" s="1949"/>
      <c r="S84" s="1949"/>
      <c r="T84" s="1949"/>
      <c r="U84" s="1949"/>
      <c r="V84" s="1949"/>
      <c r="W84" s="1949"/>
      <c r="X84" s="1949"/>
      <c r="Y84" s="1949"/>
      <c r="Z84" s="1949"/>
    </row>
    <row r="85" spans="1:26" s="1100" customFormat="1" ht="30" customHeight="1">
      <c r="A85" s="1949"/>
      <c r="B85" s="1818" t="s">
        <v>20</v>
      </c>
      <c r="C85" s="2065" t="s">
        <v>2240</v>
      </c>
      <c r="D85" s="1965"/>
      <c r="E85" s="2071" t="str">
        <f t="shared" si="2"/>
        <v>03.02.02.</v>
      </c>
      <c r="F85" s="2091"/>
      <c r="G85" s="2073"/>
      <c r="H85" s="2128" t="s">
        <v>2189</v>
      </c>
      <c r="I85" s="1947"/>
      <c r="J85" s="1947"/>
      <c r="K85" s="1947"/>
      <c r="L85" s="1947"/>
      <c r="M85" s="1949"/>
      <c r="N85" s="1949"/>
      <c r="O85" s="1949"/>
      <c r="P85" s="1949"/>
      <c r="Q85" s="1949"/>
      <c r="R85" s="1949"/>
      <c r="S85" s="1949"/>
      <c r="T85" s="1949"/>
      <c r="U85" s="1949"/>
      <c r="V85" s="1949"/>
      <c r="W85" s="1949"/>
      <c r="X85" s="1949"/>
      <c r="Y85" s="1949"/>
      <c r="Z85" s="1949"/>
    </row>
    <row r="86" spans="1:26" s="1100" customFormat="1" ht="30" customHeight="1">
      <c r="A86" s="1949"/>
      <c r="B86" s="1818" t="s">
        <v>20</v>
      </c>
      <c r="C86" s="2065" t="s">
        <v>2241</v>
      </c>
      <c r="D86" s="1965"/>
      <c r="E86" s="2071" t="str">
        <f t="shared" si="2"/>
        <v>03.02.03.</v>
      </c>
      <c r="F86" s="2091"/>
      <c r="G86" s="2073"/>
      <c r="H86" s="2128" t="s">
        <v>2189</v>
      </c>
      <c r="I86" s="1947"/>
      <c r="J86" s="1947"/>
      <c r="K86" s="1947"/>
      <c r="L86" s="1947"/>
      <c r="M86" s="1949"/>
      <c r="N86" s="1949"/>
      <c r="O86" s="1949"/>
      <c r="P86" s="1949"/>
      <c r="Q86" s="1949"/>
      <c r="R86" s="1949"/>
      <c r="S86" s="1949"/>
      <c r="T86" s="1949"/>
      <c r="U86" s="1949"/>
      <c r="V86" s="1949"/>
      <c r="W86" s="1949"/>
      <c r="X86" s="1949"/>
      <c r="Y86" s="1949"/>
      <c r="Z86" s="1949"/>
    </row>
    <row r="87" spans="1:26" s="1100" customFormat="1" ht="30" customHeight="1">
      <c r="A87" s="1949"/>
      <c r="B87" s="1818" t="s">
        <v>20</v>
      </c>
      <c r="C87" s="2065" t="s">
        <v>2242</v>
      </c>
      <c r="D87" s="1965"/>
      <c r="E87" s="2071" t="str">
        <f t="shared" si="2"/>
        <v>03.02.04.</v>
      </c>
      <c r="F87" s="2091"/>
      <c r="G87" s="2073"/>
      <c r="H87" s="2128" t="s">
        <v>2189</v>
      </c>
      <c r="I87" s="1947"/>
      <c r="J87" s="1947"/>
      <c r="K87" s="1947"/>
      <c r="L87" s="1947"/>
      <c r="M87" s="1949"/>
      <c r="N87" s="1949"/>
      <c r="O87" s="1949"/>
      <c r="P87" s="1949"/>
      <c r="Q87" s="1949"/>
      <c r="R87" s="1949"/>
      <c r="S87" s="1949"/>
      <c r="T87" s="1949"/>
      <c r="U87" s="1949"/>
      <c r="V87" s="1949"/>
      <c r="W87" s="1949"/>
      <c r="X87" s="1949"/>
      <c r="Y87" s="1949"/>
      <c r="Z87" s="1949"/>
    </row>
    <row r="88" spans="1:26" s="1100" customFormat="1" ht="30" customHeight="1">
      <c r="A88" s="1949"/>
      <c r="B88" s="1818" t="s">
        <v>20</v>
      </c>
      <c r="C88" s="2065" t="s">
        <v>2243</v>
      </c>
      <c r="D88" s="1965"/>
      <c r="E88" s="2071" t="str">
        <f t="shared" si="2"/>
        <v>03.02.05.</v>
      </c>
      <c r="F88" s="2091"/>
      <c r="G88" s="2073"/>
      <c r="H88" s="2128" t="s">
        <v>2189</v>
      </c>
      <c r="I88" s="1947"/>
      <c r="J88" s="1947"/>
      <c r="K88" s="1947"/>
      <c r="L88" s="1947"/>
      <c r="M88" s="1949"/>
      <c r="N88" s="1949"/>
      <c r="O88" s="1949"/>
      <c r="P88" s="1949"/>
      <c r="Q88" s="1949"/>
      <c r="R88" s="1949"/>
      <c r="S88" s="1949"/>
      <c r="T88" s="1949"/>
      <c r="U88" s="1949"/>
      <c r="V88" s="1949"/>
      <c r="W88" s="1949"/>
      <c r="X88" s="1949"/>
      <c r="Y88" s="1949"/>
      <c r="Z88" s="1949"/>
    </row>
    <row r="89" spans="1:26" s="1100" customFormat="1" ht="30" customHeight="1">
      <c r="A89" s="1949"/>
      <c r="B89" s="1818" t="s">
        <v>20</v>
      </c>
      <c r="C89" s="2065" t="s">
        <v>2244</v>
      </c>
      <c r="D89" s="1965"/>
      <c r="E89" s="2071" t="str">
        <f t="shared" si="2"/>
        <v>03.02.06.</v>
      </c>
      <c r="F89" s="2093"/>
      <c r="G89" s="2073"/>
      <c r="H89" s="2128" t="s">
        <v>2189</v>
      </c>
      <c r="I89" s="1947"/>
      <c r="J89" s="1947"/>
      <c r="K89" s="1947"/>
      <c r="L89" s="1947"/>
      <c r="M89" s="1949"/>
      <c r="N89" s="1949"/>
      <c r="O89" s="1949"/>
      <c r="P89" s="1949"/>
      <c r="Q89" s="1949"/>
      <c r="R89" s="1949"/>
      <c r="S89" s="1949"/>
      <c r="T89" s="1949"/>
      <c r="U89" s="1949"/>
      <c r="V89" s="1949"/>
      <c r="W89" s="1949"/>
      <c r="X89" s="1949"/>
      <c r="Y89" s="1949"/>
      <c r="Z89" s="1949"/>
    </row>
    <row r="90" spans="1:26" s="1100" customFormat="1" ht="30" customHeight="1">
      <c r="A90" s="1949"/>
      <c r="B90" s="1818" t="s">
        <v>20</v>
      </c>
      <c r="C90" s="2065" t="s">
        <v>2245</v>
      </c>
      <c r="D90" s="1965"/>
      <c r="E90" s="2071" t="str">
        <f t="shared" si="2"/>
        <v>03.02.07.</v>
      </c>
      <c r="F90" s="2091"/>
      <c r="G90" s="2073"/>
      <c r="H90" s="2128" t="s">
        <v>2189</v>
      </c>
      <c r="I90" s="1947"/>
      <c r="J90" s="1947"/>
      <c r="K90" s="1947"/>
      <c r="L90" s="1947"/>
      <c r="M90" s="1949"/>
      <c r="N90" s="1949"/>
      <c r="O90" s="1949"/>
      <c r="P90" s="1949"/>
      <c r="Q90" s="1949"/>
      <c r="R90" s="1949"/>
      <c r="S90" s="1949"/>
      <c r="T90" s="1949"/>
      <c r="U90" s="1949"/>
      <c r="V90" s="1949"/>
      <c r="W90" s="1949"/>
      <c r="X90" s="1949"/>
      <c r="Y90" s="1949"/>
      <c r="Z90" s="1949"/>
    </row>
    <row r="91" spans="1:26" s="1100" customFormat="1" ht="30" customHeight="1">
      <c r="A91" s="1949"/>
      <c r="B91" s="1818" t="s">
        <v>20</v>
      </c>
      <c r="C91" s="2065" t="s">
        <v>2246</v>
      </c>
      <c r="D91" s="1965"/>
      <c r="E91" s="2071" t="str">
        <f t="shared" si="2"/>
        <v>03.02.08.</v>
      </c>
      <c r="F91" s="2091"/>
      <c r="G91" s="2073"/>
      <c r="H91" s="2128" t="s">
        <v>2189</v>
      </c>
      <c r="I91" s="1947"/>
      <c r="J91" s="1947"/>
      <c r="K91" s="1947"/>
      <c r="L91" s="1947"/>
      <c r="M91" s="1949"/>
      <c r="N91" s="1949"/>
      <c r="O91" s="1949"/>
      <c r="P91" s="1949"/>
      <c r="Q91" s="1949"/>
      <c r="R91" s="1949"/>
      <c r="S91" s="1949"/>
      <c r="T91" s="1949"/>
      <c r="U91" s="1949"/>
      <c r="V91" s="1949"/>
      <c r="W91" s="1949"/>
      <c r="X91" s="1949"/>
      <c r="Y91" s="1949"/>
      <c r="Z91" s="1949"/>
    </row>
    <row r="92" spans="1:26" s="1100" customFormat="1" ht="30" customHeight="1">
      <c r="A92" s="1949"/>
      <c r="B92" s="1818" t="s">
        <v>20</v>
      </c>
      <c r="C92" s="2065" t="s">
        <v>2247</v>
      </c>
      <c r="D92" s="1965"/>
      <c r="E92" s="2071" t="str">
        <f t="shared" si="2"/>
        <v>03.02.09.</v>
      </c>
      <c r="F92" s="2091"/>
      <c r="G92" s="2073"/>
      <c r="H92" s="2128" t="s">
        <v>2189</v>
      </c>
      <c r="I92" s="1947"/>
      <c r="J92" s="1947"/>
      <c r="K92" s="1947"/>
      <c r="L92" s="1947"/>
      <c r="M92" s="1949"/>
      <c r="N92" s="1949"/>
      <c r="O92" s="1949"/>
      <c r="P92" s="1949"/>
      <c r="Q92" s="1949"/>
      <c r="R92" s="1949"/>
      <c r="S92" s="1949"/>
      <c r="T92" s="1949"/>
      <c r="U92" s="1949"/>
      <c r="V92" s="1949"/>
      <c r="W92" s="1949"/>
      <c r="X92" s="1949"/>
      <c r="Y92" s="1949"/>
      <c r="Z92" s="1949"/>
    </row>
    <row r="93" spans="1:26" s="1100" customFormat="1" ht="30" customHeight="1" thickBot="1">
      <c r="A93" s="1949"/>
      <c r="B93" s="1819" t="s">
        <v>20</v>
      </c>
      <c r="C93" s="2095" t="s">
        <v>2248</v>
      </c>
      <c r="D93" s="1965"/>
      <c r="E93" s="2077" t="str">
        <f t="shared" si="2"/>
        <v>03.02.10.</v>
      </c>
      <c r="F93" s="2097"/>
      <c r="G93" s="2079"/>
      <c r="H93" s="2129" t="s">
        <v>2189</v>
      </c>
      <c r="I93" s="1947"/>
      <c r="J93" s="1947"/>
      <c r="K93" s="1947"/>
      <c r="L93" s="1947"/>
      <c r="M93" s="1949"/>
      <c r="N93" s="1949"/>
      <c r="O93" s="1949"/>
      <c r="P93" s="1949"/>
      <c r="Q93" s="1949"/>
      <c r="R93" s="1949"/>
      <c r="S93" s="1949"/>
      <c r="T93" s="1949"/>
      <c r="U93" s="1949"/>
      <c r="V93" s="1949"/>
      <c r="W93" s="1949"/>
      <c r="X93" s="1949"/>
      <c r="Y93" s="1949"/>
      <c r="Z93" s="1949"/>
    </row>
    <row r="94" spans="1:26" s="1948" customFormat="1" ht="23.25" customHeight="1" thickTop="1">
      <c r="A94" s="1947"/>
      <c r="B94" s="1946"/>
      <c r="C94" s="1946"/>
      <c r="D94" s="1946"/>
      <c r="E94" s="201" t="s">
        <v>2249</v>
      </c>
      <c r="F94" s="527"/>
      <c r="G94" s="2100"/>
      <c r="H94" s="2130"/>
      <c r="I94" s="1947"/>
      <c r="J94" s="1947"/>
      <c r="K94" s="1947"/>
      <c r="L94" s="1947"/>
      <c r="M94" s="1947"/>
      <c r="N94" s="1947"/>
      <c r="O94" s="1947"/>
      <c r="P94" s="1947"/>
      <c r="Q94" s="1947"/>
      <c r="R94" s="1947"/>
      <c r="S94" s="1947"/>
      <c r="T94" s="1947"/>
      <c r="U94" s="1947"/>
      <c r="V94" s="1947"/>
      <c r="W94" s="1947"/>
      <c r="X94" s="1947"/>
      <c r="Y94" s="1947"/>
      <c r="Z94" s="1947"/>
    </row>
    <row r="95" spans="1:26" s="1949" customFormat="1" ht="39" customHeight="1">
      <c r="B95" s="2054"/>
      <c r="D95" s="1965"/>
      <c r="E95" s="2224" t="s">
        <v>2250</v>
      </c>
      <c r="F95" s="2225"/>
      <c r="G95" s="2225"/>
      <c r="H95" s="2226"/>
      <c r="I95" s="1947"/>
      <c r="J95" s="1947"/>
      <c r="K95" s="1947"/>
      <c r="L95" s="1947"/>
    </row>
    <row r="96" spans="1:26" s="1949" customFormat="1" ht="18">
      <c r="B96" s="2054"/>
      <c r="D96" s="1965"/>
      <c r="E96" s="532" t="s">
        <v>2251</v>
      </c>
      <c r="F96" s="533"/>
      <c r="G96" s="2103"/>
      <c r="H96" s="2131"/>
      <c r="I96" s="1947"/>
      <c r="J96" s="1947"/>
      <c r="K96" s="1947"/>
      <c r="L96" s="1947"/>
    </row>
    <row r="97" spans="1:26" s="1949" customFormat="1" ht="26.25" customHeight="1" thickBot="1">
      <c r="B97" s="2054"/>
      <c r="C97" s="2054">
        <v>1</v>
      </c>
      <c r="D97" s="1965"/>
      <c r="E97" s="534" t="s">
        <v>2252</v>
      </c>
      <c r="F97" s="535"/>
      <c r="G97" s="2107"/>
      <c r="H97" s="2132"/>
      <c r="I97" s="1947"/>
      <c r="J97" s="1947"/>
      <c r="K97" s="1947"/>
      <c r="L97" s="1947"/>
    </row>
    <row r="98" spans="1:26" s="1948" customFormat="1" ht="18.75" thickTop="1">
      <c r="A98" s="1947"/>
      <c r="B98" s="1946"/>
      <c r="C98" s="2054">
        <f>COUNTA($C$97:C97)+1</f>
        <v>2</v>
      </c>
      <c r="D98" s="1946"/>
      <c r="I98" s="1947"/>
      <c r="J98" s="1947"/>
      <c r="K98" s="1947"/>
      <c r="L98" s="1947"/>
      <c r="M98" s="1947"/>
      <c r="N98" s="1947"/>
      <c r="O98" s="1947"/>
      <c r="P98" s="1947"/>
      <c r="Q98" s="1947"/>
      <c r="R98" s="1947"/>
      <c r="S98" s="1947"/>
      <c r="T98" s="1947"/>
      <c r="U98" s="1947"/>
      <c r="V98" s="1947"/>
      <c r="W98" s="1947"/>
      <c r="X98" s="1947"/>
      <c r="Y98" s="1947"/>
      <c r="Z98" s="1947"/>
    </row>
    <row r="99" spans="1:26" s="1948" customFormat="1" ht="15">
      <c r="A99" s="1947"/>
      <c r="B99" s="1946"/>
      <c r="C99" s="1946"/>
      <c r="D99" s="1946"/>
      <c r="I99" s="1947"/>
      <c r="J99" s="1947"/>
      <c r="K99" s="1947"/>
      <c r="L99" s="1947"/>
      <c r="M99" s="1947"/>
      <c r="N99" s="1947"/>
      <c r="O99" s="1947"/>
      <c r="P99" s="1947"/>
      <c r="Q99" s="1947"/>
      <c r="R99" s="1947"/>
      <c r="S99" s="1947"/>
      <c r="T99" s="1947"/>
      <c r="U99" s="1947"/>
      <c r="V99" s="1947"/>
      <c r="W99" s="1947"/>
      <c r="X99" s="1947"/>
      <c r="Y99" s="1947"/>
      <c r="Z99" s="1947"/>
    </row>
  </sheetData>
  <sheetProtection algorithmName="SHA-512" hashValue="44nsMwkj+DV86vlL6qVz8RAhcIW2NbyLyEFEA2ORsmK3nw/FSkWA52ecJgihOWxCDnOGMZnzVhG8KOUJ3xg5+Q==" saltValue="u7aK0QnQBcDcskbX6CfMbg==" spinCount="100000" sheet="1" objects="1" scenarios="1"/>
  <mergeCells count="22">
    <mergeCell ref="E7:I7"/>
    <mergeCell ref="E38:I38"/>
    <mergeCell ref="B8:C8"/>
    <mergeCell ref="I8:I9"/>
    <mergeCell ref="E66:I66"/>
    <mergeCell ref="B39:C39"/>
    <mergeCell ref="E39:E40"/>
    <mergeCell ref="G39:G40"/>
    <mergeCell ref="H39:H40"/>
    <mergeCell ref="I39:I40"/>
    <mergeCell ref="E69:H69"/>
    <mergeCell ref="E8:E9"/>
    <mergeCell ref="G8:G9"/>
    <mergeCell ref="H8:H9"/>
    <mergeCell ref="F8:F9"/>
    <mergeCell ref="F39:F40"/>
    <mergeCell ref="F70:F71"/>
    <mergeCell ref="E95:H95"/>
    <mergeCell ref="B70:C70"/>
    <mergeCell ref="E70:E71"/>
    <mergeCell ref="G70:G71"/>
    <mergeCell ref="H70:H71"/>
  </mergeCells>
  <dataValidations count="1">
    <dataValidation allowBlank="1" showErrorMessage="1" sqref="H53:H62 H22:H31" xr:uid="{00000000-0002-0000-0500-000000000000}"/>
  </dataValidations>
  <printOptions horizontalCentered="1"/>
  <pageMargins left="0.43307086614173229" right="0.35433070866141736" top="0.47244094488188981" bottom="0.39370078740157483" header="0.19685039370078741" footer="0"/>
  <pageSetup paperSize="9" scale="52" orientation="landscape" r:id="rId1"/>
  <headerFooter alignWithMargins="0">
    <oddFooter>&amp;L&amp;18&amp;D&amp;C&amp;14&amp;F&amp;R&amp;18&amp;A</oddFooter>
  </headerFooter>
  <drawing r:id="rId2"/>
  <legacyDrawing r:id="rId3"/>
  <controls>
    <mc:AlternateContent xmlns:mc="http://schemas.openxmlformats.org/markup-compatibility/2006">
      <mc:Choice Requires="x14">
        <control shapeId="87876" r:id="rId4" name="ComboBox2">
          <controlPr defaultSize="0" autoLine="0" linkedCell="H22" listFillRange="pais" r:id="rId5">
            <anchor moveWithCells="1">
              <from>
                <xdr:col>7</xdr:col>
                <xdr:colOff>9525</xdr:colOff>
                <xdr:row>21</xdr:row>
                <xdr:rowOff>19050</xdr:rowOff>
              </from>
              <to>
                <xdr:col>7</xdr:col>
                <xdr:colOff>3943350</xdr:colOff>
                <xdr:row>21</xdr:row>
                <xdr:rowOff>333375</xdr:rowOff>
              </to>
            </anchor>
          </controlPr>
        </control>
      </mc:Choice>
      <mc:Fallback>
        <control shapeId="87876" r:id="rId4" name="ComboBox2"/>
      </mc:Fallback>
    </mc:AlternateContent>
    <mc:AlternateContent xmlns:mc="http://schemas.openxmlformats.org/markup-compatibility/2006">
      <mc:Choice Requires="x14">
        <control shapeId="87878" r:id="rId6" name="ComboBox3">
          <controlPr defaultSize="0" autoLine="0" linkedCell="H23" listFillRange="pais" r:id="rId7">
            <anchor moveWithCells="1">
              <from>
                <xdr:col>7</xdr:col>
                <xdr:colOff>9525</xdr:colOff>
                <xdr:row>22</xdr:row>
                <xdr:rowOff>19050</xdr:rowOff>
              </from>
              <to>
                <xdr:col>7</xdr:col>
                <xdr:colOff>3943350</xdr:colOff>
                <xdr:row>22</xdr:row>
                <xdr:rowOff>333375</xdr:rowOff>
              </to>
            </anchor>
          </controlPr>
        </control>
      </mc:Choice>
      <mc:Fallback>
        <control shapeId="87878" r:id="rId6" name="ComboBox3"/>
      </mc:Fallback>
    </mc:AlternateContent>
    <mc:AlternateContent xmlns:mc="http://schemas.openxmlformats.org/markup-compatibility/2006">
      <mc:Choice Requires="x14">
        <control shapeId="87879" r:id="rId8" name="ComboBox4">
          <controlPr defaultSize="0" autoLine="0" linkedCell="H24" listFillRange="pais" r:id="rId9">
            <anchor moveWithCells="1">
              <from>
                <xdr:col>7</xdr:col>
                <xdr:colOff>9525</xdr:colOff>
                <xdr:row>23</xdr:row>
                <xdr:rowOff>19050</xdr:rowOff>
              </from>
              <to>
                <xdr:col>7</xdr:col>
                <xdr:colOff>3943350</xdr:colOff>
                <xdr:row>23</xdr:row>
                <xdr:rowOff>333375</xdr:rowOff>
              </to>
            </anchor>
          </controlPr>
        </control>
      </mc:Choice>
      <mc:Fallback>
        <control shapeId="87879" r:id="rId8" name="ComboBox4"/>
      </mc:Fallback>
    </mc:AlternateContent>
    <mc:AlternateContent xmlns:mc="http://schemas.openxmlformats.org/markup-compatibility/2006">
      <mc:Choice Requires="x14">
        <control shapeId="87881" r:id="rId10" name="ComboBox5">
          <controlPr defaultSize="0" autoLine="0" linkedCell="H25" listFillRange="pais" r:id="rId11">
            <anchor moveWithCells="1">
              <from>
                <xdr:col>7</xdr:col>
                <xdr:colOff>9525</xdr:colOff>
                <xdr:row>24</xdr:row>
                <xdr:rowOff>19050</xdr:rowOff>
              </from>
              <to>
                <xdr:col>7</xdr:col>
                <xdr:colOff>3943350</xdr:colOff>
                <xdr:row>24</xdr:row>
                <xdr:rowOff>333375</xdr:rowOff>
              </to>
            </anchor>
          </controlPr>
        </control>
      </mc:Choice>
      <mc:Fallback>
        <control shapeId="87881" r:id="rId10" name="ComboBox5"/>
      </mc:Fallback>
    </mc:AlternateContent>
    <mc:AlternateContent xmlns:mc="http://schemas.openxmlformats.org/markup-compatibility/2006">
      <mc:Choice Requires="x14">
        <control shapeId="87882" r:id="rId12" name="ComboBox6">
          <controlPr defaultSize="0" autoLine="0" linkedCell="H26" listFillRange="pais" r:id="rId13">
            <anchor moveWithCells="1">
              <from>
                <xdr:col>7</xdr:col>
                <xdr:colOff>9525</xdr:colOff>
                <xdr:row>25</xdr:row>
                <xdr:rowOff>19050</xdr:rowOff>
              </from>
              <to>
                <xdr:col>7</xdr:col>
                <xdr:colOff>3943350</xdr:colOff>
                <xdr:row>25</xdr:row>
                <xdr:rowOff>333375</xdr:rowOff>
              </to>
            </anchor>
          </controlPr>
        </control>
      </mc:Choice>
      <mc:Fallback>
        <control shapeId="87882" r:id="rId12" name="ComboBox6"/>
      </mc:Fallback>
    </mc:AlternateContent>
    <mc:AlternateContent xmlns:mc="http://schemas.openxmlformats.org/markup-compatibility/2006">
      <mc:Choice Requires="x14">
        <control shapeId="87883" r:id="rId14" name="ComboBox7">
          <controlPr defaultSize="0" autoLine="0" linkedCell="H27" listFillRange="pais" r:id="rId15">
            <anchor moveWithCells="1">
              <from>
                <xdr:col>7</xdr:col>
                <xdr:colOff>9525</xdr:colOff>
                <xdr:row>26</xdr:row>
                <xdr:rowOff>19050</xdr:rowOff>
              </from>
              <to>
                <xdr:col>7</xdr:col>
                <xdr:colOff>4610100</xdr:colOff>
                <xdr:row>27</xdr:row>
                <xdr:rowOff>0</xdr:rowOff>
              </to>
            </anchor>
          </controlPr>
        </control>
      </mc:Choice>
      <mc:Fallback>
        <control shapeId="87883" r:id="rId14" name="ComboBox7"/>
      </mc:Fallback>
    </mc:AlternateContent>
    <mc:AlternateContent xmlns:mc="http://schemas.openxmlformats.org/markup-compatibility/2006">
      <mc:Choice Requires="x14">
        <control shapeId="87884" r:id="rId16" name="ComboBox8">
          <controlPr defaultSize="0" autoLine="0" linkedCell="H28" listFillRange="pais" r:id="rId17">
            <anchor moveWithCells="1">
              <from>
                <xdr:col>7</xdr:col>
                <xdr:colOff>9525</xdr:colOff>
                <xdr:row>27</xdr:row>
                <xdr:rowOff>19050</xdr:rowOff>
              </from>
              <to>
                <xdr:col>7</xdr:col>
                <xdr:colOff>3943350</xdr:colOff>
                <xdr:row>27</xdr:row>
                <xdr:rowOff>333375</xdr:rowOff>
              </to>
            </anchor>
          </controlPr>
        </control>
      </mc:Choice>
      <mc:Fallback>
        <control shapeId="87884" r:id="rId16" name="ComboBox8"/>
      </mc:Fallback>
    </mc:AlternateContent>
    <mc:AlternateContent xmlns:mc="http://schemas.openxmlformats.org/markup-compatibility/2006">
      <mc:Choice Requires="x14">
        <control shapeId="87885" r:id="rId18" name="ComboBox9">
          <controlPr defaultSize="0" autoLine="0" linkedCell="H29" listFillRange="pais" r:id="rId19">
            <anchor moveWithCells="1">
              <from>
                <xdr:col>7</xdr:col>
                <xdr:colOff>9525</xdr:colOff>
                <xdr:row>28</xdr:row>
                <xdr:rowOff>19050</xdr:rowOff>
              </from>
              <to>
                <xdr:col>7</xdr:col>
                <xdr:colOff>3943350</xdr:colOff>
                <xdr:row>28</xdr:row>
                <xdr:rowOff>333375</xdr:rowOff>
              </to>
            </anchor>
          </controlPr>
        </control>
      </mc:Choice>
      <mc:Fallback>
        <control shapeId="87885" r:id="rId18" name="ComboBox9"/>
      </mc:Fallback>
    </mc:AlternateContent>
    <mc:AlternateContent xmlns:mc="http://schemas.openxmlformats.org/markup-compatibility/2006">
      <mc:Choice Requires="x14">
        <control shapeId="87886" r:id="rId20" name="ComboBox10">
          <controlPr defaultSize="0" autoLine="0" linkedCell="H30" listFillRange="pais" r:id="rId21">
            <anchor moveWithCells="1">
              <from>
                <xdr:col>7</xdr:col>
                <xdr:colOff>9525</xdr:colOff>
                <xdr:row>29</xdr:row>
                <xdr:rowOff>19050</xdr:rowOff>
              </from>
              <to>
                <xdr:col>7</xdr:col>
                <xdr:colOff>3943350</xdr:colOff>
                <xdr:row>29</xdr:row>
                <xdr:rowOff>333375</xdr:rowOff>
              </to>
            </anchor>
          </controlPr>
        </control>
      </mc:Choice>
      <mc:Fallback>
        <control shapeId="87886" r:id="rId20" name="ComboBox10"/>
      </mc:Fallback>
    </mc:AlternateContent>
    <mc:AlternateContent xmlns:mc="http://schemas.openxmlformats.org/markup-compatibility/2006">
      <mc:Choice Requires="x14">
        <control shapeId="87887" r:id="rId22" name="ComboBox11">
          <controlPr defaultSize="0" autoLine="0" linkedCell="H31" listFillRange="pais" r:id="rId23">
            <anchor moveWithCells="1">
              <from>
                <xdr:col>7</xdr:col>
                <xdr:colOff>9525</xdr:colOff>
                <xdr:row>30</xdr:row>
                <xdr:rowOff>19050</xdr:rowOff>
              </from>
              <to>
                <xdr:col>7</xdr:col>
                <xdr:colOff>3943350</xdr:colOff>
                <xdr:row>30</xdr:row>
                <xdr:rowOff>333375</xdr:rowOff>
              </to>
            </anchor>
          </controlPr>
        </control>
      </mc:Choice>
      <mc:Fallback>
        <control shapeId="87887" r:id="rId22" name="ComboBox11"/>
      </mc:Fallback>
    </mc:AlternateContent>
    <mc:AlternateContent xmlns:mc="http://schemas.openxmlformats.org/markup-compatibility/2006">
      <mc:Choice Requires="x14">
        <control shapeId="87888" r:id="rId24" name="ComboBox12">
          <controlPr defaultSize="0" autoLine="0" linkedCell="H53" listFillRange="pais" r:id="rId25">
            <anchor moveWithCells="1">
              <from>
                <xdr:col>7</xdr:col>
                <xdr:colOff>9525</xdr:colOff>
                <xdr:row>52</xdr:row>
                <xdr:rowOff>19050</xdr:rowOff>
              </from>
              <to>
                <xdr:col>7</xdr:col>
                <xdr:colOff>3943350</xdr:colOff>
                <xdr:row>52</xdr:row>
                <xdr:rowOff>333375</xdr:rowOff>
              </to>
            </anchor>
          </controlPr>
        </control>
      </mc:Choice>
      <mc:Fallback>
        <control shapeId="87888" r:id="rId24" name="ComboBox12"/>
      </mc:Fallback>
    </mc:AlternateContent>
    <mc:AlternateContent xmlns:mc="http://schemas.openxmlformats.org/markup-compatibility/2006">
      <mc:Choice Requires="x14">
        <control shapeId="87889" r:id="rId26" name="ComboBox13">
          <controlPr defaultSize="0" autoLine="0" linkedCell="H54" listFillRange="pais" r:id="rId27">
            <anchor moveWithCells="1">
              <from>
                <xdr:col>7</xdr:col>
                <xdr:colOff>9525</xdr:colOff>
                <xdr:row>53</xdr:row>
                <xdr:rowOff>19050</xdr:rowOff>
              </from>
              <to>
                <xdr:col>7</xdr:col>
                <xdr:colOff>3943350</xdr:colOff>
                <xdr:row>53</xdr:row>
                <xdr:rowOff>333375</xdr:rowOff>
              </to>
            </anchor>
          </controlPr>
        </control>
      </mc:Choice>
      <mc:Fallback>
        <control shapeId="87889" r:id="rId26" name="ComboBox13"/>
      </mc:Fallback>
    </mc:AlternateContent>
    <mc:AlternateContent xmlns:mc="http://schemas.openxmlformats.org/markup-compatibility/2006">
      <mc:Choice Requires="x14">
        <control shapeId="87890" r:id="rId28" name="ComboBox14">
          <controlPr defaultSize="0" autoLine="0" linkedCell="H55" listFillRange="pais" r:id="rId29">
            <anchor moveWithCells="1">
              <from>
                <xdr:col>7</xdr:col>
                <xdr:colOff>9525</xdr:colOff>
                <xdr:row>54</xdr:row>
                <xdr:rowOff>19050</xdr:rowOff>
              </from>
              <to>
                <xdr:col>7</xdr:col>
                <xdr:colOff>3943350</xdr:colOff>
                <xdr:row>54</xdr:row>
                <xdr:rowOff>333375</xdr:rowOff>
              </to>
            </anchor>
          </controlPr>
        </control>
      </mc:Choice>
      <mc:Fallback>
        <control shapeId="87890" r:id="rId28" name="ComboBox14"/>
      </mc:Fallback>
    </mc:AlternateContent>
    <mc:AlternateContent xmlns:mc="http://schemas.openxmlformats.org/markup-compatibility/2006">
      <mc:Choice Requires="x14">
        <control shapeId="87891" r:id="rId30" name="ComboBox15">
          <controlPr defaultSize="0" autoLine="0" linkedCell="H56" listFillRange="pais" r:id="rId31">
            <anchor moveWithCells="1">
              <from>
                <xdr:col>7</xdr:col>
                <xdr:colOff>9525</xdr:colOff>
                <xdr:row>55</xdr:row>
                <xdr:rowOff>19050</xdr:rowOff>
              </from>
              <to>
                <xdr:col>7</xdr:col>
                <xdr:colOff>3943350</xdr:colOff>
                <xdr:row>55</xdr:row>
                <xdr:rowOff>333375</xdr:rowOff>
              </to>
            </anchor>
          </controlPr>
        </control>
      </mc:Choice>
      <mc:Fallback>
        <control shapeId="87891" r:id="rId30" name="ComboBox15"/>
      </mc:Fallback>
    </mc:AlternateContent>
    <mc:AlternateContent xmlns:mc="http://schemas.openxmlformats.org/markup-compatibility/2006">
      <mc:Choice Requires="x14">
        <control shapeId="87892" r:id="rId32" name="ComboBox16">
          <controlPr defaultSize="0" autoLine="0" linkedCell="H57" listFillRange="pais" r:id="rId33">
            <anchor moveWithCells="1">
              <from>
                <xdr:col>7</xdr:col>
                <xdr:colOff>9525</xdr:colOff>
                <xdr:row>56</xdr:row>
                <xdr:rowOff>19050</xdr:rowOff>
              </from>
              <to>
                <xdr:col>7</xdr:col>
                <xdr:colOff>3943350</xdr:colOff>
                <xdr:row>56</xdr:row>
                <xdr:rowOff>333375</xdr:rowOff>
              </to>
            </anchor>
          </controlPr>
        </control>
      </mc:Choice>
      <mc:Fallback>
        <control shapeId="87892" r:id="rId32" name="ComboBox16"/>
      </mc:Fallback>
    </mc:AlternateContent>
    <mc:AlternateContent xmlns:mc="http://schemas.openxmlformats.org/markup-compatibility/2006">
      <mc:Choice Requires="x14">
        <control shapeId="87893" r:id="rId34" name="ComboBox17">
          <controlPr defaultSize="0" autoLine="0" linkedCell="H59" listFillRange="pais" r:id="rId35">
            <anchor moveWithCells="1">
              <from>
                <xdr:col>7</xdr:col>
                <xdr:colOff>9525</xdr:colOff>
                <xdr:row>58</xdr:row>
                <xdr:rowOff>19050</xdr:rowOff>
              </from>
              <to>
                <xdr:col>7</xdr:col>
                <xdr:colOff>3943350</xdr:colOff>
                <xdr:row>58</xdr:row>
                <xdr:rowOff>333375</xdr:rowOff>
              </to>
            </anchor>
          </controlPr>
        </control>
      </mc:Choice>
      <mc:Fallback>
        <control shapeId="87893" r:id="rId34" name="ComboBox17"/>
      </mc:Fallback>
    </mc:AlternateContent>
    <mc:AlternateContent xmlns:mc="http://schemas.openxmlformats.org/markup-compatibility/2006">
      <mc:Choice Requires="x14">
        <control shapeId="87894" r:id="rId36" name="ComboBox18">
          <controlPr defaultSize="0" autoLine="0" linkedCell="H58" listFillRange="pais" r:id="rId37">
            <anchor moveWithCells="1">
              <from>
                <xdr:col>7</xdr:col>
                <xdr:colOff>9525</xdr:colOff>
                <xdr:row>57</xdr:row>
                <xdr:rowOff>19050</xdr:rowOff>
              </from>
              <to>
                <xdr:col>7</xdr:col>
                <xdr:colOff>3943350</xdr:colOff>
                <xdr:row>57</xdr:row>
                <xdr:rowOff>333375</xdr:rowOff>
              </to>
            </anchor>
          </controlPr>
        </control>
      </mc:Choice>
      <mc:Fallback>
        <control shapeId="87894" r:id="rId36" name="ComboBox18"/>
      </mc:Fallback>
    </mc:AlternateContent>
    <mc:AlternateContent xmlns:mc="http://schemas.openxmlformats.org/markup-compatibility/2006">
      <mc:Choice Requires="x14">
        <control shapeId="87895" r:id="rId38" name="ComboBox19">
          <controlPr defaultSize="0" autoLine="0" linkedCell="H60" listFillRange="pais" r:id="rId39">
            <anchor moveWithCells="1">
              <from>
                <xdr:col>7</xdr:col>
                <xdr:colOff>9525</xdr:colOff>
                <xdr:row>59</xdr:row>
                <xdr:rowOff>19050</xdr:rowOff>
              </from>
              <to>
                <xdr:col>7</xdr:col>
                <xdr:colOff>3943350</xdr:colOff>
                <xdr:row>59</xdr:row>
                <xdr:rowOff>333375</xdr:rowOff>
              </to>
            </anchor>
          </controlPr>
        </control>
      </mc:Choice>
      <mc:Fallback>
        <control shapeId="87895" r:id="rId38" name="ComboBox19"/>
      </mc:Fallback>
    </mc:AlternateContent>
    <mc:AlternateContent xmlns:mc="http://schemas.openxmlformats.org/markup-compatibility/2006">
      <mc:Choice Requires="x14">
        <control shapeId="87896" r:id="rId40" name="ComboBox20">
          <controlPr defaultSize="0" autoLine="0" linkedCell="H61" listFillRange="pais" r:id="rId41">
            <anchor moveWithCells="1">
              <from>
                <xdr:col>7</xdr:col>
                <xdr:colOff>9525</xdr:colOff>
                <xdr:row>60</xdr:row>
                <xdr:rowOff>19050</xdr:rowOff>
              </from>
              <to>
                <xdr:col>7</xdr:col>
                <xdr:colOff>3943350</xdr:colOff>
                <xdr:row>60</xdr:row>
                <xdr:rowOff>333375</xdr:rowOff>
              </to>
            </anchor>
          </controlPr>
        </control>
      </mc:Choice>
      <mc:Fallback>
        <control shapeId="87896" r:id="rId40" name="ComboBox20"/>
      </mc:Fallback>
    </mc:AlternateContent>
    <mc:AlternateContent xmlns:mc="http://schemas.openxmlformats.org/markup-compatibility/2006">
      <mc:Choice Requires="x14">
        <control shapeId="87897" r:id="rId42" name="ComboBox21">
          <controlPr defaultSize="0" autoLine="0" linkedCell="H62" listFillRange="pais" r:id="rId43">
            <anchor moveWithCells="1">
              <from>
                <xdr:col>7</xdr:col>
                <xdr:colOff>9525</xdr:colOff>
                <xdr:row>61</xdr:row>
                <xdr:rowOff>19050</xdr:rowOff>
              </from>
              <to>
                <xdr:col>7</xdr:col>
                <xdr:colOff>3943350</xdr:colOff>
                <xdr:row>61</xdr:row>
                <xdr:rowOff>333375</xdr:rowOff>
              </to>
            </anchor>
          </controlPr>
        </control>
      </mc:Choice>
      <mc:Fallback>
        <control shapeId="87897" r:id="rId42" name="ComboBox21"/>
      </mc:Fallback>
    </mc:AlternateContent>
    <mc:AlternateContent xmlns:mc="http://schemas.openxmlformats.org/markup-compatibility/2006">
      <mc:Choice Requires="x14">
        <control shapeId="87898" r:id="rId44" name="ComboBox22">
          <controlPr defaultSize="0" autoLine="0" linkedCell="H84" listFillRange="pais" r:id="rId45">
            <anchor moveWithCells="1">
              <from>
                <xdr:col>7</xdr:col>
                <xdr:colOff>9525</xdr:colOff>
                <xdr:row>83</xdr:row>
                <xdr:rowOff>19050</xdr:rowOff>
              </from>
              <to>
                <xdr:col>7</xdr:col>
                <xdr:colOff>3943350</xdr:colOff>
                <xdr:row>83</xdr:row>
                <xdr:rowOff>333375</xdr:rowOff>
              </to>
            </anchor>
          </controlPr>
        </control>
      </mc:Choice>
      <mc:Fallback>
        <control shapeId="87898" r:id="rId44" name="ComboBox22"/>
      </mc:Fallback>
    </mc:AlternateContent>
    <mc:AlternateContent xmlns:mc="http://schemas.openxmlformats.org/markup-compatibility/2006">
      <mc:Choice Requires="x14">
        <control shapeId="87899" r:id="rId46" name="ComboBox23">
          <controlPr defaultSize="0" autoLine="0" linkedCell="H85" listFillRange="pais" r:id="rId47">
            <anchor moveWithCells="1">
              <from>
                <xdr:col>7</xdr:col>
                <xdr:colOff>9525</xdr:colOff>
                <xdr:row>84</xdr:row>
                <xdr:rowOff>19050</xdr:rowOff>
              </from>
              <to>
                <xdr:col>7</xdr:col>
                <xdr:colOff>3943350</xdr:colOff>
                <xdr:row>84</xdr:row>
                <xdr:rowOff>333375</xdr:rowOff>
              </to>
            </anchor>
          </controlPr>
        </control>
      </mc:Choice>
      <mc:Fallback>
        <control shapeId="87899" r:id="rId46" name="ComboBox23"/>
      </mc:Fallback>
    </mc:AlternateContent>
    <mc:AlternateContent xmlns:mc="http://schemas.openxmlformats.org/markup-compatibility/2006">
      <mc:Choice Requires="x14">
        <control shapeId="87900" r:id="rId48" name="ComboBox24">
          <controlPr defaultSize="0" autoLine="0" linkedCell="H86" listFillRange="pais" r:id="rId49">
            <anchor moveWithCells="1">
              <from>
                <xdr:col>7</xdr:col>
                <xdr:colOff>9525</xdr:colOff>
                <xdr:row>85</xdr:row>
                <xdr:rowOff>19050</xdr:rowOff>
              </from>
              <to>
                <xdr:col>7</xdr:col>
                <xdr:colOff>3943350</xdr:colOff>
                <xdr:row>85</xdr:row>
                <xdr:rowOff>333375</xdr:rowOff>
              </to>
            </anchor>
          </controlPr>
        </control>
      </mc:Choice>
      <mc:Fallback>
        <control shapeId="87900" r:id="rId48" name="ComboBox24"/>
      </mc:Fallback>
    </mc:AlternateContent>
    <mc:AlternateContent xmlns:mc="http://schemas.openxmlformats.org/markup-compatibility/2006">
      <mc:Choice Requires="x14">
        <control shapeId="87901" r:id="rId50" name="ComboBox25">
          <controlPr defaultSize="0" autoLine="0" linkedCell="H87" listFillRange="pais" r:id="rId51">
            <anchor moveWithCells="1">
              <from>
                <xdr:col>7</xdr:col>
                <xdr:colOff>9525</xdr:colOff>
                <xdr:row>86</xdr:row>
                <xdr:rowOff>19050</xdr:rowOff>
              </from>
              <to>
                <xdr:col>7</xdr:col>
                <xdr:colOff>3943350</xdr:colOff>
                <xdr:row>86</xdr:row>
                <xdr:rowOff>333375</xdr:rowOff>
              </to>
            </anchor>
          </controlPr>
        </control>
      </mc:Choice>
      <mc:Fallback>
        <control shapeId="87901" r:id="rId50" name="ComboBox25"/>
      </mc:Fallback>
    </mc:AlternateContent>
    <mc:AlternateContent xmlns:mc="http://schemas.openxmlformats.org/markup-compatibility/2006">
      <mc:Choice Requires="x14">
        <control shapeId="87902" r:id="rId52" name="ComboBox26">
          <controlPr defaultSize="0" autoLine="0" linkedCell="H88" listFillRange="pais" r:id="rId53">
            <anchor moveWithCells="1">
              <from>
                <xdr:col>7</xdr:col>
                <xdr:colOff>9525</xdr:colOff>
                <xdr:row>87</xdr:row>
                <xdr:rowOff>19050</xdr:rowOff>
              </from>
              <to>
                <xdr:col>7</xdr:col>
                <xdr:colOff>3943350</xdr:colOff>
                <xdr:row>87</xdr:row>
                <xdr:rowOff>333375</xdr:rowOff>
              </to>
            </anchor>
          </controlPr>
        </control>
      </mc:Choice>
      <mc:Fallback>
        <control shapeId="87902" r:id="rId52" name="ComboBox26"/>
      </mc:Fallback>
    </mc:AlternateContent>
    <mc:AlternateContent xmlns:mc="http://schemas.openxmlformats.org/markup-compatibility/2006">
      <mc:Choice Requires="x14">
        <control shapeId="87903" r:id="rId54" name="ComboBox27">
          <controlPr defaultSize="0" autoLine="0" linkedCell="H89" listFillRange="pais" r:id="rId55">
            <anchor moveWithCells="1">
              <from>
                <xdr:col>7</xdr:col>
                <xdr:colOff>9525</xdr:colOff>
                <xdr:row>88</xdr:row>
                <xdr:rowOff>19050</xdr:rowOff>
              </from>
              <to>
                <xdr:col>7</xdr:col>
                <xdr:colOff>3943350</xdr:colOff>
                <xdr:row>88</xdr:row>
                <xdr:rowOff>333375</xdr:rowOff>
              </to>
            </anchor>
          </controlPr>
        </control>
      </mc:Choice>
      <mc:Fallback>
        <control shapeId="87903" r:id="rId54" name="ComboBox27"/>
      </mc:Fallback>
    </mc:AlternateContent>
    <mc:AlternateContent xmlns:mc="http://schemas.openxmlformats.org/markup-compatibility/2006">
      <mc:Choice Requires="x14">
        <control shapeId="87904" r:id="rId56" name="ComboBox28">
          <controlPr defaultSize="0" autoLine="0" linkedCell="H90" listFillRange="pais" r:id="rId57">
            <anchor moveWithCells="1">
              <from>
                <xdr:col>7</xdr:col>
                <xdr:colOff>9525</xdr:colOff>
                <xdr:row>89</xdr:row>
                <xdr:rowOff>19050</xdr:rowOff>
              </from>
              <to>
                <xdr:col>7</xdr:col>
                <xdr:colOff>3943350</xdr:colOff>
                <xdr:row>89</xdr:row>
                <xdr:rowOff>333375</xdr:rowOff>
              </to>
            </anchor>
          </controlPr>
        </control>
      </mc:Choice>
      <mc:Fallback>
        <control shapeId="87904" r:id="rId56" name="ComboBox28"/>
      </mc:Fallback>
    </mc:AlternateContent>
    <mc:AlternateContent xmlns:mc="http://schemas.openxmlformats.org/markup-compatibility/2006">
      <mc:Choice Requires="x14">
        <control shapeId="87905" r:id="rId58" name="ComboBox29">
          <controlPr defaultSize="0" autoLine="0" linkedCell="H91" listFillRange="pais" r:id="rId59">
            <anchor moveWithCells="1">
              <from>
                <xdr:col>7</xdr:col>
                <xdr:colOff>9525</xdr:colOff>
                <xdr:row>90</xdr:row>
                <xdr:rowOff>19050</xdr:rowOff>
              </from>
              <to>
                <xdr:col>7</xdr:col>
                <xdr:colOff>3943350</xdr:colOff>
                <xdr:row>90</xdr:row>
                <xdr:rowOff>333375</xdr:rowOff>
              </to>
            </anchor>
          </controlPr>
        </control>
      </mc:Choice>
      <mc:Fallback>
        <control shapeId="87905" r:id="rId58" name="ComboBox29"/>
      </mc:Fallback>
    </mc:AlternateContent>
    <mc:AlternateContent xmlns:mc="http://schemas.openxmlformats.org/markup-compatibility/2006">
      <mc:Choice Requires="x14">
        <control shapeId="87906" r:id="rId60" name="ComboBox30">
          <controlPr defaultSize="0" autoLine="0" linkedCell="H92" listFillRange="pais" r:id="rId61">
            <anchor moveWithCells="1">
              <from>
                <xdr:col>7</xdr:col>
                <xdr:colOff>9525</xdr:colOff>
                <xdr:row>91</xdr:row>
                <xdr:rowOff>19050</xdr:rowOff>
              </from>
              <to>
                <xdr:col>7</xdr:col>
                <xdr:colOff>3943350</xdr:colOff>
                <xdr:row>91</xdr:row>
                <xdr:rowOff>333375</xdr:rowOff>
              </to>
            </anchor>
          </controlPr>
        </control>
      </mc:Choice>
      <mc:Fallback>
        <control shapeId="87906" r:id="rId60" name="ComboBox30"/>
      </mc:Fallback>
    </mc:AlternateContent>
    <mc:AlternateContent xmlns:mc="http://schemas.openxmlformats.org/markup-compatibility/2006">
      <mc:Choice Requires="x14">
        <control shapeId="87907" r:id="rId62" name="ComboBox1">
          <controlPr defaultSize="0" autoLine="0" linkedCell="H93" listFillRange="pais" r:id="rId63">
            <anchor moveWithCells="1">
              <from>
                <xdr:col>7</xdr:col>
                <xdr:colOff>9525</xdr:colOff>
                <xdr:row>92</xdr:row>
                <xdr:rowOff>19050</xdr:rowOff>
              </from>
              <to>
                <xdr:col>7</xdr:col>
                <xdr:colOff>3943350</xdr:colOff>
                <xdr:row>92</xdr:row>
                <xdr:rowOff>333375</xdr:rowOff>
              </to>
            </anchor>
          </controlPr>
        </control>
      </mc:Choice>
      <mc:Fallback>
        <control shapeId="87907" r:id="rId62" name="ComboBox1"/>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F4FB6-E3C3-4683-86E1-5443B9A6FB04}">
  <sheetPr codeName="Hoja17">
    <tabColor rgb="FFFFFF00"/>
    <pageSetUpPr fitToPage="1"/>
  </sheetPr>
  <dimension ref="A1:U83"/>
  <sheetViews>
    <sheetView showGridLines="0" topLeftCell="E1" zoomScale="50" zoomScaleNormal="50" workbookViewId="0">
      <pane ySplit="3" topLeftCell="A4" activePane="bottomLeft" state="frozen"/>
      <selection activeCell="E1" sqref="E1"/>
      <selection pane="bottomLeft" activeCell="H14" sqref="H14"/>
    </sheetView>
  </sheetViews>
  <sheetFormatPr baseColWidth="10" defaultColWidth="11.42578125" defaultRowHeight="18"/>
  <cols>
    <col min="1" max="1" width="32.5703125" hidden="1" customWidth="1"/>
    <col min="2" max="3" width="32.5703125" style="96" hidden="1" customWidth="1"/>
    <col min="4" max="4" width="14.140625" style="96" hidden="1" customWidth="1"/>
    <col min="5" max="5" width="13.85546875" style="1455" customWidth="1"/>
    <col min="6" max="6" width="30.5703125" style="12" customWidth="1"/>
    <col min="7" max="7" width="121" customWidth="1"/>
    <col min="8" max="13" width="40.42578125" customWidth="1"/>
  </cols>
  <sheetData>
    <row r="1" spans="1:21" ht="20.25" hidden="1">
      <c r="F1" s="536" t="s">
        <v>2253</v>
      </c>
      <c r="G1" s="537"/>
      <c r="H1" s="538" t="s">
        <v>2254</v>
      </c>
      <c r="I1" s="538" t="s">
        <v>2255</v>
      </c>
      <c r="J1" s="538" t="s">
        <v>2256</v>
      </c>
      <c r="K1" s="538" t="s">
        <v>2257</v>
      </c>
      <c r="L1" s="538" t="s">
        <v>2258</v>
      </c>
      <c r="M1" s="538" t="s">
        <v>2259</v>
      </c>
    </row>
    <row r="2" spans="1:21" ht="10.5" customHeight="1">
      <c r="F2" s="184"/>
      <c r="G2" s="185"/>
      <c r="H2" s="185"/>
      <c r="I2" s="185"/>
      <c r="J2" s="185"/>
      <c r="K2" s="186"/>
      <c r="L2" s="185"/>
      <c r="M2" s="186"/>
    </row>
    <row r="3" spans="1:21" ht="15" customHeight="1">
      <c r="F3" s="539"/>
      <c r="G3" s="540"/>
      <c r="H3" s="540"/>
      <c r="I3" s="540"/>
      <c r="J3" s="540"/>
      <c r="K3" s="540"/>
      <c r="L3" s="540"/>
      <c r="M3" s="540"/>
    </row>
    <row r="4" spans="1:21" ht="53.25">
      <c r="D4" s="118"/>
      <c r="F4" s="1520" t="str">
        <f ca="1">$C$6&amp;"  Balance general de la empresa declarante según moneda (*)"</f>
        <v>Panorama B.  Balance general de la empresa declarante según moneda (*)</v>
      </c>
      <c r="G4" s="541"/>
      <c r="H4" s="541"/>
      <c r="I4" s="541"/>
      <c r="J4" s="541"/>
      <c r="K4" s="541"/>
      <c r="L4" s="541"/>
      <c r="M4" s="541"/>
    </row>
    <row r="5" spans="1:21" ht="15" customHeight="1">
      <c r="C5" s="38"/>
      <c r="D5" s="118"/>
      <c r="F5" s="187"/>
      <c r="G5" s="542"/>
      <c r="H5" s="542"/>
      <c r="I5" s="542"/>
      <c r="J5" s="542"/>
      <c r="K5" s="542"/>
      <c r="L5" s="542"/>
      <c r="M5" s="542"/>
    </row>
    <row r="6" spans="1:21" ht="21.75" customHeight="1" thickBot="1">
      <c r="A6" s="38"/>
      <c r="C6" s="130" t="str">
        <f ca="1">RIGHT(CELL("nombrearchivo",B2),LEN(CELL("nombrearchivo",B2))-SEARCH("]",CELL("nombrearchivo",B2)))</f>
        <v>Panorama B.</v>
      </c>
      <c r="D6" s="38"/>
      <c r="F6" s="177"/>
      <c r="G6" s="543"/>
      <c r="H6" s="544"/>
      <c r="I6" s="544"/>
      <c r="J6" s="544"/>
      <c r="K6" s="544"/>
      <c r="L6" s="544"/>
      <c r="M6" s="544"/>
    </row>
    <row r="7" spans="1:21" ht="33.75" customHeight="1" thickTop="1">
      <c r="A7" s="38"/>
      <c r="C7" s="2258" t="str">
        <f ca="1">RIGHT(CELL("nombrearchivo",B2),LEN(CELL("nombrearchivo",B2))-SEARCH("]",CELL("nombrearchivo",B2)))</f>
        <v>Panorama B.</v>
      </c>
      <c r="D7" s="2259"/>
      <c r="F7" s="2266"/>
      <c r="G7" s="2267"/>
      <c r="H7" s="2263" t="s">
        <v>2260</v>
      </c>
      <c r="I7" s="2264"/>
      <c r="J7" s="2264"/>
      <c r="K7" s="2264"/>
      <c r="L7" s="2264"/>
      <c r="M7" s="2265"/>
    </row>
    <row r="8" spans="1:21" ht="33" customHeight="1" thickBot="1">
      <c r="A8" s="547" t="s">
        <v>2261</v>
      </c>
      <c r="B8" s="548" t="s">
        <v>2262</v>
      </c>
      <c r="C8" s="549" t="s">
        <v>2171</v>
      </c>
      <c r="D8" s="550" t="s">
        <v>2172</v>
      </c>
      <c r="F8" s="2268"/>
      <c r="G8" s="2269"/>
      <c r="H8" s="2260" t="str">
        <f>IF(TRIM&gt;1,Menu!C3,Menu!C3-1)&amp;": a "&amp;(LOWER(+Menu!F3))</f>
        <v>2025: a junio</v>
      </c>
      <c r="I8" s="2261"/>
      <c r="J8" s="2262"/>
      <c r="K8" s="2260" t="str">
        <f>+ANUAL&amp;": a "&amp;(LOWER(+Menu!E3))</f>
        <v>2025: a setiembre</v>
      </c>
      <c r="L8" s="2261"/>
      <c r="M8" s="2262"/>
    </row>
    <row r="9" spans="1:21" ht="85.5" customHeight="1" thickTop="1">
      <c r="A9" s="1352"/>
      <c r="B9" s="1352"/>
      <c r="C9" s="1353"/>
      <c r="D9" s="1354"/>
      <c r="F9" s="2268"/>
      <c r="G9" s="2269"/>
      <c r="H9" s="1368" t="s">
        <v>2263</v>
      </c>
      <c r="I9" s="1369" t="s">
        <v>2264</v>
      </c>
      <c r="J9" s="1392" t="s">
        <v>2265</v>
      </c>
      <c r="K9" s="1368" t="s">
        <v>2263</v>
      </c>
      <c r="L9" s="1369" t="s">
        <v>2264</v>
      </c>
      <c r="M9" s="1392" t="s">
        <v>2265</v>
      </c>
    </row>
    <row r="10" spans="1:21" ht="30.75" customHeight="1" thickBot="1">
      <c r="A10" s="1352"/>
      <c r="B10" s="1352"/>
      <c r="C10" s="1353"/>
      <c r="D10" s="1354"/>
      <c r="F10" s="2270"/>
      <c r="G10" s="2271"/>
      <c r="H10" s="1394" t="s">
        <v>2266</v>
      </c>
      <c r="I10" s="1395" t="s">
        <v>2267</v>
      </c>
      <c r="J10" s="1396" t="s">
        <v>2268</v>
      </c>
      <c r="K10" s="1397" t="s">
        <v>2269</v>
      </c>
      <c r="L10" s="1395" t="s">
        <v>2270</v>
      </c>
      <c r="M10" s="1396" t="s">
        <v>2271</v>
      </c>
    </row>
    <row r="11" spans="1:21" ht="30.75" customHeight="1" thickTop="1">
      <c r="A11" s="553">
        <v>19</v>
      </c>
      <c r="B11" s="554" t="s">
        <v>2272</v>
      </c>
      <c r="C11" s="555">
        <v>335</v>
      </c>
      <c r="D11" s="556" t="s">
        <v>2273</v>
      </c>
      <c r="F11" s="1371" t="str">
        <f>+D11</f>
        <v>19..01.</v>
      </c>
      <c r="G11" s="1364" t="s">
        <v>2274</v>
      </c>
      <c r="H11" s="1441">
        <f t="shared" ref="H11:M11" si="0">SUM(H12,H21)</f>
        <v>0</v>
      </c>
      <c r="I11" s="1442">
        <f>SUM(I12,I21)</f>
        <v>0</v>
      </c>
      <c r="J11" s="1443">
        <f t="shared" si="0"/>
        <v>0</v>
      </c>
      <c r="K11" s="1441">
        <f>SUM(K12,K21)</f>
        <v>0</v>
      </c>
      <c r="L11" s="1442">
        <f t="shared" si="0"/>
        <v>0</v>
      </c>
      <c r="M11" s="1443">
        <f t="shared" si="0"/>
        <v>0</v>
      </c>
      <c r="P11" s="1456"/>
      <c r="Q11" s="1456"/>
      <c r="R11" s="1456"/>
      <c r="S11" s="1456"/>
      <c r="T11" s="1456"/>
      <c r="U11" s="1456"/>
    </row>
    <row r="12" spans="1:21" ht="30.75" customHeight="1">
      <c r="A12" s="553">
        <v>19</v>
      </c>
      <c r="B12" s="1355" t="s">
        <v>2275</v>
      </c>
      <c r="C12" s="561">
        <v>340</v>
      </c>
      <c r="D12" s="562" t="str">
        <f>A12&amp;".."&amp;B12</f>
        <v>19..01.01.</v>
      </c>
      <c r="F12" s="1411" t="str">
        <f t="shared" ref="F12:F46" si="1">+D12</f>
        <v>19..01.01.</v>
      </c>
      <c r="G12" s="1412" t="s">
        <v>2276</v>
      </c>
      <c r="H12" s="1444">
        <f>SUM(H13,H14,H17,H20)</f>
        <v>0</v>
      </c>
      <c r="I12" s="1445">
        <f>SUM(I13,I14,I17,I20)</f>
        <v>0</v>
      </c>
      <c r="J12" s="1446">
        <f t="shared" ref="J12" si="2">SUM(J13,J14,J17,J20)</f>
        <v>0</v>
      </c>
      <c r="K12" s="1444">
        <f>SUM(K13,K14,K17,K20)</f>
        <v>0</v>
      </c>
      <c r="L12" s="1445">
        <f>SUM(L13,L14,L17,L20)</f>
        <v>0</v>
      </c>
      <c r="M12" s="1446">
        <f>SUM(M13,M14,M17,M20)</f>
        <v>0</v>
      </c>
      <c r="P12" s="1457"/>
      <c r="Q12" s="1457"/>
      <c r="R12" s="1457"/>
      <c r="S12" s="1457"/>
      <c r="T12" s="1457"/>
      <c r="U12" s="1457"/>
    </row>
    <row r="13" spans="1:21" ht="30.75" customHeight="1">
      <c r="A13" s="553"/>
      <c r="B13" s="1355" t="s">
        <v>2277</v>
      </c>
      <c r="C13" s="1533"/>
      <c r="D13" s="562"/>
      <c r="F13" s="1356" t="str">
        <f>+$F$12&amp;B13</f>
        <v>19..01.01.01.</v>
      </c>
      <c r="G13" s="1414" t="s">
        <v>2278</v>
      </c>
      <c r="H13" s="1447"/>
      <c r="I13" s="1448"/>
      <c r="J13" s="2161">
        <f>+H13*TCambioSalida!$E$7+I13</f>
        <v>0</v>
      </c>
      <c r="K13" s="1447"/>
      <c r="L13" s="1448"/>
      <c r="M13" s="2161">
        <f>+K13*TCambioSalida!$F$7+L13</f>
        <v>0</v>
      </c>
      <c r="P13" s="1457"/>
      <c r="Q13" s="1457"/>
      <c r="R13" s="1457"/>
      <c r="S13" s="1457"/>
      <c r="T13" s="1457"/>
      <c r="U13" s="1457"/>
    </row>
    <row r="14" spans="1:21" ht="30.75" customHeight="1">
      <c r="A14" s="553"/>
      <c r="B14" s="1355" t="s">
        <v>2279</v>
      </c>
      <c r="C14" s="1533"/>
      <c r="D14" s="562"/>
      <c r="F14" s="1356" t="str">
        <f>+$F$12&amp;B14</f>
        <v>19..01.01.02.</v>
      </c>
      <c r="G14" s="1534" t="s">
        <v>2280</v>
      </c>
      <c r="H14" s="1535"/>
      <c r="I14" s="1536"/>
      <c r="J14" s="2161">
        <f>+H14*TCambioSalida!$E$7+I14</f>
        <v>0</v>
      </c>
      <c r="K14" s="1535"/>
      <c r="L14" s="1536"/>
      <c r="M14" s="2161">
        <f>+K14*TCambioSalida!$F$7+L14</f>
        <v>0</v>
      </c>
    </row>
    <row r="15" spans="1:21" ht="30.75" customHeight="1">
      <c r="A15" s="553"/>
      <c r="B15" s="1355" t="s">
        <v>2281</v>
      </c>
      <c r="C15" s="1533"/>
      <c r="D15" s="562"/>
      <c r="F15" s="1356" t="str">
        <f>+$F$12&amp;B15</f>
        <v>19..01.01.02.01.</v>
      </c>
      <c r="G15" s="1537" t="s">
        <v>2282</v>
      </c>
      <c r="H15" s="1535"/>
      <c r="I15" s="1536"/>
      <c r="J15" s="2161">
        <f>+H15*TCambioSalida!$E$7+I15</f>
        <v>0</v>
      </c>
      <c r="K15" s="1535"/>
      <c r="L15" s="1536"/>
      <c r="M15" s="2161">
        <f>+K15*TCambioSalida!$F$7+L15</f>
        <v>0</v>
      </c>
    </row>
    <row r="16" spans="1:21" ht="30.75" customHeight="1">
      <c r="A16" s="553"/>
      <c r="B16" s="1355" t="s">
        <v>2283</v>
      </c>
      <c r="C16" s="1533"/>
      <c r="D16" s="562"/>
      <c r="F16" s="1356" t="str">
        <f>+$F$12&amp;B16</f>
        <v>19..01.01.02.02.</v>
      </c>
      <c r="G16" s="1537" t="s">
        <v>2284</v>
      </c>
      <c r="H16" s="1535"/>
      <c r="I16" s="1536"/>
      <c r="J16" s="2161">
        <f>+H16*TCambioSalida!$E$7+I16</f>
        <v>0</v>
      </c>
      <c r="K16" s="1535"/>
      <c r="L16" s="1536"/>
      <c r="M16" s="2161">
        <f>+K16*TCambioSalida!$F$7+L16</f>
        <v>0</v>
      </c>
    </row>
    <row r="17" spans="1:13" ht="30.75" customHeight="1">
      <c r="A17" s="553"/>
      <c r="B17" s="1355" t="s">
        <v>2285</v>
      </c>
      <c r="C17" s="1533"/>
      <c r="D17" s="562"/>
      <c r="F17" s="1356" t="str">
        <f>+$F$12&amp;B17</f>
        <v>19..01.01.03.</v>
      </c>
      <c r="G17" s="1534" t="s">
        <v>2286</v>
      </c>
      <c r="H17" s="1535"/>
      <c r="I17" s="1536"/>
      <c r="J17" s="2161">
        <f>+H17*TCambioSalida!$E$7+I17</f>
        <v>0</v>
      </c>
      <c r="K17" s="1535"/>
      <c r="L17" s="1536"/>
      <c r="M17" s="2161">
        <f>+K17*TCambioSalida!$F$7+L17</f>
        <v>0</v>
      </c>
    </row>
    <row r="18" spans="1:13" s="2151" customFormat="1" ht="30.75" hidden="1" customHeight="1">
      <c r="A18" s="2143"/>
      <c r="B18" s="2144" t="s">
        <v>2287</v>
      </c>
      <c r="C18" s="2145"/>
      <c r="D18" s="2146"/>
      <c r="E18" s="2147"/>
      <c r="F18" s="2148" t="str">
        <f t="shared" ref="F18:F20" si="3">+$F$12&amp;B18</f>
        <v>19..01.01.03.01.</v>
      </c>
      <c r="G18" s="2152" t="s">
        <v>2288</v>
      </c>
      <c r="H18" s="2149"/>
      <c r="I18" s="2150"/>
      <c r="J18" s="2161">
        <f>+H18*TCambioSalida!$E$7+I18</f>
        <v>0</v>
      </c>
      <c r="K18" s="2149"/>
      <c r="L18" s="2150"/>
      <c r="M18" s="2161">
        <f>+K18*TCambioSalida!$F$7+L18</f>
        <v>0</v>
      </c>
    </row>
    <row r="19" spans="1:13" s="2151" customFormat="1" ht="30.75" hidden="1" customHeight="1">
      <c r="A19" s="2143"/>
      <c r="B19" s="2144" t="s">
        <v>2289</v>
      </c>
      <c r="C19" s="2145"/>
      <c r="D19" s="2146"/>
      <c r="E19" s="2147"/>
      <c r="F19" s="2148" t="str">
        <f t="shared" si="3"/>
        <v>19..01.01.03.02.</v>
      </c>
      <c r="G19" s="2152" t="s">
        <v>2290</v>
      </c>
      <c r="H19" s="2149"/>
      <c r="I19" s="2150"/>
      <c r="J19" s="2161">
        <f>+H19*TCambioSalida!$E$7+I19</f>
        <v>0</v>
      </c>
      <c r="K19" s="2149"/>
      <c r="L19" s="2150"/>
      <c r="M19" s="2161">
        <f>+K19*TCambioSalida!$F$7+L19</f>
        <v>0</v>
      </c>
    </row>
    <row r="20" spans="1:13" ht="30.75" customHeight="1">
      <c r="A20" s="553"/>
      <c r="B20" s="1355" t="s">
        <v>2291</v>
      </c>
      <c r="C20" s="1533"/>
      <c r="D20" s="562"/>
      <c r="F20" s="1413" t="str">
        <f t="shared" si="3"/>
        <v>19..01.01.04.</v>
      </c>
      <c r="G20" s="1538" t="s">
        <v>2292</v>
      </c>
      <c r="H20" s="1539"/>
      <c r="I20" s="1540"/>
      <c r="J20" s="2161">
        <f>+H20*TCambioSalida!$E$7+I20</f>
        <v>0</v>
      </c>
      <c r="K20" s="1539"/>
      <c r="L20" s="1540"/>
      <c r="M20" s="2161">
        <f>+K20*TCambioSalida!$F$7+L20</f>
        <v>0</v>
      </c>
    </row>
    <row r="21" spans="1:13" ht="30.75" customHeight="1">
      <c r="A21" s="553">
        <v>19</v>
      </c>
      <c r="B21" s="1355" t="s">
        <v>2293</v>
      </c>
      <c r="C21" s="1533">
        <v>350</v>
      </c>
      <c r="D21" s="562" t="str">
        <f>A21&amp;".."&amp;B21</f>
        <v>19..01.02.</v>
      </c>
      <c r="F21" s="1411" t="str">
        <f t="shared" si="1"/>
        <v>19..01.02.</v>
      </c>
      <c r="G21" s="1412" t="s">
        <v>2294</v>
      </c>
      <c r="H21" s="1444">
        <f t="shared" ref="H21:M21" si="4">SUM(H22,H25,H28)</f>
        <v>0</v>
      </c>
      <c r="I21" s="1445">
        <f>SUM(I22,I25,I28)</f>
        <v>0</v>
      </c>
      <c r="J21" s="1446">
        <f>SUM(J22,J25,J28)</f>
        <v>0</v>
      </c>
      <c r="K21" s="1444">
        <f t="shared" si="4"/>
        <v>0</v>
      </c>
      <c r="L21" s="1445">
        <f t="shared" si="4"/>
        <v>0</v>
      </c>
      <c r="M21" s="1446">
        <f t="shared" si="4"/>
        <v>0</v>
      </c>
    </row>
    <row r="22" spans="1:13" ht="30.75" customHeight="1">
      <c r="A22" s="553"/>
      <c r="B22" s="1355" t="s">
        <v>2277</v>
      </c>
      <c r="C22" s="1533"/>
      <c r="D22" s="562"/>
      <c r="F22" s="1356" t="str">
        <f>+$F$21&amp;B22</f>
        <v>19..01.02.01.</v>
      </c>
      <c r="G22" s="1414" t="s">
        <v>2295</v>
      </c>
      <c r="H22" s="1447"/>
      <c r="I22" s="1448"/>
      <c r="J22" s="2161">
        <f>+H22*TCambioSalida!$E$7+I22</f>
        <v>0</v>
      </c>
      <c r="K22" s="1447"/>
      <c r="L22" s="1448"/>
      <c r="M22" s="2161">
        <f>+K22*TCambioSalida!$F$7+L22</f>
        <v>0</v>
      </c>
    </row>
    <row r="23" spans="1:13" ht="30.75" customHeight="1">
      <c r="A23" s="553"/>
      <c r="B23" s="1355" t="s">
        <v>2275</v>
      </c>
      <c r="C23" s="1533"/>
      <c r="D23" s="562"/>
      <c r="F23" s="1541" t="str">
        <f t="shared" ref="F23:F28" si="5">+$F$21&amp;B23</f>
        <v>19..01.02.01.01.</v>
      </c>
      <c r="G23" s="1537" t="s">
        <v>2296</v>
      </c>
      <c r="H23" s="1535"/>
      <c r="I23" s="1536"/>
      <c r="J23" s="2161">
        <f>+H23*TCambioSalida!$E$7+I23</f>
        <v>0</v>
      </c>
      <c r="K23" s="1535"/>
      <c r="L23" s="1536"/>
      <c r="M23" s="2161">
        <f>+K23*TCambioSalida!$F$7+L23</f>
        <v>0</v>
      </c>
    </row>
    <row r="24" spans="1:13" ht="30.75" customHeight="1">
      <c r="A24" s="553"/>
      <c r="B24" s="1355" t="s">
        <v>2293</v>
      </c>
      <c r="C24" s="1533"/>
      <c r="D24" s="562"/>
      <c r="F24" s="1541" t="str">
        <f t="shared" si="5"/>
        <v>19..01.02.01.02.</v>
      </c>
      <c r="G24" s="1537" t="s">
        <v>2297</v>
      </c>
      <c r="H24" s="1535"/>
      <c r="I24" s="1536"/>
      <c r="J24" s="2161">
        <f>+H24*TCambioSalida!$E$7+I24</f>
        <v>0</v>
      </c>
      <c r="K24" s="1535"/>
      <c r="L24" s="1536"/>
      <c r="M24" s="2161">
        <f>+K24*TCambioSalida!$F$7+L24</f>
        <v>0</v>
      </c>
    </row>
    <row r="25" spans="1:13" ht="30.75" customHeight="1">
      <c r="A25" s="553"/>
      <c r="B25" s="1355" t="s">
        <v>2279</v>
      </c>
      <c r="C25" s="1533"/>
      <c r="D25" s="562"/>
      <c r="F25" s="1356" t="str">
        <f t="shared" si="5"/>
        <v>19..01.02.02.</v>
      </c>
      <c r="G25" s="1534" t="s">
        <v>2298</v>
      </c>
      <c r="H25" s="1535"/>
      <c r="I25" s="1536"/>
      <c r="J25" s="2161">
        <f>+H25*TCambioSalida!$E$7+I25</f>
        <v>0</v>
      </c>
      <c r="K25" s="1535"/>
      <c r="L25" s="1536"/>
      <c r="M25" s="2161">
        <f>+K25*TCambioSalida!$F$7+L25</f>
        <v>0</v>
      </c>
    </row>
    <row r="26" spans="1:13" s="2151" customFormat="1" ht="30.75" hidden="1" customHeight="1">
      <c r="A26" s="2143"/>
      <c r="B26" s="2144" t="s">
        <v>2281</v>
      </c>
      <c r="C26" s="2145"/>
      <c r="D26" s="2146"/>
      <c r="E26" s="2147"/>
      <c r="F26" s="2153" t="str">
        <f t="shared" si="5"/>
        <v>19..01.02.02.01.</v>
      </c>
      <c r="G26" s="2152" t="s">
        <v>2299</v>
      </c>
      <c r="H26" s="2149"/>
      <c r="I26" s="2150"/>
      <c r="J26" s="2158">
        <f>+H26*TCambioSalida!$E$8+I26</f>
        <v>0</v>
      </c>
      <c r="K26" s="2149"/>
      <c r="L26" s="2150"/>
      <c r="M26" s="2161">
        <f>+K26*TCambioSalida!$F$7+L26</f>
        <v>0</v>
      </c>
    </row>
    <row r="27" spans="1:13" s="2151" customFormat="1" ht="30.75" hidden="1" customHeight="1">
      <c r="A27" s="2143"/>
      <c r="B27" s="2144" t="s">
        <v>2283</v>
      </c>
      <c r="C27" s="2145"/>
      <c r="D27" s="2146"/>
      <c r="E27" s="2147"/>
      <c r="F27" s="2153" t="str">
        <f t="shared" si="5"/>
        <v>19..01.02.02.02.</v>
      </c>
      <c r="G27" s="2152" t="s">
        <v>2300</v>
      </c>
      <c r="H27" s="2149"/>
      <c r="I27" s="2150"/>
      <c r="J27" s="2158">
        <f>+H27*TCambioSalida!$E$8+I27</f>
        <v>0</v>
      </c>
      <c r="K27" s="2149"/>
      <c r="L27" s="2150"/>
      <c r="M27" s="2161">
        <f>+K27*TCambioSalida!$F$7+L27</f>
        <v>0</v>
      </c>
    </row>
    <row r="28" spans="1:13" ht="30.75" customHeight="1">
      <c r="A28" s="553"/>
      <c r="B28" s="1355" t="s">
        <v>2285</v>
      </c>
      <c r="C28" s="564"/>
      <c r="D28" s="567"/>
      <c r="F28" s="1541" t="str">
        <f t="shared" si="5"/>
        <v>19..01.02.03.</v>
      </c>
      <c r="G28" s="1542" t="s">
        <v>2301</v>
      </c>
      <c r="H28" s="1535"/>
      <c r="I28" s="1536"/>
      <c r="J28" s="2161">
        <f>+H28*TCambioSalida!$E$7+I28</f>
        <v>0</v>
      </c>
      <c r="K28" s="1535"/>
      <c r="L28" s="1536"/>
      <c r="M28" s="2161">
        <f>+K28*TCambioSalida!$F$7+L28</f>
        <v>0</v>
      </c>
    </row>
    <row r="29" spans="1:13" ht="30.75" customHeight="1">
      <c r="A29" s="553">
        <v>19</v>
      </c>
      <c r="B29" s="554" t="s">
        <v>2302</v>
      </c>
      <c r="C29" s="568">
        <v>355</v>
      </c>
      <c r="D29" s="273" t="s">
        <v>2303</v>
      </c>
      <c r="F29" s="1372" t="str">
        <f t="shared" si="1"/>
        <v>19..02.</v>
      </c>
      <c r="G29" s="1365" t="s">
        <v>2304</v>
      </c>
      <c r="H29" s="1449">
        <f>+SUM(H30,H38)</f>
        <v>0</v>
      </c>
      <c r="I29" s="1450">
        <f>+SUM(I30,I38)</f>
        <v>0</v>
      </c>
      <c r="J29" s="1451">
        <f t="shared" ref="J29:M29" si="6">+SUM(J30,J38)</f>
        <v>0</v>
      </c>
      <c r="K29" s="1449">
        <f t="shared" si="6"/>
        <v>0</v>
      </c>
      <c r="L29" s="1450">
        <f t="shared" si="6"/>
        <v>0</v>
      </c>
      <c r="M29" s="1451">
        <f t="shared" si="6"/>
        <v>0</v>
      </c>
    </row>
    <row r="30" spans="1:13" ht="30.75" customHeight="1">
      <c r="A30" s="553">
        <v>19</v>
      </c>
      <c r="B30" s="1355" t="s">
        <v>2277</v>
      </c>
      <c r="C30" s="573"/>
      <c r="D30" s="574" t="str">
        <f>D28&amp;B30</f>
        <v>01.</v>
      </c>
      <c r="F30" s="1411" t="s">
        <v>4445</v>
      </c>
      <c r="G30" s="1412" t="s">
        <v>4446</v>
      </c>
      <c r="H30" s="1444">
        <f>SUM(H31,H34,H37)</f>
        <v>0</v>
      </c>
      <c r="I30" s="1445">
        <f t="shared" ref="I30:J30" si="7">SUM(I31,I34,I37)</f>
        <v>0</v>
      </c>
      <c r="J30" s="1446">
        <f t="shared" si="7"/>
        <v>0</v>
      </c>
      <c r="K30" s="1444">
        <f>SUM(K31,K34,K37)</f>
        <v>0</v>
      </c>
      <c r="L30" s="1445">
        <f>SUM(L31,L34,L37)</f>
        <v>0</v>
      </c>
      <c r="M30" s="1446">
        <f>SUM(M31,M34,M37)</f>
        <v>0</v>
      </c>
    </row>
    <row r="31" spans="1:13" ht="30.75" customHeight="1">
      <c r="A31" s="553">
        <v>19</v>
      </c>
      <c r="B31" s="1355" t="s">
        <v>2277</v>
      </c>
      <c r="C31" s="1533"/>
      <c r="D31" s="562" t="str">
        <f>D29&amp;B31</f>
        <v>19..02.01.</v>
      </c>
      <c r="F31" s="1356" t="s">
        <v>4451</v>
      </c>
      <c r="G31" s="1414" t="s">
        <v>4484</v>
      </c>
      <c r="H31" s="1447"/>
      <c r="I31" s="1448"/>
      <c r="J31" s="2161">
        <f>+H31*TCambioSalida!$E$7+I31</f>
        <v>0</v>
      </c>
      <c r="K31" s="1447"/>
      <c r="L31" s="1448"/>
      <c r="M31" s="2161">
        <f>+K31*TCambioSalida!$F$7+L31</f>
        <v>0</v>
      </c>
    </row>
    <row r="32" spans="1:13" ht="30.75" customHeight="1">
      <c r="A32" s="553"/>
      <c r="B32" s="1355" t="s">
        <v>2277</v>
      </c>
      <c r="C32" s="1533"/>
      <c r="D32" s="562"/>
      <c r="F32" s="1541" t="s">
        <v>4456</v>
      </c>
      <c r="G32" s="1537" t="s">
        <v>4448</v>
      </c>
      <c r="H32" s="1535"/>
      <c r="I32" s="1536"/>
      <c r="J32" s="2161">
        <f>+H32*TCambioSalida!$E$7+I32</f>
        <v>0</v>
      </c>
      <c r="K32" s="1535"/>
      <c r="L32" s="1536"/>
      <c r="M32" s="2161">
        <f>+K32*TCambioSalida!$F$7+L32</f>
        <v>0</v>
      </c>
    </row>
    <row r="33" spans="1:13" ht="30.75" customHeight="1">
      <c r="A33" s="553"/>
      <c r="B33" s="1355" t="s">
        <v>2279</v>
      </c>
      <c r="C33" s="1533"/>
      <c r="D33" s="562"/>
      <c r="F33" s="1541" t="s">
        <v>4452</v>
      </c>
      <c r="G33" s="1537" t="s">
        <v>4449</v>
      </c>
      <c r="H33" s="1535"/>
      <c r="I33" s="1536"/>
      <c r="J33" s="2161">
        <f>+H33*TCambioSalida!$E$7+I33</f>
        <v>0</v>
      </c>
      <c r="K33" s="1535"/>
      <c r="L33" s="1536"/>
      <c r="M33" s="2161">
        <f>+K33*TCambioSalida!$F$7+L33</f>
        <v>0</v>
      </c>
    </row>
    <row r="34" spans="1:13" ht="30.75" customHeight="1">
      <c r="A34" s="553"/>
      <c r="B34" s="1355"/>
      <c r="C34" s="1533"/>
      <c r="D34" s="562" t="s">
        <v>2305</v>
      </c>
      <c r="F34" s="1356" t="s">
        <v>4453</v>
      </c>
      <c r="G34" s="1534" t="s">
        <v>4447</v>
      </c>
      <c r="H34" s="1535"/>
      <c r="I34" s="1536"/>
      <c r="J34" s="2161">
        <f>+H34*TCambioSalida!$E$7+I34</f>
        <v>0</v>
      </c>
      <c r="K34" s="1535"/>
      <c r="L34" s="1536"/>
      <c r="M34" s="2161">
        <f>+K34*TCambioSalida!$F$7+L34</f>
        <v>0</v>
      </c>
    </row>
    <row r="35" spans="1:13" s="2151" customFormat="1" ht="30.75" hidden="1" customHeight="1">
      <c r="A35" s="2143"/>
      <c r="B35" s="2144" t="s">
        <v>2277</v>
      </c>
      <c r="C35" s="2145"/>
      <c r="D35" s="2146"/>
      <c r="E35" s="2147"/>
      <c r="F35" s="2153" t="s">
        <v>4457</v>
      </c>
      <c r="G35" s="2152" t="s">
        <v>4450</v>
      </c>
      <c r="H35" s="2149"/>
      <c r="I35" s="2150"/>
      <c r="J35" s="2161">
        <f>+H35*TCambioSalida!$E$7+I35</f>
        <v>0</v>
      </c>
      <c r="K35" s="2149"/>
      <c r="L35" s="2150"/>
      <c r="M35" s="2161">
        <f>+K35*TCambioSalida!$F$7+L35</f>
        <v>0</v>
      </c>
    </row>
    <row r="36" spans="1:13" s="2151" customFormat="1" ht="30.75" hidden="1" customHeight="1">
      <c r="A36" s="2143"/>
      <c r="B36" s="2144" t="s">
        <v>2279</v>
      </c>
      <c r="C36" s="2145"/>
      <c r="D36" s="2146"/>
      <c r="E36" s="2147"/>
      <c r="F36" s="2153" t="s">
        <v>4458</v>
      </c>
      <c r="G36" s="2152" t="s">
        <v>4489</v>
      </c>
      <c r="H36" s="2149"/>
      <c r="I36" s="2150"/>
      <c r="J36" s="2161">
        <f>+H36*TCambioSalida!$E$7+I36</f>
        <v>0</v>
      </c>
      <c r="K36" s="2149"/>
      <c r="L36" s="2150"/>
      <c r="M36" s="2161">
        <f>+K36*TCambioSalida!$F$7+L36</f>
        <v>0</v>
      </c>
    </row>
    <row r="37" spans="1:13" ht="30.75" customHeight="1">
      <c r="A37" s="553"/>
      <c r="B37" s="1355"/>
      <c r="C37" s="564"/>
      <c r="D37" s="567" t="s">
        <v>2306</v>
      </c>
      <c r="F37" s="1541" t="s">
        <v>4454</v>
      </c>
      <c r="G37" s="1542" t="s">
        <v>4483</v>
      </c>
      <c r="H37" s="1535"/>
      <c r="I37" s="1536"/>
      <c r="J37" s="2161">
        <f>+H37*TCambioSalida!$E$7+I37</f>
        <v>0</v>
      </c>
      <c r="K37" s="1535"/>
      <c r="L37" s="1536"/>
      <c r="M37" s="2161">
        <f>+K37*TCambioSalida!$F$7+L37</f>
        <v>0</v>
      </c>
    </row>
    <row r="38" spans="1:13" ht="30.75" customHeight="1">
      <c r="A38" s="553"/>
      <c r="B38" s="554"/>
      <c r="C38" s="564"/>
      <c r="D38" s="567"/>
      <c r="F38" s="1411" t="s">
        <v>2305</v>
      </c>
      <c r="G38" s="1412" t="s">
        <v>4465</v>
      </c>
      <c r="H38" s="1444">
        <f>SUM(H39,H42,H45)</f>
        <v>0</v>
      </c>
      <c r="I38" s="1445">
        <f>SUM(I39,I42,I45)</f>
        <v>0</v>
      </c>
      <c r="J38" s="1446">
        <f t="shared" ref="J38" si="8">SUM(J39,J42,J45)</f>
        <v>0</v>
      </c>
      <c r="K38" s="1444">
        <f>SUM(K39,K42,K45)</f>
        <v>0</v>
      </c>
      <c r="L38" s="1445">
        <f>SUM(L39,L42,L45)</f>
        <v>0</v>
      </c>
      <c r="M38" s="1446">
        <f>SUM(M39,M42,M45)</f>
        <v>0</v>
      </c>
    </row>
    <row r="39" spans="1:13" ht="30.75" customHeight="1">
      <c r="A39" s="553"/>
      <c r="B39" s="554"/>
      <c r="C39" s="564"/>
      <c r="D39" s="567"/>
      <c r="F39" s="1356" t="s">
        <v>4455</v>
      </c>
      <c r="G39" s="2133" t="s">
        <v>4485</v>
      </c>
      <c r="H39" s="1447"/>
      <c r="I39" s="1448"/>
      <c r="J39" s="2161">
        <f>+H39*TCambioSalida!$E$7+I39</f>
        <v>0</v>
      </c>
      <c r="K39" s="1447"/>
      <c r="L39" s="1448"/>
      <c r="M39" s="2161">
        <f>+K39*TCambioSalida!$F$7+L39</f>
        <v>0</v>
      </c>
    </row>
    <row r="40" spans="1:13" ht="30.75" customHeight="1">
      <c r="A40" s="553"/>
      <c r="B40" s="554"/>
      <c r="C40" s="564"/>
      <c r="D40" s="567"/>
      <c r="F40" s="1541" t="s">
        <v>4461</v>
      </c>
      <c r="G40" s="2134" t="s">
        <v>4487</v>
      </c>
      <c r="H40" s="1535"/>
      <c r="I40" s="1536"/>
      <c r="J40" s="2161">
        <f>+H40*TCambioSalida!$E$7+I40</f>
        <v>0</v>
      </c>
      <c r="K40" s="1535"/>
      <c r="L40" s="1536"/>
      <c r="M40" s="2161">
        <f>+K40*TCambioSalida!$F$7+L40</f>
        <v>0</v>
      </c>
    </row>
    <row r="41" spans="1:13" ht="30.75" customHeight="1">
      <c r="A41" s="553"/>
      <c r="B41" s="554"/>
      <c r="C41" s="564"/>
      <c r="D41" s="567"/>
      <c r="F41" s="1541" t="s">
        <v>4462</v>
      </c>
      <c r="G41" s="2134" t="s">
        <v>2297</v>
      </c>
      <c r="H41" s="1535"/>
      <c r="I41" s="1536"/>
      <c r="J41" s="2161">
        <f>+H41*TCambioSalida!$E$7+I41</f>
        <v>0</v>
      </c>
      <c r="K41" s="1535"/>
      <c r="L41" s="1536"/>
      <c r="M41" s="2161">
        <f>+K41*TCambioSalida!$F$7+L41</f>
        <v>0</v>
      </c>
    </row>
    <row r="42" spans="1:13" ht="30.75" customHeight="1">
      <c r="A42" s="553"/>
      <c r="B42" s="1355"/>
      <c r="C42" s="1533"/>
      <c r="D42" s="562"/>
      <c r="F42" s="1356" t="s">
        <v>4459</v>
      </c>
      <c r="G42" s="1534" t="s">
        <v>4486</v>
      </c>
      <c r="H42" s="1535"/>
      <c r="I42" s="1536"/>
      <c r="J42" s="2161">
        <f>+H42*TCambioSalida!$E$7+I42</f>
        <v>0</v>
      </c>
      <c r="K42" s="1535"/>
      <c r="L42" s="1536"/>
      <c r="M42" s="2161">
        <f>+K42*TCambioSalida!$F$7+L42</f>
        <v>0</v>
      </c>
    </row>
    <row r="43" spans="1:13" s="2151" customFormat="1" ht="30.75" hidden="1" customHeight="1">
      <c r="A43" s="2143"/>
      <c r="B43" s="2154"/>
      <c r="C43" s="2155"/>
      <c r="D43" s="2156"/>
      <c r="E43" s="2147"/>
      <c r="F43" s="2153" t="s">
        <v>4463</v>
      </c>
      <c r="G43" s="2157" t="s">
        <v>4488</v>
      </c>
      <c r="H43" s="2149"/>
      <c r="I43" s="2150"/>
      <c r="J43" s="2161">
        <f>+H43*TCambioSalida!$E$7+I43</f>
        <v>0</v>
      </c>
      <c r="K43" s="2149"/>
      <c r="L43" s="2150"/>
      <c r="M43" s="2161">
        <f>+K43*TCambioSalida!$F$7+L43</f>
        <v>0</v>
      </c>
    </row>
    <row r="44" spans="1:13" s="2151" customFormat="1" ht="30.75" hidden="1" customHeight="1">
      <c r="A44" s="2143"/>
      <c r="B44" s="2154"/>
      <c r="C44" s="2155"/>
      <c r="D44" s="2156"/>
      <c r="E44" s="2147"/>
      <c r="F44" s="2153" t="s">
        <v>4464</v>
      </c>
      <c r="G44" s="2157" t="s">
        <v>4490</v>
      </c>
      <c r="H44" s="2149"/>
      <c r="I44" s="2150"/>
      <c r="J44" s="2161">
        <f>+H44*TCambioSalida!$E$7+I44</f>
        <v>0</v>
      </c>
      <c r="K44" s="2149"/>
      <c r="L44" s="2150"/>
      <c r="M44" s="2161">
        <f>+K44*TCambioSalida!$F$7+L44</f>
        <v>0</v>
      </c>
    </row>
    <row r="45" spans="1:13" ht="30.75" customHeight="1">
      <c r="A45" s="553"/>
      <c r="B45" s="554"/>
      <c r="C45" s="564"/>
      <c r="D45" s="567"/>
      <c r="F45" s="1541" t="s">
        <v>4460</v>
      </c>
      <c r="G45" s="1542" t="s">
        <v>2301</v>
      </c>
      <c r="H45" s="1535"/>
      <c r="I45" s="1536"/>
      <c r="J45" s="2161">
        <f>+H45*TCambioSalida!$E$7+I45</f>
        <v>0</v>
      </c>
      <c r="K45" s="1535"/>
      <c r="L45" s="1536"/>
      <c r="M45" s="2161">
        <f>+K45*TCambioSalida!$F$7+L45</f>
        <v>0</v>
      </c>
    </row>
    <row r="46" spans="1:13" ht="30.75" customHeight="1" thickBot="1">
      <c r="A46" s="1199">
        <v>19</v>
      </c>
      <c r="B46" s="1200" t="s">
        <v>2307</v>
      </c>
      <c r="C46" s="577">
        <v>380</v>
      </c>
      <c r="D46" s="578" t="s">
        <v>2308</v>
      </c>
      <c r="F46" s="1373" t="str">
        <f t="shared" si="1"/>
        <v>19..99.</v>
      </c>
      <c r="G46" s="1366" t="s">
        <v>2309</v>
      </c>
      <c r="H46" s="2162"/>
      <c r="I46" s="2163"/>
      <c r="J46" s="1452">
        <f>+H46*TCambioSalida!$E$7+I46</f>
        <v>0</v>
      </c>
      <c r="K46" s="2162"/>
      <c r="L46" s="2163"/>
      <c r="M46" s="1452">
        <f>+K46*TCambioSalida!$F$7+L46</f>
        <v>0</v>
      </c>
    </row>
    <row r="47" spans="1:13" ht="30.75" customHeight="1" thickBot="1">
      <c r="A47" s="38"/>
      <c r="F47" s="2135" t="s">
        <v>2310</v>
      </c>
      <c r="G47" s="52"/>
      <c r="H47" s="52"/>
      <c r="I47" s="52"/>
      <c r="J47" s="52"/>
      <c r="K47" s="52"/>
      <c r="L47" s="52"/>
      <c r="M47" s="52"/>
    </row>
    <row r="48" spans="1:13" ht="42.75" customHeight="1" thickTop="1" thickBot="1">
      <c r="A48" s="38"/>
      <c r="F48" s="1519" t="s">
        <v>2311</v>
      </c>
      <c r="G48" s="52"/>
      <c r="H48" s="2245" t="s">
        <v>2312</v>
      </c>
      <c r="I48" s="2246"/>
      <c r="J48" s="2246"/>
      <c r="K48" s="2246"/>
      <c r="L48" s="2246"/>
      <c r="M48" s="2247"/>
    </row>
    <row r="49" spans="1:13" ht="51" customHeight="1" thickTop="1">
      <c r="A49" s="1359"/>
      <c r="B49" s="1360"/>
      <c r="C49" s="573"/>
      <c r="D49" s="1361" t="s">
        <v>2313</v>
      </c>
      <c r="F49" s="557"/>
      <c r="G49" s="1367" t="s">
        <v>2314</v>
      </c>
      <c r="H49" s="2254" t="s">
        <v>2315</v>
      </c>
      <c r="I49" s="2255"/>
      <c r="J49" s="2256"/>
      <c r="K49" s="2257" t="str">
        <f>CONCATENATE("EN EL TRIMESTRE ACTUAL: ",Menu!D3,"T",Menu!C3," ",Menu!E4)</f>
        <v>EN EL TRIMESTRE ACTUAL: 3T2025 (JUL - SET)</v>
      </c>
      <c r="L49" s="2255"/>
      <c r="M49" s="2256"/>
    </row>
    <row r="50" spans="1:13" ht="36" customHeight="1">
      <c r="B50" s="1362" t="s">
        <v>2277</v>
      </c>
      <c r="C50" s="573">
        <v>355</v>
      </c>
      <c r="D50" s="574"/>
      <c r="F50" s="1356" t="str">
        <f>+$D$49&amp;B50</f>
        <v>19..03.01.</v>
      </c>
      <c r="G50" s="1521" t="s">
        <v>2316</v>
      </c>
      <c r="H50" s="2248"/>
      <c r="I50" s="2249"/>
      <c r="J50" s="2250"/>
      <c r="K50" s="2248"/>
      <c r="L50" s="2249"/>
      <c r="M50" s="2250"/>
    </row>
    <row r="51" spans="1:13" ht="39" customHeight="1" thickBot="1">
      <c r="A51" s="1182"/>
      <c r="B51" s="1363" t="s">
        <v>2279</v>
      </c>
      <c r="C51" s="1357"/>
      <c r="D51" s="1358"/>
      <c r="F51" s="1543" t="str">
        <f>+$D$49&amp;B51</f>
        <v>19..03.02.</v>
      </c>
      <c r="G51" s="1544" t="s">
        <v>2317</v>
      </c>
      <c r="H51" s="2251"/>
      <c r="I51" s="2252"/>
      <c r="J51" s="2253"/>
      <c r="K51" s="2251"/>
      <c r="L51" s="2252"/>
      <c r="M51" s="2253"/>
    </row>
    <row r="52" spans="1:13">
      <c r="F52" s="39"/>
      <c r="G52" s="38"/>
      <c r="H52" s="38"/>
      <c r="I52" s="38"/>
      <c r="J52" s="38"/>
      <c r="K52" s="38"/>
      <c r="L52" s="38"/>
      <c r="M52" s="38"/>
    </row>
    <row r="53" spans="1:13">
      <c r="F53" s="39"/>
      <c r="G53" s="38"/>
      <c r="H53" s="38"/>
      <c r="I53" s="38"/>
      <c r="J53" s="38"/>
      <c r="K53" s="38"/>
      <c r="L53" s="38"/>
      <c r="M53" s="38"/>
    </row>
    <row r="54" spans="1:13">
      <c r="F54" s="39"/>
      <c r="G54" s="583"/>
      <c r="H54" s="38"/>
      <c r="I54" s="38"/>
      <c r="J54" s="38"/>
      <c r="K54" s="38"/>
      <c r="L54" s="38"/>
      <c r="M54" s="38"/>
    </row>
    <row r="55" spans="1:13">
      <c r="F55" s="39"/>
      <c r="G55" s="38"/>
      <c r="H55" s="38"/>
      <c r="I55" s="38"/>
      <c r="J55" s="38"/>
      <c r="K55" s="38"/>
      <c r="L55" s="38"/>
      <c r="M55" s="38"/>
    </row>
    <row r="56" spans="1:13">
      <c r="F56" s="39"/>
      <c r="G56" s="38"/>
      <c r="H56" s="38"/>
      <c r="I56" s="38"/>
      <c r="J56" s="38"/>
      <c r="K56" s="38"/>
      <c r="L56" s="38"/>
      <c r="M56" s="38"/>
    </row>
    <row r="57" spans="1:13">
      <c r="F57" s="39"/>
      <c r="G57" s="38"/>
      <c r="H57" s="38"/>
      <c r="I57" s="38"/>
      <c r="J57" s="38"/>
      <c r="K57" s="38"/>
      <c r="L57" s="38"/>
      <c r="M57" s="38"/>
    </row>
    <row r="58" spans="1:13">
      <c r="F58" s="39"/>
      <c r="G58" s="38"/>
      <c r="H58" s="38"/>
      <c r="I58" s="38"/>
      <c r="J58" s="38"/>
      <c r="K58" s="38"/>
      <c r="L58" s="38"/>
      <c r="M58" s="38"/>
    </row>
    <row r="59" spans="1:13">
      <c r="F59" s="39"/>
      <c r="G59" s="38"/>
      <c r="H59" s="38"/>
      <c r="I59" s="38"/>
      <c r="J59" s="38"/>
      <c r="K59" s="38"/>
      <c r="L59" s="38"/>
      <c r="M59" s="38"/>
    </row>
    <row r="60" spans="1:13">
      <c r="F60" s="39"/>
      <c r="G60" s="38"/>
      <c r="H60" s="38"/>
      <c r="I60" s="38"/>
      <c r="J60" s="38"/>
      <c r="K60" s="38"/>
      <c r="L60" s="38"/>
      <c r="M60" s="38"/>
    </row>
    <row r="61" spans="1:13">
      <c r="A61" s="38"/>
      <c r="F61" s="39"/>
      <c r="G61" s="38"/>
      <c r="H61" s="38"/>
      <c r="I61" s="38"/>
      <c r="J61" s="38"/>
      <c r="K61" s="38"/>
      <c r="L61" s="38"/>
      <c r="M61" s="38"/>
    </row>
    <row r="62" spans="1:13">
      <c r="A62" s="38"/>
      <c r="F62" s="39"/>
      <c r="G62" s="38"/>
      <c r="H62" s="38"/>
      <c r="I62" s="38"/>
      <c r="J62" s="38"/>
      <c r="K62" s="38"/>
      <c r="L62" s="38"/>
      <c r="M62" s="38"/>
    </row>
    <row r="63" spans="1:13">
      <c r="A63" s="38"/>
      <c r="F63" s="39"/>
      <c r="G63" s="38"/>
      <c r="H63" s="38"/>
      <c r="I63" s="38"/>
      <c r="J63" s="38"/>
      <c r="K63" s="38"/>
      <c r="L63" s="38"/>
      <c r="M63" s="38"/>
    </row>
    <row r="64" spans="1:13">
      <c r="A64" s="38"/>
      <c r="F64" s="39"/>
      <c r="G64" s="38"/>
      <c r="H64" s="38"/>
      <c r="I64" s="38"/>
      <c r="J64" s="38"/>
      <c r="K64" s="38"/>
      <c r="L64" s="38"/>
      <c r="M64" s="38"/>
    </row>
    <row r="65" spans="1:13">
      <c r="A65" s="38"/>
      <c r="F65" s="39"/>
      <c r="G65" s="38"/>
      <c r="H65" s="38"/>
      <c r="I65" s="38"/>
      <c r="J65" s="38"/>
      <c r="K65" s="38"/>
      <c r="L65" s="38"/>
      <c r="M65" s="38"/>
    </row>
    <row r="66" spans="1:13">
      <c r="A66" s="38"/>
      <c r="F66" s="39"/>
      <c r="G66" s="38"/>
      <c r="H66" s="38"/>
      <c r="I66" s="38"/>
      <c r="J66" s="38"/>
      <c r="K66" s="38"/>
      <c r="L66" s="38"/>
      <c r="M66" s="38"/>
    </row>
    <row r="67" spans="1:13">
      <c r="A67" s="38"/>
      <c r="F67" s="39"/>
      <c r="G67" s="38"/>
      <c r="H67" s="38"/>
      <c r="I67" s="38"/>
      <c r="J67" s="38"/>
      <c r="K67" s="38"/>
      <c r="L67" s="38"/>
      <c r="M67" s="38"/>
    </row>
    <row r="68" spans="1:13">
      <c r="A68" s="38"/>
      <c r="F68" s="39"/>
      <c r="G68" s="38"/>
      <c r="H68" s="38"/>
      <c r="I68" s="38"/>
      <c r="J68" s="38"/>
      <c r="K68" s="38"/>
      <c r="L68" s="38"/>
      <c r="M68" s="38"/>
    </row>
    <row r="69" spans="1:13">
      <c r="A69" s="38"/>
      <c r="F69" s="39"/>
      <c r="G69" s="38"/>
      <c r="H69" s="38"/>
      <c r="I69" s="38"/>
      <c r="J69" s="38"/>
      <c r="K69" s="38"/>
      <c r="L69" s="38"/>
      <c r="M69" s="38"/>
    </row>
    <row r="70" spans="1:13">
      <c r="A70" s="38"/>
      <c r="F70" s="39"/>
      <c r="G70" s="38"/>
      <c r="H70" s="38"/>
      <c r="I70" s="38"/>
      <c r="J70" s="38"/>
      <c r="K70" s="38"/>
      <c r="L70" s="38"/>
      <c r="M70" s="38"/>
    </row>
    <row r="71" spans="1:13">
      <c r="A71" s="38"/>
      <c r="F71" s="39"/>
      <c r="G71" s="38"/>
      <c r="H71" s="38"/>
      <c r="I71" s="38"/>
      <c r="J71" s="38"/>
      <c r="K71" s="38"/>
      <c r="L71" s="38"/>
      <c r="M71" s="38"/>
    </row>
    <row r="72" spans="1:13">
      <c r="A72" s="38"/>
      <c r="F72" s="39"/>
      <c r="G72" s="38"/>
      <c r="H72" s="38"/>
      <c r="I72" s="38"/>
      <c r="J72" s="38"/>
      <c r="K72" s="38"/>
      <c r="L72" s="38"/>
      <c r="M72" s="38"/>
    </row>
    <row r="73" spans="1:13">
      <c r="A73" s="38"/>
      <c r="F73" s="39"/>
      <c r="G73" s="38"/>
      <c r="H73" s="38"/>
      <c r="I73" s="38"/>
      <c r="J73" s="38"/>
      <c r="K73" s="38"/>
      <c r="L73" s="38"/>
      <c r="M73" s="38"/>
    </row>
    <row r="74" spans="1:13">
      <c r="A74" s="38"/>
      <c r="F74" s="39"/>
      <c r="G74" s="38"/>
      <c r="H74" s="38"/>
      <c r="I74" s="38"/>
      <c r="J74" s="38"/>
      <c r="K74" s="38"/>
      <c r="L74" s="38"/>
      <c r="M74" s="38"/>
    </row>
    <row r="75" spans="1:13">
      <c r="A75" s="38"/>
      <c r="F75" s="39"/>
      <c r="G75" s="38"/>
      <c r="H75" s="38"/>
      <c r="I75" s="38"/>
      <c r="J75" s="38"/>
      <c r="K75" s="38"/>
      <c r="L75" s="38"/>
      <c r="M75" s="38"/>
    </row>
    <row r="76" spans="1:13">
      <c r="A76" s="38"/>
      <c r="F76" s="39"/>
      <c r="G76" s="38"/>
      <c r="H76" s="38"/>
      <c r="I76" s="38"/>
      <c r="J76" s="38"/>
      <c r="K76" s="38"/>
      <c r="L76" s="38"/>
      <c r="M76" s="38"/>
    </row>
    <row r="77" spans="1:13">
      <c r="A77" s="38"/>
      <c r="F77" s="39"/>
      <c r="G77" s="38"/>
      <c r="H77" s="38"/>
      <c r="I77" s="38"/>
      <c r="J77" s="38"/>
      <c r="K77" s="38"/>
      <c r="L77" s="38"/>
      <c r="M77" s="38"/>
    </row>
    <row r="78" spans="1:13">
      <c r="A78" s="38"/>
      <c r="F78" s="39"/>
      <c r="G78" s="38"/>
      <c r="H78" s="38"/>
      <c r="I78" s="38"/>
      <c r="J78" s="38"/>
      <c r="K78" s="38"/>
      <c r="L78" s="38"/>
      <c r="M78" s="38"/>
    </row>
    <row r="79" spans="1:13">
      <c r="A79" s="38"/>
      <c r="F79" s="39"/>
      <c r="G79" s="38"/>
      <c r="H79" s="38"/>
      <c r="I79" s="38"/>
      <c r="J79" s="38"/>
      <c r="K79" s="38"/>
      <c r="L79" s="38"/>
      <c r="M79" s="38"/>
    </row>
    <row r="80" spans="1:13">
      <c r="A80" s="38"/>
      <c r="F80" s="39"/>
      <c r="G80" s="38"/>
      <c r="H80" s="38"/>
      <c r="I80" s="38"/>
      <c r="J80" s="38"/>
      <c r="K80" s="38"/>
      <c r="L80" s="38"/>
      <c r="M80" s="38"/>
    </row>
    <row r="81" spans="1:13">
      <c r="A81" s="38"/>
      <c r="F81" s="39"/>
      <c r="G81" s="38"/>
      <c r="H81" s="38"/>
      <c r="I81" s="38"/>
      <c r="J81" s="38"/>
      <c r="K81" s="38"/>
      <c r="L81" s="38"/>
      <c r="M81" s="38"/>
    </row>
    <row r="82" spans="1:13">
      <c r="A82" s="38"/>
      <c r="F82" s="39"/>
      <c r="G82" s="38"/>
      <c r="H82" s="38"/>
      <c r="I82" s="38"/>
      <c r="J82" s="38"/>
      <c r="K82" s="38"/>
      <c r="L82" s="38"/>
      <c r="M82" s="38"/>
    </row>
    <row r="83" spans="1:13">
      <c r="A83" s="38"/>
      <c r="F83" s="39"/>
      <c r="G83" s="38"/>
      <c r="H83" s="38"/>
      <c r="I83" s="38"/>
      <c r="J83" s="38"/>
      <c r="K83" s="38"/>
      <c r="L83" s="38"/>
      <c r="M83" s="38"/>
    </row>
  </sheetData>
  <sheetProtection algorithmName="SHA-512" hashValue="gyvkj4gRWT3JfhUAlEsI2Rpd6GWebUKVRGcWRAUcgQ9JgzO7HA+dBpnrS7xRRdaASC2YUYnpIKZg2LHn+R802g==" saltValue="/8ksUMSqir5eBINgjjuGew==" spinCount="100000" sheet="1" objects="1" scenarios="1"/>
  <mergeCells count="12">
    <mergeCell ref="C7:D7"/>
    <mergeCell ref="H8:J8"/>
    <mergeCell ref="H7:M7"/>
    <mergeCell ref="K8:M8"/>
    <mergeCell ref="F7:G10"/>
    <mergeCell ref="H48:M48"/>
    <mergeCell ref="H50:J50"/>
    <mergeCell ref="H51:J51"/>
    <mergeCell ref="K50:M50"/>
    <mergeCell ref="K51:M51"/>
    <mergeCell ref="H49:J49"/>
    <mergeCell ref="K49:M49"/>
  </mergeCells>
  <printOptions horizontalCentered="1"/>
  <pageMargins left="0.43307086614173229" right="0.35433070866141736" top="0.86614173228346458" bottom="0.47244094488188981" header="0.47244094488188981" footer="0"/>
  <pageSetup paperSize="9" scale="36" orientation="landscape" r:id="rId1"/>
  <headerFooter alignWithMargins="0">
    <oddFooter>&amp;L&amp;18&amp;D&amp;C&amp;14&amp;F&amp;R&amp;14&amp;A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49">
    <tabColor rgb="FFFF0000"/>
    <pageSetUpPr fitToPage="1"/>
  </sheetPr>
  <dimension ref="A1:V55"/>
  <sheetViews>
    <sheetView topLeftCell="E1" zoomScale="70" zoomScaleNormal="70" workbookViewId="0">
      <selection activeCell="M10" sqref="M10"/>
    </sheetView>
  </sheetViews>
  <sheetFormatPr baseColWidth="10" defaultColWidth="11.42578125" defaultRowHeight="12.75"/>
  <cols>
    <col min="1" max="1" width="9.42578125" hidden="1" customWidth="1"/>
    <col min="2" max="2" width="9.42578125" style="96" hidden="1" customWidth="1"/>
    <col min="3" max="3" width="14.85546875" style="96" hidden="1" customWidth="1"/>
    <col min="4" max="4" width="19" style="96" hidden="1" customWidth="1"/>
    <col min="5" max="5" width="9.42578125" style="96" customWidth="1"/>
    <col min="6" max="6" width="18.140625" style="12" customWidth="1"/>
    <col min="7" max="7" width="61.42578125" customWidth="1"/>
    <col min="8" max="8" width="23.42578125" customWidth="1"/>
    <col min="9" max="9" width="20.7109375" customWidth="1"/>
    <col min="10" max="22" width="11.42578125" style="38"/>
  </cols>
  <sheetData>
    <row r="1" spans="1:9" ht="20.25">
      <c r="F1" s="536" t="s">
        <v>2253</v>
      </c>
      <c r="G1" s="537"/>
      <c r="H1" s="538" t="s">
        <v>2254</v>
      </c>
      <c r="I1" s="538" t="s">
        <v>2255</v>
      </c>
    </row>
    <row r="2" spans="1:9" ht="10.5" customHeight="1">
      <c r="F2" s="184"/>
      <c r="G2" s="185"/>
      <c r="H2" s="185"/>
      <c r="I2" s="186"/>
    </row>
    <row r="3" spans="1:9" ht="15" customHeight="1">
      <c r="F3" s="539"/>
      <c r="G3" s="540"/>
      <c r="H3" s="540"/>
      <c r="I3" s="540"/>
    </row>
    <row r="4" spans="1:9" ht="35.25" customHeight="1">
      <c r="D4" s="118"/>
      <c r="F4" s="183" t="str">
        <f ca="1">$C$6&amp;"  Balance general de la empresa declarante (*)"</f>
        <v>Panorama B. anterior  Balance general de la empresa declarante (*)</v>
      </c>
      <c r="G4" s="541"/>
      <c r="H4" s="541"/>
      <c r="I4" s="541"/>
    </row>
    <row r="5" spans="1:9" ht="15" customHeight="1">
      <c r="C5" s="38"/>
      <c r="D5" s="118"/>
      <c r="F5" s="187"/>
      <c r="G5" s="542"/>
      <c r="H5" s="542"/>
      <c r="I5" s="542"/>
    </row>
    <row r="6" spans="1:9" s="38" customFormat="1" ht="32.25" thickBot="1">
      <c r="B6" s="96"/>
      <c r="C6" s="130" t="str">
        <f ca="1">RIGHT(CELL("nombrearchivo",B2),LEN(CELL("nombrearchivo",B2))-SEARCH("]",CELL("nombrearchivo",B2)))</f>
        <v>Panorama B. anterior</v>
      </c>
      <c r="E6" s="96"/>
      <c r="F6" s="177" t="s">
        <v>2318</v>
      </c>
      <c r="G6" s="543"/>
      <c r="H6" s="544"/>
      <c r="I6" s="544"/>
    </row>
    <row r="7" spans="1:9" s="38" customFormat="1" ht="24" customHeight="1" thickTop="1">
      <c r="B7" s="96"/>
      <c r="C7" s="2258" t="str">
        <f ca="1">RIGHT(CELL("nombrearchivo",B2),LEN(CELL("nombrearchivo",B2))-SEARCH("]",CELL("nombrearchivo",B2)))</f>
        <v>Panorama B. anterior</v>
      </c>
      <c r="D7" s="2259"/>
      <c r="E7" s="96"/>
      <c r="F7" s="545"/>
      <c r="G7" s="546"/>
      <c r="H7" s="2272" t="s">
        <v>2319</v>
      </c>
      <c r="I7" s="2273"/>
    </row>
    <row r="8" spans="1:9" s="38" customFormat="1" ht="25.5" customHeight="1" thickBot="1">
      <c r="A8" s="547" t="s">
        <v>2261</v>
      </c>
      <c r="B8" s="548" t="s">
        <v>2262</v>
      </c>
      <c r="C8" s="549" t="s">
        <v>2171</v>
      </c>
      <c r="D8" s="550" t="s">
        <v>2172</v>
      </c>
      <c r="E8" s="96"/>
      <c r="F8" s="551"/>
      <c r="G8" s="552"/>
      <c r="H8" s="1174" t="str">
        <f>IF(TRIM&gt;1,Menu!C3,Menu!C3-1)&amp;": a "&amp;(LOWER(+Menu!F3))</f>
        <v>2025: a junio</v>
      </c>
      <c r="I8" s="1175" t="str">
        <f>+ANUAL&amp;": a "&amp;(LOWER(+Menu!E3))</f>
        <v>2025: a setiembre</v>
      </c>
    </row>
    <row r="9" spans="1:9" s="38" customFormat="1" ht="30.75" customHeight="1" thickTop="1">
      <c r="A9" s="553">
        <f>+'Tabla VI.'!A55+1</f>
        <v>19</v>
      </c>
      <c r="B9" s="554" t="s">
        <v>2272</v>
      </c>
      <c r="C9" s="555">
        <v>335</v>
      </c>
      <c r="D9" s="556" t="str">
        <f t="shared" ref="D9:D17" si="0">CONCATENATE(A9,B9)</f>
        <v>19.01.</v>
      </c>
      <c r="E9" s="96"/>
      <c r="F9" s="557" t="str">
        <f>+D9</f>
        <v>19.01.</v>
      </c>
      <c r="G9" s="558" t="s">
        <v>2274</v>
      </c>
      <c r="H9" s="559">
        <f>+H10+H13</f>
        <v>0</v>
      </c>
      <c r="I9" s="560">
        <f>+I10+I13</f>
        <v>0</v>
      </c>
    </row>
    <row r="10" spans="1:9" s="38" customFormat="1" ht="30.75" customHeight="1">
      <c r="A10" s="553">
        <f t="shared" ref="A10:A17" si="1">+A9</f>
        <v>19</v>
      </c>
      <c r="B10" s="554" t="s">
        <v>2320</v>
      </c>
      <c r="C10" s="561">
        <v>340</v>
      </c>
      <c r="D10" s="562" t="str">
        <f t="shared" si="0"/>
        <v>19.01.01.</v>
      </c>
      <c r="E10" s="96"/>
      <c r="F10" s="563" t="str">
        <f t="shared" ref="F10:F17" si="2">+D10</f>
        <v>19.01.01.</v>
      </c>
      <c r="G10" s="1522" t="s">
        <v>2276</v>
      </c>
      <c r="H10" s="1098">
        <f>SUM(H11,H12)</f>
        <v>0</v>
      </c>
      <c r="I10" s="1099">
        <f>SUM(I11,I12)</f>
        <v>0</v>
      </c>
    </row>
    <row r="11" spans="1:9" s="38" customFormat="1" ht="30.75" customHeight="1">
      <c r="A11" s="553">
        <f t="shared" si="1"/>
        <v>19</v>
      </c>
      <c r="B11" s="554" t="s">
        <v>2321</v>
      </c>
      <c r="C11" s="564"/>
      <c r="D11" s="562" t="str">
        <f t="shared" si="0"/>
        <v>19.01.01.01.</v>
      </c>
      <c r="E11" s="96"/>
      <c r="F11" s="565" t="str">
        <f t="shared" si="2"/>
        <v>19.01.01.01.</v>
      </c>
      <c r="G11" s="566" t="s">
        <v>2322</v>
      </c>
      <c r="H11" s="510">
        <f>'Panorama B.'!I12</f>
        <v>0</v>
      </c>
      <c r="I11" s="511">
        <f>'Panorama B.'!L12</f>
        <v>0</v>
      </c>
    </row>
    <row r="12" spans="1:9" s="38" customFormat="1" ht="30.75" customHeight="1">
      <c r="A12" s="553">
        <f t="shared" si="1"/>
        <v>19</v>
      </c>
      <c r="B12" s="554" t="s">
        <v>2323</v>
      </c>
      <c r="C12" s="1533"/>
      <c r="D12" s="562" t="str">
        <f t="shared" si="0"/>
        <v>19.01.01.02.</v>
      </c>
      <c r="E12" s="96"/>
      <c r="F12" s="1545" t="str">
        <f t="shared" si="2"/>
        <v>19.01.01.02.</v>
      </c>
      <c r="G12" s="1546" t="s">
        <v>2324</v>
      </c>
      <c r="H12" s="1547">
        <f>'Panorama B.'!J12-'Panorama B.'!I12</f>
        <v>0</v>
      </c>
      <c r="I12" s="1548">
        <f>'Panorama B.'!M12-'Panorama B.'!L12</f>
        <v>0</v>
      </c>
    </row>
    <row r="13" spans="1:9" s="38" customFormat="1" ht="30.75" customHeight="1">
      <c r="A13" s="553">
        <f t="shared" si="1"/>
        <v>19</v>
      </c>
      <c r="B13" s="554" t="s">
        <v>2325</v>
      </c>
      <c r="C13" s="564">
        <v>350</v>
      </c>
      <c r="D13" s="567" t="str">
        <f t="shared" si="0"/>
        <v>19.01.02.</v>
      </c>
      <c r="E13" s="96"/>
      <c r="F13" s="1549" t="str">
        <f t="shared" si="2"/>
        <v>19.01.02.</v>
      </c>
      <c r="G13" s="1550" t="s">
        <v>2294</v>
      </c>
      <c r="H13" s="1551">
        <f>'Panorama B.'!J21</f>
        <v>0</v>
      </c>
      <c r="I13" s="1552">
        <f>'Panorama B.'!M21</f>
        <v>0</v>
      </c>
    </row>
    <row r="14" spans="1:9" s="38" customFormat="1" ht="30.75" customHeight="1">
      <c r="A14" s="553">
        <f t="shared" si="1"/>
        <v>19</v>
      </c>
      <c r="B14" s="554" t="s">
        <v>2302</v>
      </c>
      <c r="C14" s="568">
        <v>355</v>
      </c>
      <c r="D14" s="273" t="str">
        <f t="shared" si="0"/>
        <v>19.02.</v>
      </c>
      <c r="E14" s="96"/>
      <c r="F14" s="569" t="str">
        <f t="shared" si="2"/>
        <v>19.02.</v>
      </c>
      <c r="G14" s="570" t="s">
        <v>2304</v>
      </c>
      <c r="H14" s="571">
        <f>+H15+H16</f>
        <v>0</v>
      </c>
      <c r="I14" s="572">
        <f>+I15+I16</f>
        <v>0</v>
      </c>
    </row>
    <row r="15" spans="1:9" s="38" customFormat="1" ht="30.75" customHeight="1">
      <c r="A15" s="553">
        <f t="shared" si="1"/>
        <v>19</v>
      </c>
      <c r="B15" s="554" t="s">
        <v>2326</v>
      </c>
      <c r="C15" s="573">
        <v>360</v>
      </c>
      <c r="D15" s="574" t="str">
        <f t="shared" si="0"/>
        <v>19.02.01.</v>
      </c>
      <c r="E15" s="96"/>
      <c r="F15" s="563" t="str">
        <f t="shared" si="2"/>
        <v>19.02.01.</v>
      </c>
      <c r="G15" s="1522" t="s">
        <v>2327</v>
      </c>
      <c r="H15" s="1141">
        <f>'Panorama B.'!I29</f>
        <v>0</v>
      </c>
      <c r="I15" s="1142">
        <f>'Panorama B.'!L29</f>
        <v>0</v>
      </c>
    </row>
    <row r="16" spans="1:9" s="38" customFormat="1" ht="30.75" customHeight="1">
      <c r="A16" s="553">
        <f t="shared" si="1"/>
        <v>19</v>
      </c>
      <c r="B16" s="554" t="s">
        <v>2328</v>
      </c>
      <c r="C16" s="575">
        <v>370</v>
      </c>
      <c r="D16" s="576" t="str">
        <f t="shared" si="0"/>
        <v>19.02.02.</v>
      </c>
      <c r="E16" s="96"/>
      <c r="F16" s="1545" t="str">
        <f t="shared" si="2"/>
        <v>19.02.02.</v>
      </c>
      <c r="G16" s="1553" t="s">
        <v>2329</v>
      </c>
      <c r="H16" s="1547">
        <f>'Panorama B.'!J29-'Panorama B.'!I29</f>
        <v>0</v>
      </c>
      <c r="I16" s="1548">
        <f>'Panorama B.'!M29-'Panorama B.'!L29</f>
        <v>0</v>
      </c>
    </row>
    <row r="17" spans="1:9" s="38" customFormat="1" ht="30.75" customHeight="1" thickBot="1">
      <c r="A17" s="1199">
        <f t="shared" si="1"/>
        <v>19</v>
      </c>
      <c r="B17" s="1200" t="s">
        <v>2307</v>
      </c>
      <c r="C17" s="577">
        <v>380</v>
      </c>
      <c r="D17" s="578" t="str">
        <f t="shared" si="0"/>
        <v>19.99.</v>
      </c>
      <c r="E17" s="96"/>
      <c r="F17" s="579" t="str">
        <f t="shared" si="2"/>
        <v>19.99.</v>
      </c>
      <c r="G17" s="580" t="s">
        <v>2309</v>
      </c>
      <c r="H17" s="239">
        <f>+H9-H14</f>
        <v>0</v>
      </c>
      <c r="I17" s="157">
        <f>+I9-I14</f>
        <v>0</v>
      </c>
    </row>
    <row r="18" spans="1:9" s="38" customFormat="1" ht="24" customHeight="1">
      <c r="B18" s="96"/>
      <c r="C18" s="96"/>
      <c r="D18" s="96"/>
      <c r="E18" s="96"/>
      <c r="F18" s="1100" t="s">
        <v>2310</v>
      </c>
      <c r="G18" s="52"/>
      <c r="H18" s="52"/>
      <c r="I18" s="52"/>
    </row>
    <row r="19" spans="1:9" s="38" customFormat="1">
      <c r="B19" s="96"/>
      <c r="C19" s="96"/>
      <c r="D19" s="96"/>
      <c r="E19" s="96"/>
      <c r="F19" s="581"/>
      <c r="G19" s="52"/>
      <c r="H19" s="52"/>
      <c r="I19" s="52"/>
    </row>
    <row r="20" spans="1:9" ht="21.75" customHeight="1">
      <c r="F20" s="39"/>
      <c r="G20" s="582"/>
      <c r="H20" s="38"/>
      <c r="I20" s="38"/>
    </row>
    <row r="21" spans="1:9" ht="21.75" customHeight="1">
      <c r="F21" s="39"/>
      <c r="G21" s="38"/>
      <c r="H21" s="38"/>
      <c r="I21" s="38"/>
    </row>
    <row r="22" spans="1:9" ht="21.75" customHeight="1">
      <c r="F22" s="39"/>
      <c r="G22" s="38"/>
      <c r="H22" s="38"/>
      <c r="I22" s="38"/>
    </row>
    <row r="23" spans="1:9" ht="21.75" customHeight="1">
      <c r="F23" s="39"/>
      <c r="G23" s="38"/>
      <c r="H23" s="38"/>
      <c r="I23" s="38"/>
    </row>
    <row r="24" spans="1:9">
      <c r="F24" s="39"/>
      <c r="G24" s="38"/>
      <c r="H24" s="38"/>
      <c r="I24" s="38"/>
    </row>
    <row r="25" spans="1:9">
      <c r="F25" s="39"/>
      <c r="G25" s="38"/>
      <c r="H25" s="38"/>
      <c r="I25" s="38"/>
    </row>
    <row r="26" spans="1:9">
      <c r="F26" s="39"/>
      <c r="G26" s="583"/>
      <c r="H26" s="38"/>
      <c r="I26" s="38"/>
    </row>
    <row r="27" spans="1:9">
      <c r="F27" s="39"/>
      <c r="G27" s="38"/>
      <c r="H27" s="38"/>
      <c r="I27" s="38"/>
    </row>
    <row r="28" spans="1:9">
      <c r="F28" s="39"/>
      <c r="G28" s="38"/>
      <c r="H28" s="38"/>
      <c r="I28" s="38"/>
    </row>
    <row r="29" spans="1:9">
      <c r="F29" s="39"/>
      <c r="G29" s="38"/>
      <c r="H29" s="38"/>
      <c r="I29" s="38"/>
    </row>
    <row r="30" spans="1:9">
      <c r="F30" s="39"/>
      <c r="G30" s="38"/>
      <c r="H30" s="38"/>
      <c r="I30" s="38"/>
    </row>
    <row r="31" spans="1:9">
      <c r="F31" s="39"/>
      <c r="G31" s="38"/>
      <c r="H31" s="38"/>
      <c r="I31" s="38"/>
    </row>
    <row r="32" spans="1:9">
      <c r="F32" s="39"/>
      <c r="G32" s="38"/>
      <c r="H32" s="38"/>
      <c r="I32" s="38"/>
    </row>
    <row r="33" spans="2:6" s="38" customFormat="1">
      <c r="B33" s="96"/>
      <c r="C33" s="96"/>
      <c r="D33" s="96"/>
      <c r="E33" s="96"/>
      <c r="F33" s="39"/>
    </row>
    <row r="34" spans="2:6" s="38" customFormat="1">
      <c r="B34" s="96"/>
      <c r="C34" s="96"/>
      <c r="D34" s="96"/>
      <c r="E34" s="96"/>
      <c r="F34" s="39"/>
    </row>
    <row r="35" spans="2:6" s="38" customFormat="1">
      <c r="B35" s="96"/>
      <c r="C35" s="96"/>
      <c r="D35" s="96"/>
      <c r="E35" s="96"/>
      <c r="F35" s="39"/>
    </row>
    <row r="36" spans="2:6" s="38" customFormat="1">
      <c r="B36" s="96"/>
      <c r="C36" s="96"/>
      <c r="D36" s="96"/>
      <c r="E36" s="96"/>
      <c r="F36" s="39"/>
    </row>
    <row r="37" spans="2:6" s="38" customFormat="1">
      <c r="B37" s="96"/>
      <c r="C37" s="96"/>
      <c r="D37" s="96"/>
      <c r="E37" s="96"/>
      <c r="F37" s="39"/>
    </row>
    <row r="38" spans="2:6" s="38" customFormat="1">
      <c r="B38" s="96"/>
      <c r="C38" s="96"/>
      <c r="D38" s="96"/>
      <c r="E38" s="96"/>
      <c r="F38" s="39"/>
    </row>
    <row r="39" spans="2:6" s="38" customFormat="1">
      <c r="B39" s="96"/>
      <c r="C39" s="96"/>
      <c r="D39" s="96"/>
      <c r="E39" s="96"/>
      <c r="F39" s="39"/>
    </row>
    <row r="40" spans="2:6" s="38" customFormat="1">
      <c r="B40" s="96"/>
      <c r="C40" s="96"/>
      <c r="D40" s="96"/>
      <c r="E40" s="96"/>
      <c r="F40" s="39"/>
    </row>
    <row r="41" spans="2:6" s="38" customFormat="1">
      <c r="B41" s="96"/>
      <c r="C41" s="96"/>
      <c r="D41" s="96"/>
      <c r="E41" s="96"/>
      <c r="F41" s="39"/>
    </row>
    <row r="42" spans="2:6" s="38" customFormat="1">
      <c r="B42" s="96"/>
      <c r="C42" s="96"/>
      <c r="D42" s="96"/>
      <c r="E42" s="96"/>
      <c r="F42" s="39"/>
    </row>
    <row r="43" spans="2:6" s="38" customFormat="1">
      <c r="B43" s="96"/>
      <c r="C43" s="96"/>
      <c r="D43" s="96"/>
      <c r="E43" s="96"/>
      <c r="F43" s="39"/>
    </row>
    <row r="44" spans="2:6" s="38" customFormat="1">
      <c r="B44" s="96"/>
      <c r="C44" s="96"/>
      <c r="D44" s="96"/>
      <c r="E44" s="96"/>
      <c r="F44" s="39"/>
    </row>
    <row r="45" spans="2:6" s="38" customFormat="1">
      <c r="B45" s="96"/>
      <c r="C45" s="96"/>
      <c r="D45" s="96"/>
      <c r="E45" s="96"/>
      <c r="F45" s="39"/>
    </row>
    <row r="46" spans="2:6" s="38" customFormat="1">
      <c r="B46" s="96"/>
      <c r="C46" s="96"/>
      <c r="D46" s="96"/>
      <c r="E46" s="96"/>
      <c r="F46" s="39"/>
    </row>
    <row r="47" spans="2:6" s="38" customFormat="1">
      <c r="B47" s="96"/>
      <c r="C47" s="96"/>
      <c r="D47" s="96"/>
      <c r="E47" s="96"/>
      <c r="F47" s="39"/>
    </row>
    <row r="48" spans="2:6" s="38" customFormat="1">
      <c r="B48" s="96"/>
      <c r="C48" s="96"/>
      <c r="D48" s="96"/>
      <c r="E48" s="96"/>
      <c r="F48" s="39"/>
    </row>
    <row r="49" spans="2:6" s="38" customFormat="1">
      <c r="B49" s="96"/>
      <c r="C49" s="96"/>
      <c r="D49" s="96"/>
      <c r="E49" s="96"/>
      <c r="F49" s="39"/>
    </row>
    <row r="50" spans="2:6" s="38" customFormat="1">
      <c r="B50" s="96"/>
      <c r="C50" s="96"/>
      <c r="D50" s="96"/>
      <c r="E50" s="96"/>
      <c r="F50" s="39"/>
    </row>
    <row r="51" spans="2:6" s="38" customFormat="1">
      <c r="B51" s="96"/>
      <c r="C51" s="96"/>
      <c r="D51" s="96"/>
      <c r="E51" s="96"/>
      <c r="F51" s="39"/>
    </row>
    <row r="52" spans="2:6" s="38" customFormat="1">
      <c r="B52" s="96"/>
      <c r="C52" s="96"/>
      <c r="D52" s="96"/>
      <c r="E52" s="96"/>
      <c r="F52" s="39"/>
    </row>
    <row r="53" spans="2:6" s="38" customFormat="1">
      <c r="B53" s="96"/>
      <c r="C53" s="96"/>
      <c r="D53" s="96"/>
      <c r="E53" s="96"/>
      <c r="F53" s="39"/>
    </row>
    <row r="54" spans="2:6" s="38" customFormat="1">
      <c r="B54" s="96"/>
      <c r="C54" s="96"/>
      <c r="D54" s="96"/>
      <c r="E54" s="96"/>
      <c r="F54" s="39"/>
    </row>
    <row r="55" spans="2:6" s="38" customFormat="1">
      <c r="B55" s="96"/>
      <c r="C55" s="96"/>
      <c r="D55" s="96"/>
      <c r="E55" s="96"/>
      <c r="F55" s="39"/>
    </row>
  </sheetData>
  <sheetProtection algorithmName="SHA-512" hashValue="v3hQDdhFm6MTOo6L+rhUjdv+iL4VOeg4bFZ5oUho9cYH+kIOvQywwerqC3ycj1htB6qABNr8LRTD0XTwcnbv7w==" saltValue="c6pK4aiHCxS07a0aOaoH5A==" spinCount="100000" sheet="1" objects="1" scenarios="1"/>
  <mergeCells count="2">
    <mergeCell ref="C7:D7"/>
    <mergeCell ref="H7:I7"/>
  </mergeCells>
  <printOptions horizontalCentered="1"/>
  <pageMargins left="0.43307086614173229" right="0.35433070866141736" top="0.86614173228346458" bottom="0.47244094488188981" header="0.47244094488188981" footer="0"/>
  <pageSetup paperSize="9" orientation="landscape" r:id="rId1"/>
  <headerFooter alignWithMargins="0">
    <oddFooter>&amp;L&amp;18&amp;D&amp;C&amp;14&amp;F&amp;R&amp;14&amp;A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48">
    <tabColor rgb="FFFF0000"/>
    <pageSetUpPr fitToPage="1"/>
  </sheetPr>
  <dimension ref="A1:V49"/>
  <sheetViews>
    <sheetView showGridLines="0" topLeftCell="E3" zoomScaleNormal="100" workbookViewId="0">
      <pane xSplit="3" ySplit="7" topLeftCell="H10" activePane="bottomRight" state="frozen"/>
      <selection activeCell="H11" sqref="H11:XFD11"/>
      <selection pane="topRight" activeCell="H11" sqref="H11:XFD11"/>
      <selection pane="bottomLeft" activeCell="H11" sqref="H11:XFD11"/>
      <selection pane="bottomRight" activeCell="H10" sqref="H10"/>
    </sheetView>
  </sheetViews>
  <sheetFormatPr baseColWidth="10" defaultColWidth="11.42578125" defaultRowHeight="12.75"/>
  <cols>
    <col min="1" max="2" width="0" hidden="1" customWidth="1"/>
    <col min="3" max="3" width="6.28515625" style="96" hidden="1" customWidth="1"/>
    <col min="4" max="4" width="7" style="96" hidden="1" customWidth="1"/>
    <col min="5" max="5" width="5.28515625" style="96" customWidth="1"/>
    <col min="6" max="6" width="14.140625" style="12" customWidth="1"/>
    <col min="7" max="7" width="66.7109375" customWidth="1"/>
    <col min="8" max="8" width="20.140625" customWidth="1"/>
    <col min="9" max="9" width="25.42578125" style="38" customWidth="1"/>
    <col min="10" max="22" width="11.42578125" style="38"/>
  </cols>
  <sheetData>
    <row r="1" spans="1:22" ht="20.25">
      <c r="F1" s="536" t="s">
        <v>2253</v>
      </c>
      <c r="G1" s="537"/>
      <c r="H1" s="538" t="s">
        <v>2254</v>
      </c>
    </row>
    <row r="2" spans="1:22" ht="21.75" customHeight="1">
      <c r="F2" s="584"/>
      <c r="G2" s="585"/>
      <c r="H2" s="585"/>
      <c r="I2" s="96"/>
    </row>
    <row r="3" spans="1:22" ht="9" customHeight="1">
      <c r="F3" s="586"/>
      <c r="G3" s="587"/>
      <c r="H3" s="587"/>
      <c r="I3" s="96"/>
    </row>
    <row r="4" spans="1:22" ht="66">
      <c r="F4" s="1176" t="str">
        <f ca="1">$C$6&amp;"  Compras y ventas de bienes y servicios de la empresa declarante (*)"</f>
        <v>Panorama C.  Compras y ventas de bienes y servicios de la empresa declarante (*)</v>
      </c>
      <c r="G4" s="541"/>
      <c r="H4" s="541"/>
    </row>
    <row r="5" spans="1:22" ht="9" customHeight="1">
      <c r="F5" s="586"/>
      <c r="G5" s="587"/>
      <c r="H5" s="587"/>
      <c r="I5" s="96"/>
    </row>
    <row r="6" spans="1:22" ht="28.5" customHeight="1" thickBot="1">
      <c r="C6" s="130" t="str">
        <f ca="1">RIGHT(CELL("nombrearchivo",$A$2),LEN(CELL("nombrearchivo",$A$2))-SEARCH("]",CELL("nombrearchivo",$A$2)))</f>
        <v>Panorama C.</v>
      </c>
      <c r="F6" s="177" t="s">
        <v>2318</v>
      </c>
      <c r="G6" s="541"/>
      <c r="H6" s="541"/>
    </row>
    <row r="7" spans="1:22" s="1820" customFormat="1" ht="20.100000000000001" customHeight="1" thickTop="1">
      <c r="C7" s="2274" t="str">
        <f ca="1">RIGHT(CELL("nombrearchivo",$A$2),LEN(CELL("nombrearchivo",$A$2))-SEARCH("]",CELL("nombrearchivo",$A$2)))</f>
        <v>Panorama C.</v>
      </c>
      <c r="D7" s="2275"/>
      <c r="E7" s="1821"/>
      <c r="F7" s="1822"/>
      <c r="G7" s="1823"/>
      <c r="H7" s="1824">
        <f>+ANUAL</f>
        <v>2025</v>
      </c>
      <c r="I7" s="1825"/>
      <c r="J7" s="1825"/>
      <c r="K7" s="1825"/>
      <c r="L7" s="1825"/>
      <c r="M7" s="1825"/>
      <c r="N7" s="1825"/>
      <c r="O7" s="1825"/>
      <c r="P7" s="1825"/>
      <c r="Q7" s="1825"/>
      <c r="R7" s="1825"/>
      <c r="S7" s="1825"/>
      <c r="T7" s="1825"/>
      <c r="U7" s="1825"/>
      <c r="V7" s="1825"/>
    </row>
    <row r="8" spans="1:22" s="1820" customFormat="1" ht="20.100000000000001" customHeight="1" thickBot="1">
      <c r="A8" s="1826" t="s">
        <v>2261</v>
      </c>
      <c r="B8" s="1827" t="s">
        <v>2262</v>
      </c>
      <c r="C8" s="1828" t="s">
        <v>2171</v>
      </c>
      <c r="D8" s="1829" t="s">
        <v>2172</v>
      </c>
      <c r="E8" s="1821"/>
      <c r="F8" s="1830"/>
      <c r="G8" s="1831"/>
      <c r="H8" s="1832" t="str">
        <f>TRIM&amp;" Trim. "&amp;Menu!E4</f>
        <v>3 Trim. (JUL - SET)</v>
      </c>
      <c r="I8" s="1825"/>
      <c r="J8" s="1825"/>
      <c r="K8" s="1825"/>
      <c r="L8" s="1825"/>
      <c r="M8" s="1825"/>
      <c r="N8" s="1825"/>
      <c r="O8" s="1825"/>
      <c r="P8" s="1825"/>
      <c r="Q8" s="1825"/>
      <c r="R8" s="1825"/>
      <c r="S8" s="1825"/>
      <c r="T8" s="1825"/>
      <c r="U8" s="1825"/>
      <c r="V8" s="1825"/>
    </row>
    <row r="9" spans="1:22" s="1820" customFormat="1" ht="20.100000000000001" customHeight="1" thickTop="1">
      <c r="C9" s="1833" t="s">
        <v>20</v>
      </c>
      <c r="D9" s="1834" t="s">
        <v>20</v>
      </c>
      <c r="E9" s="1821"/>
      <c r="F9" s="1835"/>
      <c r="G9" s="1836" t="s">
        <v>2330</v>
      </c>
      <c r="H9" s="1837"/>
      <c r="I9" s="1825"/>
      <c r="J9" s="1825"/>
      <c r="K9" s="1825"/>
      <c r="L9" s="1825"/>
      <c r="M9" s="1825"/>
      <c r="N9" s="1825"/>
      <c r="O9" s="1825"/>
      <c r="P9" s="1825"/>
      <c r="Q9" s="1825"/>
      <c r="R9" s="1825"/>
      <c r="S9" s="1825"/>
      <c r="T9" s="1825"/>
      <c r="U9" s="1825"/>
      <c r="V9" s="1825"/>
    </row>
    <row r="10" spans="1:22" s="1820" customFormat="1" ht="20.100000000000001" customHeight="1">
      <c r="A10" s="1393">
        <f>+'Panorama B. anterior'!A17+1</f>
        <v>20</v>
      </c>
      <c r="B10" s="1820" t="s">
        <v>2272</v>
      </c>
      <c r="C10" s="1838">
        <v>320</v>
      </c>
      <c r="D10" s="1839" t="str">
        <f t="shared" ref="D10:D18" si="0">CONCATENATE(A10,B10)</f>
        <v>20.01.</v>
      </c>
      <c r="E10" s="1821"/>
      <c r="F10" s="1840" t="str">
        <f>+D10</f>
        <v>20.01.</v>
      </c>
      <c r="G10" s="1841" t="s">
        <v>2331</v>
      </c>
      <c r="H10" s="1842">
        <f>+H11+H12</f>
        <v>0</v>
      </c>
      <c r="I10" s="1825"/>
      <c r="J10" s="1825"/>
      <c r="K10" s="1825"/>
      <c r="L10" s="1825"/>
      <c r="M10" s="1825"/>
      <c r="N10" s="1825"/>
      <c r="O10" s="1825"/>
      <c r="P10" s="1825"/>
      <c r="Q10" s="1825"/>
      <c r="R10" s="1825"/>
      <c r="S10" s="1825"/>
      <c r="T10" s="1825"/>
      <c r="U10" s="1825"/>
      <c r="V10" s="1825"/>
    </row>
    <row r="11" spans="1:22" s="1820" customFormat="1" ht="20.100000000000001" customHeight="1">
      <c r="A11" s="1393">
        <f>+A10</f>
        <v>20</v>
      </c>
      <c r="B11" s="1820" t="s">
        <v>2320</v>
      </c>
      <c r="C11" s="1838">
        <v>321</v>
      </c>
      <c r="D11" s="1839" t="str">
        <f t="shared" si="0"/>
        <v>20.01.01.</v>
      </c>
      <c r="E11" s="1821"/>
      <c r="F11" s="1840" t="str">
        <f t="shared" ref="F11:F18" si="1">+D11</f>
        <v>20.01.01.</v>
      </c>
      <c r="G11" s="1843" t="s">
        <v>2332</v>
      </c>
      <c r="H11" s="1844"/>
      <c r="I11" s="1825"/>
      <c r="J11" s="1825"/>
      <c r="K11" s="1825"/>
      <c r="L11" s="1825"/>
      <c r="M11" s="1825"/>
      <c r="N11" s="1825"/>
      <c r="O11" s="1825"/>
      <c r="P11" s="1825"/>
      <c r="Q11" s="1825"/>
      <c r="R11" s="1825"/>
      <c r="S11" s="1825"/>
      <c r="T11" s="1825"/>
      <c r="U11" s="1825"/>
      <c r="V11" s="1825"/>
    </row>
    <row r="12" spans="1:22" s="1820" customFormat="1" ht="20.100000000000001" customHeight="1">
      <c r="A12" s="1393">
        <f>+A11</f>
        <v>20</v>
      </c>
      <c r="B12" s="1820" t="s">
        <v>2325</v>
      </c>
      <c r="C12" s="1838">
        <v>322</v>
      </c>
      <c r="D12" s="1839" t="str">
        <f t="shared" si="0"/>
        <v>20.01.02.</v>
      </c>
      <c r="E12" s="1821"/>
      <c r="F12" s="1845" t="str">
        <f t="shared" si="1"/>
        <v>20.01.02.</v>
      </c>
      <c r="G12" s="1846" t="s">
        <v>2333</v>
      </c>
      <c r="H12" s="1847"/>
      <c r="I12" s="1825"/>
      <c r="J12" s="1825"/>
      <c r="K12" s="1825"/>
      <c r="L12" s="1825"/>
      <c r="M12" s="1825"/>
      <c r="N12" s="1825"/>
      <c r="O12" s="1825"/>
      <c r="P12" s="1825"/>
      <c r="Q12" s="1825"/>
      <c r="R12" s="1825"/>
      <c r="S12" s="1825"/>
      <c r="T12" s="1825"/>
      <c r="U12" s="1825"/>
      <c r="V12" s="1825"/>
    </row>
    <row r="13" spans="1:22" s="1820" customFormat="1" ht="20.100000000000001" customHeight="1">
      <c r="A13" s="1393">
        <f>+A12</f>
        <v>20</v>
      </c>
      <c r="B13" s="1820" t="s">
        <v>2302</v>
      </c>
      <c r="C13" s="1838">
        <v>332</v>
      </c>
      <c r="D13" s="1839" t="str">
        <f t="shared" si="0"/>
        <v>20.02.</v>
      </c>
      <c r="E13" s="1821"/>
      <c r="F13" s="1840" t="str">
        <f t="shared" si="1"/>
        <v>20.02.</v>
      </c>
      <c r="G13" s="1848" t="s">
        <v>2334</v>
      </c>
      <c r="H13" s="1844"/>
      <c r="I13" s="1825"/>
      <c r="J13" s="1825"/>
      <c r="K13" s="1825"/>
      <c r="L13" s="1825"/>
      <c r="M13" s="1825"/>
      <c r="N13" s="1825"/>
      <c r="O13" s="1825"/>
      <c r="P13" s="1825"/>
      <c r="Q13" s="1825"/>
      <c r="R13" s="1825"/>
      <c r="S13" s="1825"/>
      <c r="T13" s="1825"/>
      <c r="U13" s="1825"/>
      <c r="V13" s="1825"/>
    </row>
    <row r="14" spans="1:22" s="1820" customFormat="1" ht="20.100000000000001" customHeight="1">
      <c r="A14" s="1181"/>
      <c r="C14" s="1833" t="s">
        <v>20</v>
      </c>
      <c r="D14" s="1834" t="s">
        <v>20</v>
      </c>
      <c r="E14" s="1821"/>
      <c r="F14" s="1849"/>
      <c r="G14" s="1850" t="s">
        <v>2335</v>
      </c>
      <c r="H14" s="1851"/>
      <c r="I14" s="1825"/>
      <c r="J14" s="1825"/>
      <c r="K14" s="1825"/>
      <c r="L14" s="1825"/>
      <c r="M14" s="1825"/>
      <c r="N14" s="1825"/>
      <c r="O14" s="1825"/>
      <c r="P14" s="1825"/>
      <c r="Q14" s="1825"/>
      <c r="R14" s="1825"/>
      <c r="S14" s="1825"/>
      <c r="T14" s="1825"/>
      <c r="U14" s="1825"/>
      <c r="V14" s="1825"/>
    </row>
    <row r="15" spans="1:22" s="1820" customFormat="1" ht="20.100000000000001" customHeight="1">
      <c r="A15" s="1393">
        <f>+A13+1</f>
        <v>21</v>
      </c>
      <c r="B15" s="1820" t="s">
        <v>2272</v>
      </c>
      <c r="C15" s="1838" t="s">
        <v>20</v>
      </c>
      <c r="D15" s="1839" t="str">
        <f t="shared" si="0"/>
        <v>21.01.</v>
      </c>
      <c r="E15" s="1821"/>
      <c r="F15" s="1840" t="str">
        <f t="shared" si="1"/>
        <v>21.01.</v>
      </c>
      <c r="G15" s="1841" t="s">
        <v>2336</v>
      </c>
      <c r="H15" s="1842">
        <f>+H16+H17</f>
        <v>0</v>
      </c>
      <c r="I15" s="1825"/>
      <c r="J15" s="1825"/>
      <c r="K15" s="1825"/>
      <c r="L15" s="1825"/>
      <c r="M15" s="1825"/>
      <c r="N15" s="1825"/>
      <c r="O15" s="1825"/>
      <c r="P15" s="1825"/>
      <c r="Q15" s="1825"/>
      <c r="R15" s="1825"/>
      <c r="S15" s="1825"/>
      <c r="T15" s="1825"/>
      <c r="U15" s="1825"/>
      <c r="V15" s="1825"/>
    </row>
    <row r="16" spans="1:22" s="1820" customFormat="1" ht="20.100000000000001" customHeight="1">
      <c r="A16" s="1393">
        <f>+A15</f>
        <v>21</v>
      </c>
      <c r="B16" s="1820" t="s">
        <v>2320</v>
      </c>
      <c r="C16" s="1838" t="s">
        <v>20</v>
      </c>
      <c r="D16" s="1839" t="str">
        <f t="shared" si="0"/>
        <v>21.01.01.</v>
      </c>
      <c r="E16" s="1821"/>
      <c r="F16" s="1840" t="str">
        <f t="shared" si="1"/>
        <v>21.01.01.</v>
      </c>
      <c r="G16" s="1843" t="s">
        <v>2337</v>
      </c>
      <c r="H16" s="1844"/>
      <c r="I16" s="1825"/>
      <c r="J16" s="1825"/>
      <c r="K16" s="1825"/>
      <c r="L16" s="1825"/>
      <c r="M16" s="1825"/>
      <c r="N16" s="1825"/>
      <c r="O16" s="1825"/>
      <c r="P16" s="1825"/>
      <c r="Q16" s="1825"/>
      <c r="R16" s="1825"/>
      <c r="S16" s="1825"/>
      <c r="T16" s="1825"/>
      <c r="U16" s="1825"/>
      <c r="V16" s="1825"/>
    </row>
    <row r="17" spans="1:22" s="1820" customFormat="1" ht="20.100000000000001" customHeight="1">
      <c r="A17" s="1393">
        <f>+A16</f>
        <v>21</v>
      </c>
      <c r="B17" s="1820" t="s">
        <v>2325</v>
      </c>
      <c r="C17" s="1838" t="s">
        <v>20</v>
      </c>
      <c r="D17" s="1839" t="str">
        <f t="shared" si="0"/>
        <v>21.01.02.</v>
      </c>
      <c r="E17" s="1821"/>
      <c r="F17" s="1845" t="str">
        <f t="shared" si="1"/>
        <v>21.01.02.</v>
      </c>
      <c r="G17" s="1852" t="s">
        <v>2338</v>
      </c>
      <c r="H17" s="1847"/>
      <c r="I17" s="1825"/>
      <c r="J17" s="1825"/>
      <c r="K17" s="1825"/>
      <c r="L17" s="1825"/>
      <c r="M17" s="1825"/>
      <c r="N17" s="1825"/>
      <c r="O17" s="1825"/>
      <c r="P17" s="1825"/>
      <c r="Q17" s="1825"/>
      <c r="R17" s="1825"/>
      <c r="S17" s="1825"/>
      <c r="T17" s="1825"/>
      <c r="U17" s="1825"/>
      <c r="V17" s="1825"/>
    </row>
    <row r="18" spans="1:22" s="1820" customFormat="1" ht="20.100000000000001" customHeight="1" thickBot="1">
      <c r="A18" s="1393">
        <f>+A17</f>
        <v>21</v>
      </c>
      <c r="B18" s="1820" t="s">
        <v>2302</v>
      </c>
      <c r="C18" s="1853" t="s">
        <v>20</v>
      </c>
      <c r="D18" s="1854" t="str">
        <f t="shared" si="0"/>
        <v>21.02.</v>
      </c>
      <c r="E18" s="1821"/>
      <c r="F18" s="1855" t="str">
        <f t="shared" si="1"/>
        <v>21.02.</v>
      </c>
      <c r="G18" s="1856" t="s">
        <v>2339</v>
      </c>
      <c r="H18" s="1857"/>
      <c r="I18" s="1825"/>
      <c r="J18" s="1825"/>
      <c r="K18" s="1825"/>
      <c r="L18" s="1825"/>
      <c r="M18" s="1825"/>
      <c r="N18" s="1825"/>
      <c r="O18" s="1825"/>
      <c r="P18" s="1825"/>
      <c r="Q18" s="1825"/>
      <c r="R18" s="1825"/>
      <c r="S18" s="1825"/>
      <c r="T18" s="1825"/>
      <c r="U18" s="1825"/>
      <c r="V18" s="1825"/>
    </row>
    <row r="19" spans="1:22" s="1820" customFormat="1" ht="20.100000000000001" customHeight="1">
      <c r="C19" s="1821"/>
      <c r="D19" s="1821"/>
      <c r="E19" s="1821"/>
      <c r="F19" s="1820" t="s">
        <v>2340</v>
      </c>
      <c r="G19" s="1825"/>
      <c r="H19" s="1825"/>
      <c r="I19" s="1825"/>
      <c r="J19" s="1825"/>
      <c r="K19" s="1825"/>
      <c r="L19" s="1825"/>
      <c r="M19" s="1825"/>
      <c r="N19" s="1825"/>
      <c r="O19" s="1825"/>
      <c r="P19" s="1825"/>
      <c r="Q19" s="1825"/>
      <c r="R19" s="1825"/>
      <c r="S19" s="1825"/>
      <c r="T19" s="1825"/>
      <c r="U19" s="1825"/>
      <c r="V19" s="1825"/>
    </row>
    <row r="20" spans="1:22" s="1820" customFormat="1" ht="21.75" customHeight="1">
      <c r="C20" s="1821"/>
      <c r="D20" s="1821"/>
      <c r="E20" s="1821"/>
      <c r="F20" s="1858"/>
      <c r="G20" s="1859"/>
      <c r="H20" s="1825"/>
      <c r="I20" s="1825"/>
      <c r="J20" s="1825"/>
      <c r="K20" s="1825"/>
      <c r="L20" s="1825"/>
      <c r="M20" s="1825"/>
      <c r="N20" s="1825"/>
      <c r="O20" s="1825"/>
      <c r="P20" s="1825"/>
      <c r="Q20" s="1825"/>
      <c r="R20" s="1825"/>
      <c r="S20" s="1825"/>
      <c r="T20" s="1825"/>
      <c r="U20" s="1825"/>
      <c r="V20" s="1825"/>
    </row>
    <row r="21" spans="1:22">
      <c r="F21" s="39"/>
      <c r="G21" s="38"/>
      <c r="H21" s="38"/>
    </row>
    <row r="22" spans="1:22">
      <c r="F22" s="39"/>
      <c r="G22" s="38"/>
      <c r="H22" s="38"/>
    </row>
    <row r="23" spans="1:22">
      <c r="F23" s="39"/>
      <c r="G23" s="38"/>
      <c r="H23" s="38"/>
    </row>
    <row r="24" spans="1:22">
      <c r="F24" s="39"/>
      <c r="G24" s="38"/>
      <c r="H24" s="38"/>
    </row>
    <row r="25" spans="1:22">
      <c r="F25" s="39"/>
      <c r="G25" s="38"/>
      <c r="H25" s="38"/>
    </row>
    <row r="26" spans="1:22">
      <c r="F26" s="39"/>
      <c r="G26" s="38"/>
      <c r="H26" s="38"/>
    </row>
    <row r="27" spans="1:22">
      <c r="F27" s="39"/>
      <c r="G27" s="38"/>
      <c r="H27" s="38"/>
    </row>
    <row r="28" spans="1:22">
      <c r="F28" s="39"/>
      <c r="G28" s="38"/>
      <c r="H28" s="38"/>
    </row>
    <row r="29" spans="1:22">
      <c r="F29" s="39"/>
      <c r="G29" s="38"/>
      <c r="H29" s="38"/>
    </row>
    <row r="30" spans="1:22">
      <c r="F30" s="39"/>
      <c r="G30" s="38"/>
      <c r="H30" s="38"/>
    </row>
    <row r="31" spans="1:22">
      <c r="F31" s="39"/>
      <c r="G31" s="38"/>
      <c r="H31" s="38"/>
    </row>
    <row r="32" spans="1:22">
      <c r="F32" s="39"/>
      <c r="G32" s="38"/>
      <c r="H32" s="38"/>
    </row>
    <row r="33" spans="3:8">
      <c r="F33" s="39"/>
      <c r="G33" s="38"/>
      <c r="H33" s="38"/>
    </row>
    <row r="34" spans="3:8">
      <c r="F34" s="39"/>
      <c r="G34" s="38"/>
      <c r="H34" s="38"/>
    </row>
    <row r="35" spans="3:8">
      <c r="F35" s="39"/>
      <c r="G35" s="38"/>
      <c r="H35" s="38"/>
    </row>
    <row r="36" spans="3:8">
      <c r="F36" s="39"/>
      <c r="G36" s="38"/>
      <c r="H36" s="38"/>
    </row>
    <row r="37" spans="3:8">
      <c r="F37" s="39"/>
      <c r="G37" s="38"/>
      <c r="H37" s="38"/>
    </row>
    <row r="38" spans="3:8">
      <c r="F38" s="39"/>
      <c r="G38" s="38"/>
      <c r="H38" s="38"/>
    </row>
    <row r="39" spans="3:8">
      <c r="F39" s="39"/>
      <c r="G39" s="38"/>
      <c r="H39" s="38"/>
    </row>
    <row r="40" spans="3:8" s="38" customFormat="1">
      <c r="C40" s="96"/>
      <c r="D40" s="96"/>
      <c r="E40" s="96"/>
      <c r="F40" s="39"/>
    </row>
    <row r="41" spans="3:8" s="38" customFormat="1">
      <c r="C41" s="96"/>
      <c r="D41" s="96"/>
      <c r="E41" s="96"/>
      <c r="F41" s="39"/>
    </row>
    <row r="42" spans="3:8" s="38" customFormat="1">
      <c r="C42" s="96"/>
      <c r="D42" s="96"/>
      <c r="E42" s="96"/>
      <c r="F42" s="39"/>
    </row>
    <row r="43" spans="3:8" s="38" customFormat="1">
      <c r="C43" s="96"/>
      <c r="D43" s="96"/>
      <c r="E43" s="96"/>
      <c r="F43" s="39"/>
    </row>
    <row r="44" spans="3:8" s="38" customFormat="1">
      <c r="C44" s="96"/>
      <c r="D44" s="96"/>
      <c r="E44" s="96"/>
      <c r="F44" s="39"/>
    </row>
    <row r="45" spans="3:8" s="38" customFormat="1">
      <c r="C45" s="96"/>
      <c r="D45" s="96"/>
      <c r="E45" s="96"/>
      <c r="F45" s="39"/>
    </row>
    <row r="46" spans="3:8" s="38" customFormat="1">
      <c r="C46" s="96"/>
      <c r="D46" s="96"/>
      <c r="E46" s="96"/>
      <c r="F46" s="39"/>
    </row>
    <row r="47" spans="3:8" s="38" customFormat="1">
      <c r="C47" s="96"/>
      <c r="D47" s="96"/>
      <c r="E47" s="96"/>
      <c r="F47" s="39"/>
    </row>
    <row r="48" spans="3:8" s="38" customFormat="1">
      <c r="C48" s="96"/>
      <c r="D48" s="96"/>
      <c r="E48" s="96"/>
      <c r="F48" s="39"/>
    </row>
    <row r="49" spans="3:6" s="38" customFormat="1">
      <c r="C49" s="96"/>
      <c r="D49" s="96"/>
      <c r="E49" s="96"/>
      <c r="F49" s="39"/>
    </row>
  </sheetData>
  <sheetProtection algorithmName="SHA-512" hashValue="iODwAfRFR5UbBuZD7wgSZjQU1XDchIV2bRfbMqpxrNUlLwKn+JPrZ4kERcBNgqk5lQIigmg+eVKl/wFNOzF58g==" saltValue="nL5MBPp9bbtcUQ/c05Tr5Q==" spinCount="100000" sheet="1" objects="1" scenarios="1"/>
  <mergeCells count="1">
    <mergeCell ref="C7:D7"/>
  </mergeCells>
  <printOptions horizontalCentered="1"/>
  <pageMargins left="0.43307086614173229" right="0.35433070866141736" top="0.56999999999999995" bottom="0.47244094488188981" header="0.43307086614173229" footer="0"/>
  <pageSetup paperSize="9" orientation="landscape" r:id="rId1"/>
  <headerFooter alignWithMargins="0">
    <oddFooter>&amp;L&amp;18&amp;D&amp;C&amp;"Arial,Negrita"&amp;14&amp;F&amp;R&amp;18&amp;A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53</vt:i4>
      </vt:variant>
    </vt:vector>
  </HeadingPairs>
  <TitlesOfParts>
    <vt:vector size="93" baseType="lpstr">
      <vt:lpstr>Indice</vt:lpstr>
      <vt:lpstr>DatosGenerales</vt:lpstr>
      <vt:lpstr>Aplicar</vt:lpstr>
      <vt:lpstr>Encargado</vt:lpstr>
      <vt:lpstr>Alertas</vt:lpstr>
      <vt:lpstr>Panorama A.</vt:lpstr>
      <vt:lpstr>Panorama B.</vt:lpstr>
      <vt:lpstr>Panorama B. anterior</vt:lpstr>
      <vt:lpstr>Panorama C.</vt:lpstr>
      <vt:lpstr>Tabla I.</vt:lpstr>
      <vt:lpstr>Tabla II.</vt:lpstr>
      <vt:lpstr>Tabla III.1.</vt:lpstr>
      <vt:lpstr>Tabla III.2.</vt:lpstr>
      <vt:lpstr>Tabla III.3.</vt:lpstr>
      <vt:lpstr>Tabla III.5.</vt:lpstr>
      <vt:lpstr>Tabla III.4.</vt:lpstr>
      <vt:lpstr>Tabla IV.1.</vt:lpstr>
      <vt:lpstr>Tabla IV.2.</vt:lpstr>
      <vt:lpstr>Tabla IV.3.</vt:lpstr>
      <vt:lpstr>Base_Monet</vt:lpstr>
      <vt:lpstr>Tabla V.</vt:lpstr>
      <vt:lpstr>Tabla VI.</vt:lpstr>
      <vt:lpstr>Tabla VII.1.</vt:lpstr>
      <vt:lpstr>CONTROL</vt:lpstr>
      <vt:lpstr>Tabla VII.2.</vt:lpstr>
      <vt:lpstr>Base_Panor_A</vt:lpstr>
      <vt:lpstr>Base_EABP</vt:lpstr>
      <vt:lpstr>Cambios TRIMESTRAL</vt:lpstr>
      <vt:lpstr>Cambios Anual</vt:lpstr>
      <vt:lpstr>Menu</vt:lpstr>
      <vt:lpstr>TCambioSalida</vt:lpstr>
      <vt:lpstr>TCambio</vt:lpstr>
      <vt:lpstr>dolar</vt:lpstr>
      <vt:lpstr>yen</vt:lpstr>
      <vt:lpstr>euro</vt:lpstr>
      <vt:lpstr>Base_Servicios</vt:lpstr>
      <vt:lpstr>Base_ECID</vt:lpstr>
      <vt:lpstr>TPaises</vt:lpstr>
      <vt:lpstr>Ayuda</vt:lpstr>
      <vt:lpstr>VALIDACION_RUC</vt:lpstr>
      <vt:lpstr>ANUAL</vt:lpstr>
      <vt:lpstr>Aplicar!Área_de_impresión</vt:lpstr>
      <vt:lpstr>Ayuda!Área_de_impresión</vt:lpstr>
      <vt:lpstr>Base_EABP!Área_de_impresión</vt:lpstr>
      <vt:lpstr>Base_Panor_A!Área_de_impresión</vt:lpstr>
      <vt:lpstr>DatosGenerales!Área_de_impresión</vt:lpstr>
      <vt:lpstr>Indice!Área_de_impresión</vt:lpstr>
      <vt:lpstr>'Panorama A.'!Área_de_impresión</vt:lpstr>
      <vt:lpstr>'Panorama B.'!Área_de_impresión</vt:lpstr>
      <vt:lpstr>'Panorama B. anterior'!Área_de_impresión</vt:lpstr>
      <vt:lpstr>'Panorama C.'!Área_de_impresión</vt:lpstr>
      <vt:lpstr>'Tabla I.'!Área_de_impresión</vt:lpstr>
      <vt:lpstr>'Tabla II.'!Área_de_impresión</vt:lpstr>
      <vt:lpstr>'Tabla III.1.'!Área_de_impresión</vt:lpstr>
      <vt:lpstr>'Tabla III.2.'!Área_de_impresión</vt:lpstr>
      <vt:lpstr>'Tabla III.3.'!Área_de_impresión</vt:lpstr>
      <vt:lpstr>'Tabla III.4.'!Área_de_impresión</vt:lpstr>
      <vt:lpstr>'Tabla III.5.'!Área_de_impresión</vt:lpstr>
      <vt:lpstr>'Tabla IV.1.'!Área_de_impresión</vt:lpstr>
      <vt:lpstr>'Tabla IV.2.'!Área_de_impresión</vt:lpstr>
      <vt:lpstr>'Tabla IV.3.'!Área_de_impresión</vt:lpstr>
      <vt:lpstr>'Tabla V.'!Área_de_impresión</vt:lpstr>
      <vt:lpstr>'Tabla VI.'!Área_de_impresión</vt:lpstr>
      <vt:lpstr>'Tabla VII.1.'!Área_de_impresión</vt:lpstr>
      <vt:lpstr>'Tabla VII.2.'!Área_de_impresión</vt:lpstr>
      <vt:lpstr>TCambioSalida!Área_de_impresión</vt:lpstr>
      <vt:lpstr>TPaises!Área_de_impresión</vt:lpstr>
      <vt:lpstr>ENCARGADO</vt:lpstr>
      <vt:lpstr>Opciones</vt:lpstr>
      <vt:lpstr>pais</vt:lpstr>
      <vt:lpstr>PERIODO</vt:lpstr>
      <vt:lpstr>RUC</vt:lpstr>
      <vt:lpstr>TABPAIS</vt:lpstr>
      <vt:lpstr>TC_DOLAR</vt:lpstr>
      <vt:lpstr>TC_Euro</vt:lpstr>
      <vt:lpstr>TC_Yen</vt:lpstr>
      <vt:lpstr>Base_EABP!Títulos_a_imprimir</vt:lpstr>
      <vt:lpstr>Base_Panor_A!Títulos_a_imprimir</vt:lpstr>
      <vt:lpstr>'Panorama A.'!Títulos_a_imprimir</vt:lpstr>
      <vt:lpstr>'Tabla I.'!Títulos_a_imprimir</vt:lpstr>
      <vt:lpstr>'Tabla II.'!Títulos_a_imprimir</vt:lpstr>
      <vt:lpstr>'Tabla III.1.'!Títulos_a_imprimir</vt:lpstr>
      <vt:lpstr>'Tabla III.2.'!Títulos_a_imprimir</vt:lpstr>
      <vt:lpstr>'Tabla III.3.'!Títulos_a_imprimir</vt:lpstr>
      <vt:lpstr>'Tabla III.4.'!Títulos_a_imprimir</vt:lpstr>
      <vt:lpstr>'Tabla III.5.'!Títulos_a_imprimir</vt:lpstr>
      <vt:lpstr>'Tabla IV.1.'!Títulos_a_imprimir</vt:lpstr>
      <vt:lpstr>'Tabla IV.2.'!Títulos_a_imprimir</vt:lpstr>
      <vt:lpstr>'Tabla IV.3.'!Títulos_a_imprimir</vt:lpstr>
      <vt:lpstr>'Tabla VI.'!Títulos_a_imprimir</vt:lpstr>
      <vt:lpstr>'Tabla VII.1.'!Títulos_a_imprimir</vt:lpstr>
      <vt:lpstr>'Tabla VII.2.'!Títulos_a_imprimir</vt:lpstr>
      <vt:lpstr>TRIM</vt:lpstr>
    </vt:vector>
  </TitlesOfParts>
  <Manager/>
  <Company>BCRP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1595</dc:creator>
  <cp:keywords/>
  <dc:description/>
  <cp:lastModifiedBy>Chumpitaz Artica, Jimy Guillermo</cp:lastModifiedBy>
  <cp:revision/>
  <cp:lastPrinted>2023-10-16T16:05:18Z</cp:lastPrinted>
  <dcterms:created xsi:type="dcterms:W3CDTF">2005-08-25T22:05:06Z</dcterms:created>
  <dcterms:modified xsi:type="dcterms:W3CDTF">2025-10-02T16:46:05Z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iente" linkTarget="RAZON">
    <vt:lpwstr>#¡REF!</vt:lpwstr>
  </property>
  <property fmtid="{D5CDD505-2E9C-101B-9397-08002B2CF9AE}" pid="3" name="Alto de correo" linkTarget="EMAIL">
    <vt:lpwstr/>
  </property>
  <property fmtid="{D5CDD505-2E9C-101B-9397-08002B2CF9AE}" pid="4" name="Recibido de" linkTarget="ENC_CONSULT">
    <vt:lpwstr/>
  </property>
  <property fmtid="{D5CDD505-2E9C-101B-9397-08002B2CF9AE}" pid="5" name="Número de teléfono" linkTarget="TELF">
    <vt:lpwstr/>
  </property>
</Properties>
</file>