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20\1TRIM\"/>
    </mc:Choice>
  </mc:AlternateContent>
  <bookViews>
    <workbookView xWindow="0" yWindow="0" windowWidth="28800" windowHeight="11535" tabRatio="891" firstSheet="1" activeTab="2"/>
  </bookViews>
  <sheets>
    <sheet name="CONTROL" sheetId="29" state="hidden" r:id="rId1"/>
    <sheet name="Indice" sheetId="47" r:id="rId2"/>
    <sheet name="DatosGenerales" sheetId="5" r:id="rId3"/>
    <sheet name="Aplicar" sheetId="16" state="hidden" r:id="rId4"/>
    <sheet name="Encargado" sheetId="45" state="hidden" r:id="rId5"/>
    <sheet name="Panorama A." sheetId="17" r:id="rId6"/>
    <sheet name="Base_Panor_A" sheetId="44" state="hidden" r:id="rId7"/>
    <sheet name="Panorama B." sheetId="4" r:id="rId8"/>
    <sheet name="Panorama C." sheetId="11" r:id="rId9"/>
    <sheet name="Cambios TRIMESTRAL" sheetId="50" state="hidden" r:id="rId10"/>
    <sheet name="Menu" sheetId="28" state="hidden" r:id="rId11"/>
    <sheet name="Tabla I." sheetId="42" r:id="rId12"/>
    <sheet name="Tabla II." sheetId="9" r:id="rId13"/>
    <sheet name="Tabla III.1." sheetId="10" r:id="rId14"/>
    <sheet name="Tabla III.2." sheetId="38" r:id="rId15"/>
    <sheet name="Tabla III.3." sheetId="7" r:id="rId16"/>
    <sheet name="Tabla III.4." sheetId="8" r:id="rId17"/>
    <sheet name="Tabla III.5." sheetId="12" r:id="rId18"/>
    <sheet name="Tabla IV.1." sheetId="13" r:id="rId19"/>
    <sheet name="Tabla IV.2." sheetId="14" r:id="rId20"/>
    <sheet name="Cambios Anual" sheetId="49" state="hidden" r:id="rId21"/>
    <sheet name="Tabla V." sheetId="22" r:id="rId22"/>
    <sheet name="Tabla VI." sheetId="6" r:id="rId23"/>
    <sheet name="Tabla VII.1." sheetId="25" r:id="rId24"/>
    <sheet name="Tabla VII.2." sheetId="26" r:id="rId25"/>
    <sheet name="TCambio" sheetId="24" state="hidden" r:id="rId26"/>
    <sheet name="Base_EABP" sheetId="31" state="hidden" r:id="rId27"/>
    <sheet name="TCambioSalida" sheetId="39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6" hidden="1">Base_EABP!$A$1:$M$1760</definedName>
    <definedName name="_xlnm._FilterDatabase" localSheetId="29" hidden="1">Base_ECID!$A$1:$M$241</definedName>
    <definedName name="_xlnm._FilterDatabase" localSheetId="6" hidden="1">Base_Panor_A!$A$1:$K$61</definedName>
    <definedName name="_xlnm._FilterDatabase" localSheetId="4" hidden="1">Encargado!$A$1:$G$2040</definedName>
    <definedName name="_xlnm._FilterDatabase" localSheetId="10" hidden="1">Menu!$K$11:$L$165</definedName>
    <definedName name="ANUAL">Menu!$C$3</definedName>
    <definedName name="_xlnm.Print_Area" localSheetId="3">Aplicar!$B$2:$H$21</definedName>
    <definedName name="_xlnm.Print_Area" localSheetId="31">Ayuda!$B$3:$F$9</definedName>
    <definedName name="_xlnm.Print_Area" localSheetId="26">Base_EABP!$A$1:$L$1689</definedName>
    <definedName name="_xlnm.Print_Area" localSheetId="6">Base_Panor_A!$A$1:$K$11</definedName>
    <definedName name="_xlnm.Print_Area" localSheetId="2">DatosGenerales!$B$1:$L$41</definedName>
    <definedName name="_xlnm.Print_Area" localSheetId="1">Indice!$C$3:$D$45</definedName>
    <definedName name="_xlnm.Print_Area" localSheetId="5">'Panorama A.'!$E$6:$I$35,'Panorama A.'!$E$37:$I$66,'Panorama A.'!$E$69:$I$97</definedName>
    <definedName name="_xlnm.Print_Area" localSheetId="7">'Panorama B.'!$F$3:$I$17</definedName>
    <definedName name="_xlnm.Print_Area" localSheetId="8">'Panorama C.'!$F$3:$H$20</definedName>
    <definedName name="_xlnm.Print_Area" localSheetId="11">'Tabla I.'!$C$6:$G$70</definedName>
    <definedName name="_xlnm.Print_Area" localSheetId="12">'Tabla II.'!$F$8:$N$36,'Tabla II.'!$F$39:$N$75</definedName>
    <definedName name="_xlnm.Print_Area" localSheetId="13">'Tabla III.1.'!$F$8:$M$37,'Tabla III.1.'!$F$41:$M$63,'Tabla III.1.'!$F$65:$M$90</definedName>
    <definedName name="_xlnm.Print_Area" localSheetId="14">'Tabla III.2.'!$F$8:$M$29,'Tabla III.2.'!$F$33:$M$59</definedName>
    <definedName name="_xlnm.Print_Area" localSheetId="15">'Tabla III.3.'!$F$8:$S$29,'Tabla III.3.'!$F$33:$S$59</definedName>
    <definedName name="_xlnm.Print_Area" localSheetId="16">'Tabla III.4.'!$F$8:$S$29,'Tabla III.4.'!$F$33:$S$59</definedName>
    <definedName name="_xlnm.Print_Area" localSheetId="17">'Tabla III.5.'!$F$8:$M$28</definedName>
    <definedName name="_xlnm.Print_Area" localSheetId="18">'Tabla IV.1.'!$F$8:$H$30</definedName>
    <definedName name="_xlnm.Print_Area" localSheetId="19">'Tabla IV.2.'!$F$8:$M$44,'Tabla IV.2.'!$F$48:$M$86</definedName>
    <definedName name="_xlnm.Print_Area" localSheetId="21">'Tabla V.'!$F$3:$K$20</definedName>
    <definedName name="_xlnm.Print_Area" localSheetId="22">'Tabla VI.'!$F$8:$Q$36,'Tabla VI.'!$F$41:$Q$74</definedName>
    <definedName name="_xlnm.Print_Area" localSheetId="23">'Tabla VII.1.'!$G$9:$J$64,'Tabla VII.1.'!$G$68:$J$123</definedName>
    <definedName name="_xlnm.Print_Area" localSheetId="24">'Tabla VII.2.'!$G$9:$I$63,'Tabla VII.2.'!$G$67:$I$121</definedName>
    <definedName name="_xlnm.Print_Area" localSheetId="27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TCambio!$B$3:$F$17</definedName>
    <definedName name="TC_Euro">TCambio!$H$3:$L$17</definedName>
    <definedName name="TC_Yen">TCambio!$N$3:$R$17</definedName>
    <definedName name="_xlnm.Print_Titles" localSheetId="26">Base_EABP!$1:$1</definedName>
    <definedName name="_xlnm.Print_Titles" localSheetId="6">Base_Panor_A!$1:$1</definedName>
    <definedName name="_xlnm.Print_Titles" localSheetId="5">'Panorama A.'!$2:$5</definedName>
    <definedName name="_xlnm.Print_Titles" localSheetId="11">'Tabla I.'!$2:$5</definedName>
    <definedName name="_xlnm.Print_Titles" localSheetId="12">'Tabla II.'!$3:$7</definedName>
    <definedName name="_xlnm.Print_Titles" localSheetId="13">'Tabla III.1.'!$3:$7</definedName>
    <definedName name="_xlnm.Print_Titles" localSheetId="14">'Tabla III.2.'!$3:$7</definedName>
    <definedName name="_xlnm.Print_Titles" localSheetId="15">'Tabla III.3.'!$3:$7</definedName>
    <definedName name="_xlnm.Print_Titles" localSheetId="16">'Tabla III.4.'!$3:$7</definedName>
    <definedName name="_xlnm.Print_Titles" localSheetId="17">'Tabla III.5.'!$3:$7</definedName>
    <definedName name="_xlnm.Print_Titles" localSheetId="18">'Tabla IV.1.'!$3:$7</definedName>
    <definedName name="_xlnm.Print_Titles" localSheetId="19">'Tabla IV.2.'!$3:$7</definedName>
    <definedName name="_xlnm.Print_Titles" localSheetId="22">'Tabla VI.'!$3:$7</definedName>
    <definedName name="_xlnm.Print_Titles" localSheetId="23">'Tabla VII.1.'!$3:$8</definedName>
    <definedName name="_xlnm.Print_Titles" localSheetId="24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L13" i="24" l="1"/>
  <c r="R13" i="24"/>
  <c r="F13" i="24"/>
  <c r="J16" i="24"/>
  <c r="J15" i="24"/>
  <c r="J14" i="24"/>
  <c r="J13" i="24"/>
  <c r="P16" i="24"/>
  <c r="P15" i="24"/>
  <c r="P14" i="24"/>
  <c r="P13" i="24"/>
  <c r="D16" i="24"/>
  <c r="D15" i="24"/>
  <c r="D14" i="24"/>
  <c r="D13" i="24"/>
  <c r="G29" i="42" l="1"/>
  <c r="F29" i="42"/>
  <c r="F25" i="42"/>
  <c r="G42" i="42"/>
  <c r="F42" i="42"/>
  <c r="F48" i="42"/>
  <c r="G54" i="42"/>
  <c r="F54" i="42"/>
  <c r="G51" i="42"/>
  <c r="F51" i="42"/>
  <c r="G48" i="42"/>
  <c r="G47" i="42" s="1"/>
  <c r="G25" i="42"/>
  <c r="F47" i="42" l="1"/>
  <c r="G24" i="42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L10" i="14"/>
  <c r="L23" i="14"/>
  <c r="E4" i="28"/>
  <c r="G22" i="13" s="1"/>
  <c r="G19" i="13"/>
  <c r="G12" i="13"/>
  <c r="H10" i="13"/>
  <c r="H7" i="11"/>
  <c r="H10" i="14" l="1"/>
  <c r="H23" i="14"/>
  <c r="J10" i="14"/>
  <c r="H36" i="14"/>
  <c r="H8" i="11"/>
  <c r="G1713" i="31"/>
  <c r="C1713" i="31" s="1"/>
  <c r="E1713" i="31"/>
  <c r="G1711" i="31"/>
  <c r="B1711" i="31" s="1"/>
  <c r="E1711" i="31"/>
  <c r="C1711" i="31" l="1"/>
  <c r="H10" i="11"/>
  <c r="G53" i="6" l="1"/>
  <c r="G52" i="6"/>
  <c r="G48" i="6"/>
  <c r="Q56" i="6"/>
  <c r="H56" i="6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A1" i="5" l="1"/>
  <c r="D9" i="47" s="1"/>
  <c r="A1" i="47"/>
  <c r="G37" i="42" l="1"/>
  <c r="F37" i="42"/>
  <c r="O21" i="6" l="1"/>
  <c r="O20" i="6"/>
  <c r="O19" i="6"/>
  <c r="O18" i="6"/>
  <c r="O17" i="6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F14" i="39" s="1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J4" i="41"/>
  <c r="L4" i="41"/>
  <c r="L5" i="41" s="1"/>
  <c r="L6" i="41" s="1"/>
  <c r="L7" i="41" s="1"/>
  <c r="L8" i="41" s="1"/>
  <c r="L9" i="41" s="1"/>
  <c r="L10" i="41" s="1"/>
  <c r="L11" i="41" s="1"/>
  <c r="L12" i="41" s="1"/>
  <c r="L13" i="41" s="1"/>
  <c r="E5" i="41"/>
  <c r="E6" i="41"/>
  <c r="E7" i="41"/>
  <c r="E8" i="41"/>
  <c r="E9" i="41"/>
  <c r="E10" i="41"/>
  <c r="E11" i="41"/>
  <c r="E12" i="41"/>
  <c r="E13" i="41"/>
  <c r="E14" i="41"/>
  <c r="H14" i="41"/>
  <c r="M14" i="41"/>
  <c r="M26" i="41" s="1"/>
  <c r="M38" i="41" s="1"/>
  <c r="E15" i="41"/>
  <c r="J15" i="41"/>
  <c r="H15" i="41" s="1"/>
  <c r="L15" i="4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E16" i="41"/>
  <c r="E17" i="41"/>
  <c r="E18" i="41"/>
  <c r="E19" i="41"/>
  <c r="E20" i="41"/>
  <c r="E21" i="41"/>
  <c r="E22" i="41"/>
  <c r="E23" i="41"/>
  <c r="E24" i="41"/>
  <c r="E25" i="41"/>
  <c r="E26" i="41"/>
  <c r="H26" i="41"/>
  <c r="E27" i="41"/>
  <c r="J27" i="41"/>
  <c r="H27" i="41" s="1"/>
  <c r="L27" i="41"/>
  <c r="L28" i="41" s="1"/>
  <c r="L29" i="41" s="1"/>
  <c r="L30" i="41" s="1"/>
  <c r="L31" i="41" s="1"/>
  <c r="L32" i="41" s="1"/>
  <c r="L33" i="41" s="1"/>
  <c r="L34" i="41" s="1"/>
  <c r="L35" i="41" s="1"/>
  <c r="L36" i="41" s="1"/>
  <c r="L37" i="41" s="1"/>
  <c r="E28" i="41"/>
  <c r="E29" i="41"/>
  <c r="E30" i="41"/>
  <c r="E31" i="41"/>
  <c r="E32" i="41"/>
  <c r="E33" i="41"/>
  <c r="E34" i="41"/>
  <c r="E35" i="41"/>
  <c r="E36" i="41"/>
  <c r="E37" i="41"/>
  <c r="E38" i="41"/>
  <c r="H38" i="41"/>
  <c r="E39" i="41"/>
  <c r="J39" i="41"/>
  <c r="H39" i="41" s="1"/>
  <c r="L39" i="4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E40" i="41"/>
  <c r="J40" i="41"/>
  <c r="H40" i="41" s="1"/>
  <c r="E41" i="41"/>
  <c r="E42" i="41"/>
  <c r="E43" i="41"/>
  <c r="E44" i="41"/>
  <c r="E45" i="41"/>
  <c r="E46" i="41"/>
  <c r="E47" i="41"/>
  <c r="E48" i="41"/>
  <c r="E49" i="41"/>
  <c r="E50" i="41"/>
  <c r="H50" i="41"/>
  <c r="E51" i="41"/>
  <c r="J51" i="41"/>
  <c r="H51" i="41" s="1"/>
  <c r="L51" i="41"/>
  <c r="L52" i="41" s="1"/>
  <c r="L53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E52" i="41"/>
  <c r="H52" i="41"/>
  <c r="I52" i="41"/>
  <c r="E53" i="41"/>
  <c r="H53" i="41"/>
  <c r="J53" i="41"/>
  <c r="E54" i="41"/>
  <c r="H54" i="41"/>
  <c r="I54" i="41"/>
  <c r="E55" i="41"/>
  <c r="J55" i="41"/>
  <c r="H55" i="41" s="1"/>
  <c r="E56" i="41"/>
  <c r="H56" i="41"/>
  <c r="E57" i="41"/>
  <c r="J57" i="41"/>
  <c r="H57" i="41" s="1"/>
  <c r="E58" i="41"/>
  <c r="H58" i="41"/>
  <c r="E59" i="41"/>
  <c r="J59" i="41"/>
  <c r="H59" i="41" s="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E69" i="41"/>
  <c r="J69" i="41"/>
  <c r="H69" i="41" s="1"/>
  <c r="E70" i="41"/>
  <c r="H70" i="41"/>
  <c r="E71" i="41"/>
  <c r="J71" i="41"/>
  <c r="H71" i="41" s="1"/>
  <c r="E72" i="41"/>
  <c r="H72" i="41"/>
  <c r="E73" i="41"/>
  <c r="J73" i="41"/>
  <c r="H73" i="41" s="1"/>
  <c r="E74" i="41"/>
  <c r="H74" i="41"/>
  <c r="M74" i="41"/>
  <c r="M98" i="41" s="1"/>
  <c r="M122" i="41" s="1"/>
  <c r="E75" i="41"/>
  <c r="J75" i="41"/>
  <c r="H75" i="41" s="1"/>
  <c r="L75" i="4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L86" i="41" s="1"/>
  <c r="L87" i="41" s="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76" i="41"/>
  <c r="H76" i="41"/>
  <c r="E77" i="41"/>
  <c r="H77" i="41"/>
  <c r="J77" i="41"/>
  <c r="E78" i="41"/>
  <c r="H78" i="41"/>
  <c r="E79" i="41"/>
  <c r="J79" i="41"/>
  <c r="H79" i="41" s="1"/>
  <c r="E80" i="41"/>
  <c r="H80" i="41"/>
  <c r="E81" i="41"/>
  <c r="J81" i="41"/>
  <c r="H81" i="41" s="1"/>
  <c r="E82" i="41"/>
  <c r="H82" i="41"/>
  <c r="E83" i="41"/>
  <c r="J83" i="41"/>
  <c r="H83" i="41" s="1"/>
  <c r="E84" i="41"/>
  <c r="H84" i="41"/>
  <c r="E85" i="41"/>
  <c r="J85" i="41"/>
  <c r="H85" i="41" s="1"/>
  <c r="E86" i="41"/>
  <c r="H86" i="41"/>
  <c r="E87" i="41"/>
  <c r="J87" i="41"/>
  <c r="H87" i="41" s="1"/>
  <c r="E88" i="41"/>
  <c r="H88" i="41"/>
  <c r="E89" i="41"/>
  <c r="J89" i="41"/>
  <c r="H89" i="41" s="1"/>
  <c r="E90" i="41"/>
  <c r="H90" i="41"/>
  <c r="E91" i="41"/>
  <c r="J91" i="41"/>
  <c r="H91" i="41" s="1"/>
  <c r="E92" i="41"/>
  <c r="H92" i="41"/>
  <c r="E93" i="41"/>
  <c r="J93" i="41"/>
  <c r="H93" i="41" s="1"/>
  <c r="E94" i="41"/>
  <c r="H94" i="41"/>
  <c r="E95" i="41"/>
  <c r="J95" i="41"/>
  <c r="H95" i="41" s="1"/>
  <c r="E96" i="41"/>
  <c r="H96" i="41"/>
  <c r="E97" i="41"/>
  <c r="J97" i="41"/>
  <c r="H97" i="41" s="1"/>
  <c r="E98" i="41"/>
  <c r="H98" i="41"/>
  <c r="E99" i="41"/>
  <c r="H99" i="41"/>
  <c r="J99" i="41"/>
  <c r="L99" i="41"/>
  <c r="L100" i="41" s="1"/>
  <c r="L101" i="41" s="1"/>
  <c r="L102" i="41" s="1"/>
  <c r="L103" i="41" s="1"/>
  <c r="L104" i="41" s="1"/>
  <c r="L105" i="41" s="1"/>
  <c r="L106" i="41" s="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0" i="41"/>
  <c r="H100" i="41"/>
  <c r="E101" i="41"/>
  <c r="H101" i="41"/>
  <c r="J101" i="41"/>
  <c r="E102" i="41"/>
  <c r="H102" i="41"/>
  <c r="E103" i="41"/>
  <c r="J103" i="41"/>
  <c r="H103" i="41" s="1"/>
  <c r="E104" i="41"/>
  <c r="H104" i="41"/>
  <c r="E105" i="41"/>
  <c r="J105" i="41"/>
  <c r="H105" i="41" s="1"/>
  <c r="E106" i="41"/>
  <c r="H106" i="4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J115" i="41"/>
  <c r="H115" i="41" s="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L136" i="41" s="1"/>
  <c r="L137" i="41" s="1"/>
  <c r="L138" i="41" s="1"/>
  <c r="L139" i="41" s="1"/>
  <c r="L140" i="41" s="1"/>
  <c r="L141" i="41" s="1"/>
  <c r="L142" i="41" s="1"/>
  <c r="L143" i="41" s="1"/>
  <c r="L144" i="41" s="1"/>
  <c r="L145" i="41" s="1"/>
  <c r="E124" i="41"/>
  <c r="H124" i="41"/>
  <c r="E125" i="41"/>
  <c r="J125" i="41"/>
  <c r="H125" i="41" s="1"/>
  <c r="E126" i="41"/>
  <c r="H126" i="41"/>
  <c r="E127" i="41"/>
  <c r="J127" i="41"/>
  <c r="H127" i="41" s="1"/>
  <c r="E128" i="41"/>
  <c r="H128" i="41"/>
  <c r="E129" i="41"/>
  <c r="J129" i="41"/>
  <c r="H129" i="41" s="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J135" i="41"/>
  <c r="H135" i="41" s="1"/>
  <c r="E136" i="41"/>
  <c r="H136" i="41"/>
  <c r="E137" i="41"/>
  <c r="J137" i="41"/>
  <c r="H137" i="41" s="1"/>
  <c r="E138" i="41"/>
  <c r="H138" i="41"/>
  <c r="E139" i="41"/>
  <c r="J139" i="41"/>
  <c r="H139" i="41" s="1"/>
  <c r="E140" i="41"/>
  <c r="H140" i="41"/>
  <c r="E141" i="41"/>
  <c r="J141" i="41"/>
  <c r="H141" i="41" s="1"/>
  <c r="E142" i="41"/>
  <c r="H142" i="41"/>
  <c r="E143" i="41"/>
  <c r="J143" i="41"/>
  <c r="H143" i="41" s="1"/>
  <c r="E144" i="41"/>
  <c r="H144" i="41"/>
  <c r="E145" i="41"/>
  <c r="J145" i="41"/>
  <c r="H145" i="41" s="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J159" i="41"/>
  <c r="H159" i="41" s="1"/>
  <c r="L159" i="41"/>
  <c r="L160" i="41" s="1"/>
  <c r="L161" i="41" s="1"/>
  <c r="L162" i="41" s="1"/>
  <c r="L163" i="41" s="1"/>
  <c r="L164" i="41" s="1"/>
  <c r="L165" i="41" s="1"/>
  <c r="L166" i="41" s="1"/>
  <c r="L167" i="41" s="1"/>
  <c r="L168" i="41" s="1"/>
  <c r="L169" i="41" s="1"/>
  <c r="E160" i="41"/>
  <c r="H160" i="41"/>
  <c r="J160" i="41"/>
  <c r="J161" i="41" s="1"/>
  <c r="E161" i="41"/>
  <c r="E162" i="41"/>
  <c r="E163" i="41"/>
  <c r="E164" i="41"/>
  <c r="E165" i="41"/>
  <c r="E166" i="41"/>
  <c r="E167" i="41"/>
  <c r="E168" i="41"/>
  <c r="E169" i="41"/>
  <c r="E170" i="41"/>
  <c r="H170" i="41"/>
  <c r="E171" i="41"/>
  <c r="H171" i="41"/>
  <c r="J171" i="41"/>
  <c r="L171" i="41"/>
  <c r="L172" i="41" s="1"/>
  <c r="L173" i="41" s="1"/>
  <c r="L174" i="41" s="1"/>
  <c r="L175" i="41" s="1"/>
  <c r="L176" i="41" s="1"/>
  <c r="L177" i="41" s="1"/>
  <c r="L178" i="41" s="1"/>
  <c r="L179" i="41" s="1"/>
  <c r="L180" i="41" s="1"/>
  <c r="L181" i="41" s="1"/>
  <c r="E172" i="41"/>
  <c r="H172" i="41"/>
  <c r="J172" i="41"/>
  <c r="J173" i="41" s="1"/>
  <c r="E173" i="41"/>
  <c r="E174" i="41"/>
  <c r="E175" i="41"/>
  <c r="E176" i="41"/>
  <c r="E177" i="41"/>
  <c r="E178" i="41"/>
  <c r="E179" i="41"/>
  <c r="E180" i="41"/>
  <c r="E181" i="41"/>
  <c r="E182" i="41"/>
  <c r="H182" i="41"/>
  <c r="E183" i="41"/>
  <c r="J183" i="41"/>
  <c r="H183" i="41" s="1"/>
  <c r="L183" i="41"/>
  <c r="L184" i="41" s="1"/>
  <c r="L185" i="41" s="1"/>
  <c r="L186" i="41" s="1"/>
  <c r="L187" i="41" s="1"/>
  <c r="L188" i="41" s="1"/>
  <c r="L189" i="41" s="1"/>
  <c r="L190" i="41" s="1"/>
  <c r="L191" i="41" s="1"/>
  <c r="L192" i="41" s="1"/>
  <c r="L193" i="41" s="1"/>
  <c r="E184" i="41"/>
  <c r="J184" i="41"/>
  <c r="E185" i="41"/>
  <c r="E186" i="41"/>
  <c r="E187" i="41"/>
  <c r="E188" i="41"/>
  <c r="E189" i="41"/>
  <c r="E190" i="41"/>
  <c r="E191" i="41"/>
  <c r="E192" i="41"/>
  <c r="E193" i="41"/>
  <c r="E194" i="41"/>
  <c r="H194" i="41"/>
  <c r="E195" i="41"/>
  <c r="I195" i="41"/>
  <c r="F195" i="41" s="1"/>
  <c r="J195" i="41"/>
  <c r="H195" i="41" s="1"/>
  <c r="L195" i="41"/>
  <c r="E196" i="41"/>
  <c r="J196" i="41"/>
  <c r="J197" i="41" s="1"/>
  <c r="L196" i="41"/>
  <c r="L197" i="41" s="1"/>
  <c r="E197" i="41"/>
  <c r="E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E200" i="41"/>
  <c r="E201" i="41"/>
  <c r="E202" i="41"/>
  <c r="E203" i="41"/>
  <c r="E204" i="41"/>
  <c r="E205" i="41"/>
  <c r="E206" i="41"/>
  <c r="H206" i="41"/>
  <c r="M206" i="41"/>
  <c r="M218" i="41" s="1"/>
  <c r="M230" i="41" s="1"/>
  <c r="E207" i="41"/>
  <c r="J207" i="41"/>
  <c r="J208" i="41" s="1"/>
  <c r="E208" i="41"/>
  <c r="E209" i="41"/>
  <c r="E210" i="41"/>
  <c r="E211" i="41"/>
  <c r="E212" i="41"/>
  <c r="E213" i="41"/>
  <c r="E214" i="41"/>
  <c r="E215" i="41"/>
  <c r="E216" i="41"/>
  <c r="E217" i="41"/>
  <c r="E218" i="41"/>
  <c r="H218" i="41"/>
  <c r="E219" i="41"/>
  <c r="J219" i="41"/>
  <c r="J220" i="41" s="1"/>
  <c r="E220" i="41"/>
  <c r="E221" i="41"/>
  <c r="E222" i="41"/>
  <c r="E223" i="41"/>
  <c r="E224" i="41"/>
  <c r="E225" i="41"/>
  <c r="E226" i="41"/>
  <c r="E227" i="41"/>
  <c r="E228" i="41"/>
  <c r="E229" i="41"/>
  <c r="E230" i="41"/>
  <c r="H230" i="41"/>
  <c r="E231" i="41"/>
  <c r="H231" i="41"/>
  <c r="J231" i="41"/>
  <c r="J232" i="41" s="1"/>
  <c r="E232" i="41"/>
  <c r="E233" i="41"/>
  <c r="E234" i="41"/>
  <c r="E235" i="41"/>
  <c r="E236" i="41"/>
  <c r="E237" i="41"/>
  <c r="E238" i="41"/>
  <c r="E239" i="41"/>
  <c r="E240" i="41"/>
  <c r="E241" i="41"/>
  <c r="G3" i="28"/>
  <c r="H3" i="28"/>
  <c r="N3" i="28"/>
  <c r="O3" i="28"/>
  <c r="Q3" i="28"/>
  <c r="R3" i="28"/>
  <c r="S3" i="28"/>
  <c r="P3" i="28" s="1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B24" i="44"/>
  <c r="E24" i="44"/>
  <c r="F24" i="44"/>
  <c r="G24" i="44"/>
  <c r="H24" i="44"/>
  <c r="B25" i="44"/>
  <c r="E25" i="44"/>
  <c r="F25" i="44"/>
  <c r="G25" i="44"/>
  <c r="H25" i="44"/>
  <c r="B26" i="44"/>
  <c r="E26" i="44"/>
  <c r="F26" i="44"/>
  <c r="G26" i="44"/>
  <c r="H26" i="44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B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E39" i="44"/>
  <c r="F39" i="44"/>
  <c r="G39" i="44"/>
  <c r="H39" i="44"/>
  <c r="B40" i="44"/>
  <c r="E40" i="44"/>
  <c r="F40" i="44"/>
  <c r="G40" i="44"/>
  <c r="H40" i="44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G75" i="26"/>
  <c r="G76" i="26"/>
  <c r="G77" i="26"/>
  <c r="G78" i="26"/>
  <c r="G79" i="26"/>
  <c r="G80" i="26"/>
  <c r="G81" i="26"/>
  <c r="G82" i="26"/>
  <c r="G83" i="26"/>
  <c r="G84" i="26"/>
  <c r="H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15" i="25"/>
  <c r="D3" i="41" s="1"/>
  <c r="G16" i="25"/>
  <c r="G17" i="25"/>
  <c r="G18" i="25"/>
  <c r="G19" i="25"/>
  <c r="G20" i="25"/>
  <c r="G21" i="25"/>
  <c r="G22" i="25"/>
  <c r="G23" i="25"/>
  <c r="G24" i="25"/>
  <c r="G25" i="25"/>
  <c r="G26" i="25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 s="1"/>
  <c r="G10" i="22"/>
  <c r="H11" i="22"/>
  <c r="I11" i="22"/>
  <c r="J11" i="22"/>
  <c r="K11" i="22"/>
  <c r="D16" i="22"/>
  <c r="D17" i="22" s="1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I14" i="25"/>
  <c r="I26" i="25"/>
  <c r="I38" i="25"/>
  <c r="I49" i="25" s="1"/>
  <c r="I50" i="25"/>
  <c r="I61" i="25" s="1"/>
  <c r="F25" i="6"/>
  <c r="D26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F61" i="6" s="1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J12" i="12"/>
  <c r="K12" i="12"/>
  <c r="L12" i="12"/>
  <c r="I16" i="12"/>
  <c r="J16" i="12"/>
  <c r="K16" i="12"/>
  <c r="L16" i="12"/>
  <c r="I19" i="12"/>
  <c r="J19" i="12"/>
  <c r="K19" i="12"/>
  <c r="L19" i="12"/>
  <c r="F26" i="12"/>
  <c r="D28" i="12"/>
  <c r="G20" i="12" s="1"/>
  <c r="C8" i="8"/>
  <c r="F8" i="8"/>
  <c r="C9" i="8"/>
  <c r="J1069" i="31" s="1"/>
  <c r="I9" i="8"/>
  <c r="H12" i="8"/>
  <c r="F1031" i="31" s="1"/>
  <c r="J12" i="8"/>
  <c r="K12" i="8"/>
  <c r="L12" i="8"/>
  <c r="M12" i="8"/>
  <c r="N12" i="8"/>
  <c r="O12" i="8"/>
  <c r="P12" i="8"/>
  <c r="Q12" i="8"/>
  <c r="R12" i="8"/>
  <c r="I13" i="8"/>
  <c r="I12" i="8" s="1"/>
  <c r="I14" i="8"/>
  <c r="S14" i="8" s="1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 s="1"/>
  <c r="I23" i="8"/>
  <c r="F27" i="8"/>
  <c r="F29" i="8"/>
  <c r="F33" i="8"/>
  <c r="C34" i="8"/>
  <c r="I34" i="8"/>
  <c r="H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S52" i="8" s="1"/>
  <c r="I53" i="8"/>
  <c r="S53" i="8" s="1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R18" i="7"/>
  <c r="I19" i="7"/>
  <c r="I20" i="7"/>
  <c r="J21" i="7"/>
  <c r="K21" i="7"/>
  <c r="L21" i="7"/>
  <c r="M21" i="7"/>
  <c r="N21" i="7"/>
  <c r="O21" i="7"/>
  <c r="P21" i="7"/>
  <c r="Q21" i="7"/>
  <c r="R21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9" i="38"/>
  <c r="I39" i="38"/>
  <c r="J39" i="38"/>
  <c r="K39" i="38"/>
  <c r="M39" i="38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L48" i="38" s="1"/>
  <c r="I48" i="38"/>
  <c r="J48" i="38"/>
  <c r="K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M22" i="10"/>
  <c r="L23" i="10"/>
  <c r="H22" i="7" s="1"/>
  <c r="L24" i="10"/>
  <c r="H23" i="7" s="1"/>
  <c r="S23" i="7" s="1"/>
  <c r="F28" i="10"/>
  <c r="D29" i="10"/>
  <c r="D32" i="10" s="1"/>
  <c r="G23" i="10" s="1"/>
  <c r="F29" i="10"/>
  <c r="D33" i="10"/>
  <c r="C43" i="10"/>
  <c r="G47" i="10"/>
  <c r="H47" i="10"/>
  <c r="I47" i="10"/>
  <c r="J47" i="10"/>
  <c r="K47" i="10"/>
  <c r="M47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G48" i="10" s="1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 s="1"/>
  <c r="D32" i="9"/>
  <c r="D33" i="9" s="1"/>
  <c r="C41" i="9"/>
  <c r="D19" i="47" s="1"/>
  <c r="G44" i="9"/>
  <c r="G45" i="9"/>
  <c r="H45" i="9"/>
  <c r="I45" i="9"/>
  <c r="J45" i="9"/>
  <c r="K45" i="9"/>
  <c r="M45" i="9"/>
  <c r="N45" i="9"/>
  <c r="L46" i="9"/>
  <c r="L47" i="9"/>
  <c r="H48" i="9"/>
  <c r="I48" i="9"/>
  <c r="J48" i="9"/>
  <c r="K48" i="9"/>
  <c r="M48" i="9"/>
  <c r="N48" i="9"/>
  <c r="G49" i="9"/>
  <c r="L49" i="9"/>
  <c r="L50" i="9"/>
  <c r="H51" i="9"/>
  <c r="I51" i="9"/>
  <c r="J51" i="9"/>
  <c r="K51" i="9"/>
  <c r="M51" i="9"/>
  <c r="N51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 s="1"/>
  <c r="L65" i="9"/>
  <c r="F68" i="9"/>
  <c r="D70" i="9"/>
  <c r="D71" i="9" s="1"/>
  <c r="G50" i="9" s="1"/>
  <c r="D72" i="9"/>
  <c r="G48" i="9" s="1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 s="1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C16" i="44" s="1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C30" i="44" s="1"/>
  <c r="E51" i="17"/>
  <c r="C31" i="44" s="1"/>
  <c r="E52" i="17"/>
  <c r="E53" i="17"/>
  <c r="C32" i="44" s="1"/>
  <c r="E54" i="17"/>
  <c r="C33" i="44" s="1"/>
  <c r="E55" i="17"/>
  <c r="C34" i="44" s="1"/>
  <c r="E56" i="17"/>
  <c r="C35" i="44" s="1"/>
  <c r="E57" i="17"/>
  <c r="C36" i="44" s="1"/>
  <c r="E58" i="17"/>
  <c r="C37" i="44" s="1"/>
  <c r="E59" i="17"/>
  <c r="C38" i="44" s="1"/>
  <c r="E60" i="17"/>
  <c r="C39" i="44" s="1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 s="1"/>
  <c r="L35" i="7"/>
  <c r="L10" i="8"/>
  <c r="L35" i="8" s="1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F70" i="9" l="1"/>
  <c r="G46" i="9"/>
  <c r="G20" i="9"/>
  <c r="A15" i="9"/>
  <c r="A16" i="9" s="1"/>
  <c r="G60" i="10"/>
  <c r="M38" i="38"/>
  <c r="N24" i="8"/>
  <c r="H38" i="38"/>
  <c r="F551" i="31" s="1"/>
  <c r="L24" i="7"/>
  <c r="F16" i="22"/>
  <c r="H196" i="41"/>
  <c r="H208" i="41"/>
  <c r="J209" i="41"/>
  <c r="H197" i="41"/>
  <c r="J198" i="41"/>
  <c r="H220" i="41"/>
  <c r="J221" i="41"/>
  <c r="J174" i="41"/>
  <c r="H173" i="41"/>
  <c r="H232" i="41"/>
  <c r="J233" i="41"/>
  <c r="H161" i="41"/>
  <c r="J162" i="41"/>
  <c r="G13" i="10"/>
  <c r="I41" i="7"/>
  <c r="D27" i="6"/>
  <c r="G271" i="31"/>
  <c r="C271" i="31" s="1"/>
  <c r="I50" i="8"/>
  <c r="S50" i="8" s="1"/>
  <c r="F26" i="6"/>
  <c r="H219" i="41"/>
  <c r="J16" i="41"/>
  <c r="I4" i="41"/>
  <c r="F72" i="9"/>
  <c r="D147" i="41"/>
  <c r="D62" i="6"/>
  <c r="G51" i="6" s="1"/>
  <c r="G50" i="6"/>
  <c r="H207" i="41"/>
  <c r="I196" i="41"/>
  <c r="J28" i="41"/>
  <c r="K24" i="8"/>
  <c r="G52" i="9"/>
  <c r="K25" i="10"/>
  <c r="I15" i="12"/>
  <c r="G12" i="22"/>
  <c r="S42" i="8"/>
  <c r="Q24" i="7"/>
  <c r="G17" i="6"/>
  <c r="I22" i="12"/>
  <c r="S13" i="8"/>
  <c r="F28" i="12"/>
  <c r="D34" i="10"/>
  <c r="G195" i="41"/>
  <c r="J41" i="41"/>
  <c r="I38" i="8"/>
  <c r="B474" i="31"/>
  <c r="Q46" i="6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O54" i="7" s="1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Q24" i="8"/>
  <c r="P24" i="8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I37" i="7" s="1"/>
  <c r="S52" i="7"/>
  <c r="S42" i="7"/>
  <c r="I50" i="7"/>
  <c r="I47" i="7"/>
  <c r="I38" i="7"/>
  <c r="F828" i="31" s="1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F94" i="31" s="1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F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B384" i="31" s="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I1406" i="31"/>
  <c r="I1407" i="31" s="1"/>
  <c r="H829" i="31"/>
  <c r="F829" i="31" s="1"/>
  <c r="I387" i="31"/>
  <c r="F456" i="31"/>
  <c r="G470" i="31"/>
  <c r="B470" i="31" s="1"/>
  <c r="I471" i="31"/>
  <c r="G471" i="31" s="1"/>
  <c r="C471" i="31" s="1"/>
  <c r="H1631" i="31"/>
  <c r="F1631" i="31" s="1"/>
  <c r="I512" i="31"/>
  <c r="G511" i="31"/>
  <c r="C511" i="31" s="1"/>
  <c r="I500" i="31"/>
  <c r="G499" i="31"/>
  <c r="G1620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H1485" i="31"/>
  <c r="I1359" i="31"/>
  <c r="G1358" i="31"/>
  <c r="C1358" i="31" s="1"/>
  <c r="H330" i="31"/>
  <c r="H335" i="31"/>
  <c r="G1527" i="31"/>
  <c r="I1528" i="31"/>
  <c r="H478" i="3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I614" i="31"/>
  <c r="S10" i="8"/>
  <c r="S35" i="8" s="1"/>
  <c r="S35" i="7"/>
  <c r="K25" i="38"/>
  <c r="G476" i="31"/>
  <c r="B476" i="31" s="1"/>
  <c r="J44" i="9"/>
  <c r="J25" i="9"/>
  <c r="L13" i="9"/>
  <c r="I14" i="26" s="1"/>
  <c r="G15" i="10"/>
  <c r="G21" i="10"/>
  <c r="F33" i="10"/>
  <c r="G18" i="10"/>
  <c r="G24" i="10"/>
  <c r="L19" i="38"/>
  <c r="H12" i="12"/>
  <c r="E34" i="17"/>
  <c r="I8" i="17"/>
  <c r="F1735" i="31"/>
  <c r="H17" i="4"/>
  <c r="M44" i="9"/>
  <c r="M60" i="9" s="1"/>
  <c r="L16" i="10"/>
  <c r="H25" i="10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M54" i="7"/>
  <c r="J24" i="7"/>
  <c r="R24" i="8"/>
  <c r="J24" i="8"/>
  <c r="F17" i="22"/>
  <c r="D18" i="22"/>
  <c r="D19" i="22" s="1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H14" i="7"/>
  <c r="L24" i="8"/>
  <c r="H24" i="8"/>
  <c r="G55" i="9"/>
  <c r="D34" i="9"/>
  <c r="D35" i="9" s="1"/>
  <c r="I15" i="8"/>
  <c r="I24" i="8" s="1"/>
  <c r="L15" i="12"/>
  <c r="L22" i="12" s="1"/>
  <c r="H48" i="6"/>
  <c r="F1690" i="31" s="1"/>
  <c r="F1737" i="31"/>
  <c r="F1579" i="31"/>
  <c r="H1580" i="31"/>
  <c r="F317" i="31"/>
  <c r="G51" i="41"/>
  <c r="J84" i="25"/>
  <c r="F147" i="41"/>
  <c r="G147" i="41"/>
  <c r="I148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F52" i="41"/>
  <c r="D52" i="41"/>
  <c r="I5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L38" i="38" l="1"/>
  <c r="H55" i="38"/>
  <c r="D15" i="9"/>
  <c r="F15" i="9" s="1"/>
  <c r="H569" i="31"/>
  <c r="H570" i="31" s="1"/>
  <c r="H571" i="31" s="1"/>
  <c r="F563" i="31"/>
  <c r="I24" i="7"/>
  <c r="I37" i="8"/>
  <c r="B271" i="31"/>
  <c r="I418" i="31"/>
  <c r="G418" i="31" s="1"/>
  <c r="C418" i="31" s="1"/>
  <c r="H1627" i="31"/>
  <c r="G445" i="31"/>
  <c r="B445" i="31" s="1"/>
  <c r="F96" i="31"/>
  <c r="G1345" i="31"/>
  <c r="C1345" i="31" s="1"/>
  <c r="I663" i="31"/>
  <c r="H1223" i="31"/>
  <c r="F1223" i="31" s="1"/>
  <c r="J42" i="41"/>
  <c r="H41" i="41"/>
  <c r="J163" i="41"/>
  <c r="H162" i="41"/>
  <c r="L25" i="38"/>
  <c r="F1200" i="31"/>
  <c r="I350" i="31"/>
  <c r="F4" i="41"/>
  <c r="I5" i="41"/>
  <c r="H233" i="41"/>
  <c r="J234" i="41"/>
  <c r="F660" i="31"/>
  <c r="G32" i="31"/>
  <c r="B32" i="31" s="1"/>
  <c r="J17" i="41"/>
  <c r="H16" i="41"/>
  <c r="D84" i="10"/>
  <c r="F62" i="6"/>
  <c r="G1465" i="31"/>
  <c r="C1465" i="31" s="1"/>
  <c r="H174" i="41"/>
  <c r="J175" i="41"/>
  <c r="D4" i="41"/>
  <c r="H221" i="41"/>
  <c r="J222" i="41"/>
  <c r="I197" i="41"/>
  <c r="F196" i="41"/>
  <c r="G196" i="41"/>
  <c r="D63" i="6"/>
  <c r="F63" i="6" s="1"/>
  <c r="G710" i="31"/>
  <c r="C710" i="31" s="1"/>
  <c r="D196" i="41"/>
  <c r="H198" i="41"/>
  <c r="J199" i="41"/>
  <c r="H209" i="41"/>
  <c r="J210" i="41"/>
  <c r="I72" i="26"/>
  <c r="G194" i="41" s="1"/>
  <c r="G18" i="6"/>
  <c r="F27" i="6"/>
  <c r="D28" i="6"/>
  <c r="L10" i="10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G1263" i="31"/>
  <c r="C1263" i="31" s="1"/>
  <c r="F1472" i="31"/>
  <c r="G1347" i="31"/>
  <c r="C1347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P48" i="6"/>
  <c r="S48" i="6" s="1"/>
  <c r="H10" i="38"/>
  <c r="H13" i="6" s="1"/>
  <c r="I46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C434" i="31"/>
  <c r="F19" i="22"/>
  <c r="H9" i="22"/>
  <c r="H1696" i="31"/>
  <c r="I139" i="31"/>
  <c r="G138" i="31"/>
  <c r="H331" i="31"/>
  <c r="F330" i="31"/>
  <c r="I111" i="31"/>
  <c r="G110" i="31"/>
  <c r="H821" i="31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64" i="6"/>
  <c r="G54" i="6" s="1"/>
  <c r="K55" i="38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J55" i="38"/>
  <c r="F553" i="31"/>
  <c r="I459" i="31"/>
  <c r="G458" i="31"/>
  <c r="H429" i="31"/>
  <c r="F428" i="31"/>
  <c r="H1552" i="31"/>
  <c r="F1551" i="31"/>
  <c r="F115" i="31"/>
  <c r="H116" i="31"/>
  <c r="I188" i="31"/>
  <c r="G187" i="31"/>
  <c r="H336" i="31"/>
  <c r="F335" i="31"/>
  <c r="H341" i="31"/>
  <c r="I394" i="31"/>
  <c r="G394" i="31" s="1"/>
  <c r="H1486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C32" i="31" l="1"/>
  <c r="B418" i="31"/>
  <c r="C445" i="31"/>
  <c r="F674" i="31"/>
  <c r="J200" i="41"/>
  <c r="H199" i="41"/>
  <c r="H163" i="41"/>
  <c r="J164" i="41"/>
  <c r="H175" i="41"/>
  <c r="J176" i="41"/>
  <c r="J211" i="41"/>
  <c r="H210" i="41"/>
  <c r="G50" i="10"/>
  <c r="F84" i="10"/>
  <c r="H42" i="41"/>
  <c r="J43" i="41"/>
  <c r="G175" i="31"/>
  <c r="C175" i="31" s="1"/>
  <c r="I83" i="26"/>
  <c r="G651" i="31"/>
  <c r="B651" i="31" s="1"/>
  <c r="G174" i="31"/>
  <c r="B174" i="31" s="1"/>
  <c r="G181" i="31"/>
  <c r="C181" i="31" s="1"/>
  <c r="H17" i="41"/>
  <c r="J18" i="41"/>
  <c r="G1035" i="31"/>
  <c r="C1035" i="31" s="1"/>
  <c r="G951" i="31"/>
  <c r="C951" i="31" s="1"/>
  <c r="I1444" i="31"/>
  <c r="G1444" i="31" s="1"/>
  <c r="C1444" i="31" s="1"/>
  <c r="G818" i="31"/>
  <c r="C818" i="31" s="1"/>
  <c r="F1035" i="31"/>
  <c r="F325" i="31"/>
  <c r="I198" i="41"/>
  <c r="F197" i="41"/>
  <c r="G197" i="41"/>
  <c r="D197" i="41"/>
  <c r="I441" i="31"/>
  <c r="H234" i="41"/>
  <c r="J235" i="41"/>
  <c r="L55" i="38"/>
  <c r="F237" i="31"/>
  <c r="G182" i="31"/>
  <c r="B182" i="31" s="1"/>
  <c r="H222" i="41"/>
  <c r="J223" i="41"/>
  <c r="G19" i="6"/>
  <c r="F28" i="6"/>
  <c r="D29" i="6"/>
  <c r="D30" i="6"/>
  <c r="F5" i="41"/>
  <c r="I6" i="41"/>
  <c r="D5" i="41"/>
  <c r="I351" i="31"/>
  <c r="G350" i="31"/>
  <c r="L43" i="10"/>
  <c r="L10" i="38"/>
  <c r="C186" i="31"/>
  <c r="B548" i="31"/>
  <c r="C549" i="31"/>
  <c r="C183" i="31"/>
  <c r="I783" i="31"/>
  <c r="K1710" i="31"/>
  <c r="K1711" i="31"/>
  <c r="K1713" i="31" s="1"/>
  <c r="H675" i="31"/>
  <c r="B327" i="31"/>
  <c r="B541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I880" i="31"/>
  <c r="I881" i="31" s="1"/>
  <c r="F695" i="3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I1679" i="31"/>
  <c r="G1678" i="31"/>
  <c r="C652" i="31"/>
  <c r="B652" i="31"/>
  <c r="G615" i="31"/>
  <c r="I616" i="31"/>
  <c r="G616" i="31" s="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I95" i="26"/>
  <c r="G1167" i="31"/>
  <c r="C1167" i="31" s="1"/>
  <c r="I1168" i="31"/>
  <c r="C543" i="31"/>
  <c r="B543" i="31"/>
  <c r="A18" i="9"/>
  <c r="D17" i="9"/>
  <c r="F17" i="9" s="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G55" i="6" s="1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F7" i="39" s="1"/>
  <c r="D12" i="24"/>
  <c r="C174" i="31" l="1"/>
  <c r="B175" i="31"/>
  <c r="B181" i="31"/>
  <c r="C651" i="31"/>
  <c r="H223" i="41"/>
  <c r="J224" i="41"/>
  <c r="J44" i="41"/>
  <c r="H43" i="41"/>
  <c r="F16" i="39"/>
  <c r="C350" i="31"/>
  <c r="B350" i="31"/>
  <c r="E24" i="39"/>
  <c r="I352" i="31"/>
  <c r="G352" i="31" s="1"/>
  <c r="G351" i="31"/>
  <c r="J236" i="41"/>
  <c r="H235" i="41"/>
  <c r="H18" i="41"/>
  <c r="J19" i="41"/>
  <c r="H211" i="41"/>
  <c r="J212" i="41"/>
  <c r="C182" i="31"/>
  <c r="E16" i="39"/>
  <c r="J177" i="41"/>
  <c r="H176" i="41"/>
  <c r="E7" i="39"/>
  <c r="F15" i="39"/>
  <c r="E23" i="39"/>
  <c r="F8" i="39"/>
  <c r="H164" i="41"/>
  <c r="J165" i="41"/>
  <c r="F6" i="41"/>
  <c r="I7" i="41"/>
  <c r="D6" i="41"/>
  <c r="E8" i="39"/>
  <c r="G21" i="6"/>
  <c r="F30" i="6"/>
  <c r="F24" i="39"/>
  <c r="H200" i="41"/>
  <c r="J201" i="41"/>
  <c r="G20" i="6"/>
  <c r="F29" i="6"/>
  <c r="D31" i="6"/>
  <c r="F198" i="41"/>
  <c r="G198" i="41"/>
  <c r="I199" i="41"/>
  <c r="D198" i="41"/>
  <c r="F23" i="39"/>
  <c r="E15" i="39"/>
  <c r="O13" i="6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D91" i="10" s="1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H151" i="41"/>
  <c r="J152" i="41"/>
  <c r="C459" i="31"/>
  <c r="B459" i="31"/>
  <c r="I141" i="31"/>
  <c r="G141" i="31" s="1"/>
  <c r="G140" i="31"/>
  <c r="G1361" i="31"/>
  <c r="C1361" i="31" s="1"/>
  <c r="I1362" i="31"/>
  <c r="G322" i="31"/>
  <c r="C441" i="31"/>
  <c r="B441" i="31"/>
  <c r="C616" i="31"/>
  <c r="B616" i="31"/>
  <c r="F265" i="31"/>
  <c r="H266" i="31"/>
  <c r="H1698" i="31"/>
  <c r="F337" i="31"/>
  <c r="H338" i="31"/>
  <c r="F7" i="41" l="1"/>
  <c r="I8" i="41"/>
  <c r="D7" i="41"/>
  <c r="H236" i="41"/>
  <c r="J237" i="41"/>
  <c r="H165" i="41"/>
  <c r="J166" i="41"/>
  <c r="C351" i="31"/>
  <c r="B351" i="31"/>
  <c r="I200" i="41"/>
  <c r="F199" i="41"/>
  <c r="G199" i="41"/>
  <c r="D199" i="41"/>
  <c r="C352" i="31"/>
  <c r="B352" i="31"/>
  <c r="H19" i="41"/>
  <c r="J20" i="41"/>
  <c r="D32" i="6"/>
  <c r="J12" i="6"/>
  <c r="F31" i="6"/>
  <c r="J202" i="41"/>
  <c r="H201" i="41"/>
  <c r="J178" i="41"/>
  <c r="H177" i="41"/>
  <c r="F91" i="10"/>
  <c r="F66" i="10"/>
  <c r="H44" i="41"/>
  <c r="J45" i="41"/>
  <c r="J213" i="41"/>
  <c r="H212" i="41"/>
  <c r="J225" i="41"/>
  <c r="H224" i="4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J214" i="41" l="1"/>
  <c r="H213" i="41"/>
  <c r="H45" i="41"/>
  <c r="J46" i="41"/>
  <c r="J226" i="41"/>
  <c r="H225" i="41"/>
  <c r="F200" i="41"/>
  <c r="G200" i="41"/>
  <c r="I201" i="41"/>
  <c r="D200" i="41"/>
  <c r="H178" i="41"/>
  <c r="J179" i="41"/>
  <c r="H166" i="41"/>
  <c r="J167" i="41"/>
  <c r="J203" i="41"/>
  <c r="H202" i="41"/>
  <c r="H237" i="41"/>
  <c r="J238" i="41"/>
  <c r="F32" i="6"/>
  <c r="D33" i="6"/>
  <c r="I9" i="41"/>
  <c r="F8" i="41"/>
  <c r="D8" i="41"/>
  <c r="J21" i="41"/>
  <c r="H20" i="41"/>
  <c r="H9" i="12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9" i="41"/>
  <c r="J10" i="41"/>
  <c r="G9" i="41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J168" i="41" l="1"/>
  <c r="H167" i="41"/>
  <c r="H179" i="41"/>
  <c r="J180" i="41"/>
  <c r="H203" i="41"/>
  <c r="J204" i="41"/>
  <c r="I202" i="41"/>
  <c r="F201" i="41"/>
  <c r="G201" i="41"/>
  <c r="D201" i="41"/>
  <c r="H21" i="41"/>
  <c r="J22" i="41"/>
  <c r="I10" i="41"/>
  <c r="F9" i="41"/>
  <c r="D9" i="41"/>
  <c r="H226" i="41"/>
  <c r="J227" i="41"/>
  <c r="K13" i="6"/>
  <c r="F33" i="6"/>
  <c r="D35" i="6"/>
  <c r="H46" i="41"/>
  <c r="J47" i="41"/>
  <c r="H238" i="41"/>
  <c r="J239" i="41"/>
  <c r="H214" i="41"/>
  <c r="J215" i="4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F879" i="31"/>
  <c r="H880" i="31"/>
  <c r="G1135" i="31"/>
  <c r="C1135" i="31" s="1"/>
  <c r="I1136" i="31"/>
  <c r="G1401" i="31"/>
  <c r="C1401" i="31" s="1"/>
  <c r="I1402" i="31"/>
  <c r="G1402" i="31" s="1"/>
  <c r="C1402" i="31" s="1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F10" i="41" l="1"/>
  <c r="I11" i="41"/>
  <c r="D10" i="41"/>
  <c r="H22" i="41"/>
  <c r="J23" i="41"/>
  <c r="J216" i="41"/>
  <c r="H215" i="41"/>
  <c r="H239" i="41"/>
  <c r="J240" i="41"/>
  <c r="I203" i="41"/>
  <c r="F202" i="41"/>
  <c r="G202" i="41"/>
  <c r="D202" i="41"/>
  <c r="H47" i="41"/>
  <c r="J48" i="41"/>
  <c r="J205" i="41"/>
  <c r="H205" i="41" s="1"/>
  <c r="H204" i="41"/>
  <c r="F35" i="6"/>
  <c r="L13" i="6"/>
  <c r="D36" i="6"/>
  <c r="J181" i="41"/>
  <c r="H181" i="41" s="1"/>
  <c r="H180" i="41"/>
  <c r="H227" i="41"/>
  <c r="J228" i="41"/>
  <c r="J169" i="41"/>
  <c r="H169" i="41" s="1"/>
  <c r="H168" i="4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J49" i="41" l="1"/>
  <c r="H49" i="41" s="1"/>
  <c r="H48" i="41"/>
  <c r="F203" i="41"/>
  <c r="G203" i="41"/>
  <c r="I204" i="41"/>
  <c r="D203" i="41"/>
  <c r="J241" i="41"/>
  <c r="H241" i="41" s="1"/>
  <c r="H240" i="41"/>
  <c r="H228" i="41"/>
  <c r="J229" i="41"/>
  <c r="H229" i="41" s="1"/>
  <c r="H216" i="41"/>
  <c r="J217" i="41"/>
  <c r="H217" i="41" s="1"/>
  <c r="H23" i="41"/>
  <c r="J24" i="41"/>
  <c r="F36" i="6"/>
  <c r="N12" i="6"/>
  <c r="F11" i="41"/>
  <c r="I12" i="41"/>
  <c r="D11" i="4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F74" i="6" s="1"/>
  <c r="H703" i="31"/>
  <c r="F702" i="31"/>
  <c r="F158" i="31"/>
  <c r="H159" i="31"/>
  <c r="F925" i="31"/>
  <c r="H926" i="3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J25" i="41" l="1"/>
  <c r="H25" i="41" s="1"/>
  <c r="H24" i="41"/>
  <c r="I205" i="41"/>
  <c r="F204" i="41"/>
  <c r="G204" i="41"/>
  <c r="D204" i="41"/>
  <c r="I13" i="41"/>
  <c r="F12" i="41"/>
  <c r="D12" i="4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I14" i="41" l="1"/>
  <c r="F13" i="41"/>
  <c r="D13" i="41"/>
  <c r="I206" i="41"/>
  <c r="F205" i="41"/>
  <c r="D205" i="41"/>
  <c r="G205" i="4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I207" i="41" l="1"/>
  <c r="D206" i="41"/>
  <c r="G206" i="41"/>
  <c r="I15" i="41"/>
  <c r="D14" i="41"/>
  <c r="G14" i="4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H391" i="31"/>
  <c r="F390" i="31"/>
  <c r="D15" i="41" l="1"/>
  <c r="F15" i="41"/>
  <c r="I16" i="41"/>
  <c r="G15" i="41"/>
  <c r="I208" i="41"/>
  <c r="F207" i="41"/>
  <c r="G207" i="41"/>
  <c r="D207" i="4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H1007" i="31"/>
  <c r="H996" i="31"/>
  <c r="F995" i="31"/>
  <c r="F198" i="31"/>
  <c r="H205" i="31"/>
  <c r="H199" i="3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I209" i="41" l="1"/>
  <c r="F208" i="41"/>
  <c r="G208" i="41"/>
  <c r="D208" i="41"/>
  <c r="G16" i="41"/>
  <c r="D16" i="41"/>
  <c r="I17" i="41"/>
  <c r="F16" i="41"/>
  <c r="F70" i="3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D17" i="41" l="1"/>
  <c r="F17" i="41"/>
  <c r="G17" i="41"/>
  <c r="I18" i="41"/>
  <c r="F209" i="41"/>
  <c r="G209" i="41"/>
  <c r="I210" i="41"/>
  <c r="D209" i="41"/>
  <c r="F1167" i="3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I211" i="41" l="1"/>
  <c r="F210" i="41"/>
  <c r="G210" i="41"/>
  <c r="D210" i="41"/>
  <c r="G18" i="41"/>
  <c r="D18" i="41"/>
  <c r="F18" i="41"/>
  <c r="I19" i="41"/>
  <c r="H1125" i="3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H1021" i="31"/>
  <c r="F1020" i="31"/>
  <c r="H650" i="31"/>
  <c r="F649" i="31"/>
  <c r="F1393" i="31"/>
  <c r="H1394" i="31"/>
  <c r="F639" i="31"/>
  <c r="H640" i="31"/>
  <c r="F640" i="31" s="1"/>
  <c r="D19" i="41" l="1"/>
  <c r="G19" i="41"/>
  <c r="I20" i="41"/>
  <c r="F19" i="41"/>
  <c r="F211" i="41"/>
  <c r="G211" i="41"/>
  <c r="I212" i="41"/>
  <c r="D211" i="41"/>
  <c r="F1180" i="3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F212" i="41" l="1"/>
  <c r="G212" i="41"/>
  <c r="I213" i="41"/>
  <c r="D212" i="41"/>
  <c r="D20" i="41"/>
  <c r="I21" i="41"/>
  <c r="F20" i="41"/>
  <c r="G20" i="41"/>
  <c r="H1138" i="3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G164" i="41"/>
  <c r="I165" i="41"/>
  <c r="F164" i="41"/>
  <c r="D164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D21" i="41" l="1"/>
  <c r="F21" i="41"/>
  <c r="I22" i="41"/>
  <c r="G21" i="41"/>
  <c r="I214" i="41"/>
  <c r="F213" i="41"/>
  <c r="G213" i="41"/>
  <c r="D213" i="41"/>
  <c r="F1182" i="3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214" i="41" l="1"/>
  <c r="G214" i="41"/>
  <c r="I215" i="41"/>
  <c r="D214" i="41"/>
  <c r="D22" i="41"/>
  <c r="F22" i="41"/>
  <c r="G22" i="41"/>
  <c r="I23" i="41"/>
  <c r="F1161" i="31"/>
  <c r="H1162" i="31"/>
  <c r="F1162" i="31" s="1"/>
  <c r="H1184" i="31"/>
  <c r="F1183" i="31"/>
  <c r="H1173" i="31"/>
  <c r="F1172" i="3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H813" i="31"/>
  <c r="F812" i="31"/>
  <c r="H1354" i="31"/>
  <c r="F1354" i="31" s="1"/>
  <c r="F1353" i="31"/>
  <c r="D23" i="41" l="1"/>
  <c r="F23" i="41"/>
  <c r="G23" i="41"/>
  <c r="I24" i="41"/>
  <c r="I216" i="41"/>
  <c r="F215" i="41"/>
  <c r="G215" i="41"/>
  <c r="D215" i="41"/>
  <c r="F1184" i="3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H982" i="31"/>
  <c r="F982" i="31" s="1"/>
  <c r="F981" i="31"/>
  <c r="F1003" i="31"/>
  <c r="H1004" i="31"/>
  <c r="F1398" i="31"/>
  <c r="H1399" i="31"/>
  <c r="I217" i="41" l="1"/>
  <c r="F216" i="41"/>
  <c r="G216" i="41"/>
  <c r="D216" i="41"/>
  <c r="D24" i="41"/>
  <c r="F24" i="41"/>
  <c r="G24" i="41"/>
  <c r="I25" i="41"/>
  <c r="F1185" i="3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F1015" i="31"/>
  <c r="H1016" i="31"/>
  <c r="D95" i="41"/>
  <c r="F95" i="41"/>
  <c r="G95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5" i="41" l="1"/>
  <c r="I26" i="41"/>
  <c r="F25" i="41"/>
  <c r="G25" i="41"/>
  <c r="I218" i="41"/>
  <c r="F217" i="41"/>
  <c r="D217" i="41"/>
  <c r="G217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I219" i="41" l="1"/>
  <c r="D218" i="41"/>
  <c r="G218" i="41"/>
  <c r="D26" i="41"/>
  <c r="I27" i="41"/>
  <c r="G26" i="41"/>
  <c r="F100" i="4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F1028" i="31"/>
  <c r="H1029" i="31"/>
  <c r="H1402" i="31"/>
  <c r="F1402" i="31" s="1"/>
  <c r="F1401" i="31"/>
  <c r="D27" i="41" l="1"/>
  <c r="F27" i="41"/>
  <c r="G27" i="41"/>
  <c r="I28" i="41"/>
  <c r="G219" i="41"/>
  <c r="F219" i="41"/>
  <c r="I220" i="41"/>
  <c r="D219" i="41"/>
  <c r="I172" i="4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I221" i="41" l="1"/>
  <c r="D220" i="41"/>
  <c r="F220" i="41"/>
  <c r="G220" i="41"/>
  <c r="D28" i="41"/>
  <c r="F28" i="41"/>
  <c r="G28" i="41"/>
  <c r="I29" i="41"/>
  <c r="D104" i="41"/>
  <c r="F104" i="41"/>
  <c r="I105" i="41"/>
  <c r="G104" i="41"/>
  <c r="I106" i="41"/>
  <c r="D103" i="41"/>
  <c r="F103" i="41"/>
  <c r="G103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G29" i="41" l="1"/>
  <c r="D29" i="41"/>
  <c r="F29" i="41"/>
  <c r="I30" i="41"/>
  <c r="I222" i="41"/>
  <c r="F221" i="41"/>
  <c r="G221" i="41"/>
  <c r="D221" i="41"/>
  <c r="D59" i="9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I223" i="41" l="1"/>
  <c r="D222" i="41"/>
  <c r="G222" i="41"/>
  <c r="F222" i="41"/>
  <c r="D30" i="41"/>
  <c r="I31" i="41"/>
  <c r="F30" i="41"/>
  <c r="G30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I32" i="41" l="1"/>
  <c r="D31" i="41"/>
  <c r="F31" i="41"/>
  <c r="G31" i="41"/>
  <c r="I224" i="41"/>
  <c r="D223" i="41"/>
  <c r="F223" i="41"/>
  <c r="G223" i="41"/>
  <c r="G110" i="41"/>
  <c r="D110" i="41"/>
  <c r="I111" i="41"/>
  <c r="F110" i="41"/>
  <c r="I112" i="41"/>
  <c r="I176" i="41"/>
  <c r="D175" i="41"/>
  <c r="G175" i="41"/>
  <c r="F175" i="41"/>
  <c r="A14" i="10"/>
  <c r="D13" i="10"/>
  <c r="G109" i="41"/>
  <c r="F109" i="41"/>
  <c r="D109" i="41"/>
  <c r="G224" i="41" l="1"/>
  <c r="F224" i="41"/>
  <c r="I225" i="41"/>
  <c r="D224" i="41"/>
  <c r="D32" i="41"/>
  <c r="F32" i="41"/>
  <c r="G32" i="41"/>
  <c r="I33" i="41"/>
  <c r="A15" i="10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I177" i="41"/>
  <c r="D176" i="41"/>
  <c r="F176" i="41"/>
  <c r="G176" i="41"/>
  <c r="G33" i="41" l="1"/>
  <c r="I34" i="41"/>
  <c r="D33" i="41"/>
  <c r="F33" i="41"/>
  <c r="I226" i="41"/>
  <c r="D225" i="41"/>
  <c r="F225" i="41"/>
  <c r="G225" i="41"/>
  <c r="F114" i="41"/>
  <c r="G114" i="41"/>
  <c r="I115" i="41"/>
  <c r="I116" i="41"/>
  <c r="D114" i="41"/>
  <c r="F113" i="41"/>
  <c r="G113" i="41"/>
  <c r="D113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226" i="41" l="1"/>
  <c r="I227" i="41"/>
  <c r="D226" i="41"/>
  <c r="F226" i="41"/>
  <c r="D34" i="41"/>
  <c r="F34" i="41"/>
  <c r="G34" i="41"/>
  <c r="I35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G35" i="41" l="1"/>
  <c r="D35" i="41"/>
  <c r="F35" i="41"/>
  <c r="I36" i="41"/>
  <c r="D227" i="41"/>
  <c r="F227" i="41"/>
  <c r="G227" i="41"/>
  <c r="I228" i="41"/>
  <c r="D118" i="41"/>
  <c r="I120" i="41"/>
  <c r="F118" i="41"/>
  <c r="G118" i="41"/>
  <c r="I119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228" i="41" l="1"/>
  <c r="I229" i="41"/>
  <c r="F228" i="41"/>
  <c r="G228" i="41"/>
  <c r="D36" i="41"/>
  <c r="G36" i="41"/>
  <c r="I37" i="41"/>
  <c r="F36" i="41"/>
  <c r="D18" i="10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D119" i="41"/>
  <c r="F119" i="41"/>
  <c r="G119" i="41"/>
  <c r="I181" i="41"/>
  <c r="D180" i="41"/>
  <c r="G180" i="41"/>
  <c r="F180" i="41"/>
  <c r="D37" i="41" l="1"/>
  <c r="F37" i="41"/>
  <c r="G37" i="41"/>
  <c r="I38" i="41"/>
  <c r="D229" i="41"/>
  <c r="I230" i="41"/>
  <c r="F229" i="41"/>
  <c r="G22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D230" i="41" l="1"/>
  <c r="G230" i="41"/>
  <c r="I231" i="41"/>
  <c r="D38" i="41"/>
  <c r="G38" i="41"/>
  <c r="I39" i="41"/>
  <c r="A21" i="10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D231" i="41" l="1"/>
  <c r="F231" i="41"/>
  <c r="G231" i="41"/>
  <c r="I232" i="41"/>
  <c r="D39" i="41"/>
  <c r="G39" i="41"/>
  <c r="F39" i="41"/>
  <c r="I40" i="41"/>
  <c r="F126" i="4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G40" i="41" l="1"/>
  <c r="I41" i="41"/>
  <c r="D40" i="41"/>
  <c r="F40" i="41"/>
  <c r="F232" i="41"/>
  <c r="D232" i="41"/>
  <c r="G232" i="41"/>
  <c r="I233" i="41"/>
  <c r="D184" i="4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D233" i="41" l="1"/>
  <c r="F233" i="41"/>
  <c r="G233" i="41"/>
  <c r="I234" i="41"/>
  <c r="G41" i="41"/>
  <c r="D41" i="41"/>
  <c r="I42" i="41"/>
  <c r="F41" i="41"/>
  <c r="F129" i="4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42" i="41" l="1"/>
  <c r="F42" i="41"/>
  <c r="G42" i="41"/>
  <c r="I43" i="41"/>
  <c r="F234" i="41"/>
  <c r="G234" i="41"/>
  <c r="D234" i="41"/>
  <c r="I235" i="41"/>
  <c r="D132" i="4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D235" i="41" l="1"/>
  <c r="F235" i="41"/>
  <c r="G235" i="41"/>
  <c r="I236" i="41"/>
  <c r="F43" i="41"/>
  <c r="D43" i="41"/>
  <c r="I44" i="41"/>
  <c r="G43" i="41"/>
  <c r="A46" i="10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G44" i="41" l="1"/>
  <c r="D44" i="41"/>
  <c r="F44" i="41"/>
  <c r="I45" i="41"/>
  <c r="F236" i="41"/>
  <c r="D236" i="41"/>
  <c r="G236" i="41"/>
  <c r="I237" i="41"/>
  <c r="D135" i="4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237" i="41" l="1"/>
  <c r="F237" i="41"/>
  <c r="G237" i="41"/>
  <c r="I238" i="41"/>
  <c r="G45" i="41"/>
  <c r="D45" i="41"/>
  <c r="F45" i="41"/>
  <c r="I46" i="41"/>
  <c r="D47" i="10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G46" i="41" l="1"/>
  <c r="F46" i="41"/>
  <c r="I47" i="41"/>
  <c r="D46" i="41"/>
  <c r="F238" i="41"/>
  <c r="G238" i="41"/>
  <c r="D238" i="41"/>
  <c r="I239" i="41"/>
  <c r="F139" i="4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239" i="41" l="1"/>
  <c r="F239" i="41"/>
  <c r="I240" i="41"/>
  <c r="G239" i="41"/>
  <c r="D47" i="41"/>
  <c r="G47" i="41"/>
  <c r="F47" i="41"/>
  <c r="I48" i="41"/>
  <c r="D191" i="4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F48" i="41" l="1"/>
  <c r="D48" i="41"/>
  <c r="G48" i="41"/>
  <c r="I49" i="41"/>
  <c r="I241" i="41"/>
  <c r="D240" i="41"/>
  <c r="F240" i="41"/>
  <c r="G240" i="41"/>
  <c r="G143" i="4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G241" i="41" l="1"/>
  <c r="D241" i="41"/>
  <c r="F241" i="41"/>
  <c r="D49" i="41"/>
  <c r="F49" i="41"/>
  <c r="G49" i="41"/>
  <c r="A52" i="10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1713" i="31" l="1"/>
  <c r="D1711" i="31"/>
  <c r="D52" i="6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I96" i="25" s="1"/>
  <c r="G96" i="41" s="1"/>
  <c r="F1713" i="31"/>
  <c r="G98" i="41"/>
  <c r="F1723" i="31"/>
  <c r="I109" i="25"/>
  <c r="I73" i="25"/>
  <c r="G52" i="41" s="1"/>
  <c r="F1708" i="31"/>
  <c r="P49" i="6"/>
  <c r="G74" i="41" l="1"/>
  <c r="F1703" i="3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sharedStrings.xml><?xml version="1.0" encoding="utf-8"?>
<sst xmlns="http://schemas.openxmlformats.org/spreadsheetml/2006/main" count="13061" uniqueCount="4340">
  <si>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</si>
  <si>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</si>
  <si>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</si>
  <si>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</si>
  <si>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</si>
  <si>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</si>
  <si>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</si>
  <si>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</si>
  <si>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</si>
  <si>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</si>
  <si>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</si>
  <si>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</si>
  <si>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</si>
  <si>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</si>
  <si>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</si>
  <si>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</si>
  <si>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</si>
  <si>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</si>
  <si>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</si>
  <si>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</si>
  <si>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</si>
  <si>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</si>
  <si>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</si>
  <si>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</si>
  <si>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</si>
  <si>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</si>
  <si>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</si>
  <si>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</si>
  <si>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</si>
  <si>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</si>
  <si>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</si>
  <si>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</si>
  <si>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</si>
  <si>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</si>
  <si>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</si>
  <si>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</si>
  <si>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</si>
  <si>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</si>
  <si>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</si>
  <si>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</si>
  <si>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</si>
  <si>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</si>
  <si>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</si>
  <si>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</si>
  <si>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</si>
  <si>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</si>
  <si>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</si>
  <si>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</si>
  <si>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</si>
  <si>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</si>
  <si>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</si>
  <si>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</si>
  <si>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</si>
  <si>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</si>
  <si>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</si>
  <si>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</si>
  <si>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</si>
  <si>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</si>
  <si>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</si>
  <si>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</si>
  <si>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</si>
  <si>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</si>
  <si>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</si>
  <si>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</si>
  <si>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</si>
  <si>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</si>
  <si>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</si>
  <si>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</si>
  <si>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</si>
  <si>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</si>
  <si>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</si>
  <si>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</si>
  <si>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</si>
  <si>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</si>
  <si>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</si>
  <si>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</si>
  <si>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</si>
  <si>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</si>
  <si>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</si>
  <si>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</si>
  <si>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</si>
  <si>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</si>
  <si>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</si>
  <si>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</si>
  <si>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</si>
  <si>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</si>
  <si>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</si>
  <si>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</si>
  <si>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</si>
  <si>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</si>
  <si>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</si>
  <si>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</si>
  <si>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</si>
  <si>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</si>
  <si>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</si>
  <si>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</si>
  <si>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</si>
  <si>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</si>
  <si>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</si>
  <si>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</si>
  <si>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</si>
  <si>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</si>
  <si>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</si>
  <si>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</si>
  <si>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</si>
  <si>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</si>
  <si>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</si>
  <si>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</si>
  <si>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</si>
  <si>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</si>
  <si>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</si>
  <si>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</si>
  <si>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</si>
  <si>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</si>
  <si>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</si>
  <si>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</si>
  <si>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</si>
  <si>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</si>
  <si>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</si>
  <si>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</si>
  <si>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</si>
  <si>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</si>
  <si>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</si>
  <si>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</si>
  <si>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</si>
  <si>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</si>
  <si>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</si>
  <si>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</si>
  <si>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</si>
  <si>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</si>
  <si>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</si>
  <si>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</si>
  <si>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</si>
  <si>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</si>
  <si>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</si>
  <si>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</si>
  <si>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</si>
  <si>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</si>
  <si>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</si>
  <si>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</si>
  <si>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</si>
  <si>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</si>
  <si>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</si>
  <si>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</si>
  <si>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</si>
  <si>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</si>
  <si>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</si>
  <si>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</si>
  <si>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</si>
  <si>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</si>
  <si>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</si>
  <si>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</si>
  <si>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</si>
  <si>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</si>
  <si>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</si>
  <si>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</si>
  <si>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</si>
  <si>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</si>
  <si>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</si>
  <si>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</si>
  <si>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</si>
  <si>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</si>
  <si>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</si>
  <si>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</si>
  <si>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</si>
  <si>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</si>
  <si>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</si>
  <si>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</si>
  <si>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</si>
  <si>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</si>
  <si>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</si>
  <si>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</si>
  <si>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</si>
  <si>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</si>
  <si>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</si>
  <si>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</si>
  <si>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</si>
  <si>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</si>
  <si>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</si>
  <si>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</si>
  <si>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</si>
  <si>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</si>
  <si>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</si>
  <si>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</si>
  <si>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</si>
  <si>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</si>
  <si>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</si>
  <si>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</si>
  <si>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</si>
  <si>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</si>
  <si>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</si>
  <si>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</si>
  <si>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</si>
  <si>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</si>
  <si>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</si>
  <si>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</si>
  <si>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</si>
  <si>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</si>
  <si>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</si>
  <si>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</si>
  <si>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</si>
  <si>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</si>
  <si>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</si>
  <si>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</si>
  <si>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</si>
  <si>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</si>
  <si>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</si>
  <si>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</si>
  <si>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</si>
  <si>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</si>
  <si>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</si>
  <si>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</si>
  <si>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</si>
  <si>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</si>
  <si>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</si>
  <si>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</si>
  <si>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</si>
  <si>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</si>
  <si>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</si>
  <si>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</si>
  <si>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</si>
  <si>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</si>
  <si>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</si>
  <si>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</si>
  <si>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</si>
  <si>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</si>
  <si>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</si>
  <si>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</si>
  <si>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</si>
  <si>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</si>
  <si>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</si>
  <si>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</si>
  <si>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</si>
  <si>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</si>
  <si>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</si>
  <si>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</si>
  <si>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</si>
  <si>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</si>
  <si>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</si>
  <si>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</si>
  <si>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</si>
  <si>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</si>
  <si>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</si>
  <si>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</si>
  <si>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</si>
  <si>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</si>
  <si>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</si>
  <si>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</si>
  <si>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</si>
  <si>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</si>
  <si>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</si>
  <si>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</si>
  <si>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</si>
  <si>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</si>
  <si>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</si>
  <si>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</si>
  <si>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</si>
  <si>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</si>
  <si>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</si>
  <si>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</si>
  <si>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</si>
  <si>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</si>
  <si>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</si>
  <si>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</si>
  <si>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</si>
  <si>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</si>
  <si>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</si>
  <si>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</si>
  <si>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</si>
  <si>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</si>
  <si>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</si>
  <si>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</si>
  <si>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</si>
  <si>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</si>
  <si>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</si>
  <si>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</si>
  <si>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</si>
  <si>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</si>
  <si>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</si>
  <si>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</si>
  <si>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</si>
  <si>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</si>
  <si>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</si>
  <si>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</si>
  <si>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</si>
  <si>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</si>
  <si>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</si>
  <si>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</si>
  <si>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</si>
  <si>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</si>
  <si>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</si>
  <si>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</si>
  <si>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</si>
  <si>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</si>
  <si>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</si>
  <si>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</si>
  <si>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</si>
  <si>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</si>
  <si>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</si>
  <si>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</si>
  <si>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</si>
  <si>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</si>
  <si>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</si>
  <si>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</si>
  <si>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</si>
  <si>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</si>
  <si>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</si>
  <si>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</si>
  <si>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</si>
  <si>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</si>
  <si>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</si>
  <si>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</si>
  <si>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</si>
  <si>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</si>
  <si>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</si>
  <si>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</si>
  <si>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</si>
  <si>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</si>
  <si>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</si>
  <si>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</si>
  <si>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</si>
  <si>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</si>
  <si>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</si>
  <si>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</si>
  <si>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</si>
  <si>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</si>
  <si>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</si>
  <si>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</si>
  <si>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</si>
  <si>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</si>
  <si>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</si>
  <si>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</si>
  <si>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</si>
  <si>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</si>
  <si>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</si>
  <si>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</si>
  <si>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</si>
  <si>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</si>
  <si>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</si>
  <si>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</si>
  <si>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</si>
  <si>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</si>
  <si>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</si>
  <si>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</si>
  <si>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</si>
  <si>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</si>
  <si>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</si>
  <si>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</si>
  <si>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</si>
  <si>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</si>
  <si>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</si>
  <si>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</si>
  <si>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</si>
  <si>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</si>
  <si>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</si>
  <si>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</si>
  <si>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</si>
  <si>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</si>
  <si>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</si>
  <si>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</si>
  <si>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</si>
  <si>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</si>
  <si>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</si>
  <si>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</si>
  <si>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</si>
  <si>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</si>
  <si>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</si>
  <si>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</si>
  <si>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</si>
  <si>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</si>
  <si>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</si>
  <si>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</si>
  <si>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</si>
  <si>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</si>
  <si>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</si>
  <si>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</si>
  <si>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</si>
  <si>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</si>
  <si>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</si>
  <si>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</si>
  <si>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</si>
  <si>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</si>
  <si>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</si>
  <si>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</si>
  <si>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</si>
  <si>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</si>
  <si>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</si>
  <si>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</si>
  <si>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</si>
  <si>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</si>
  <si>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</si>
  <si>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</si>
  <si>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</si>
  <si>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</si>
  <si>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</si>
  <si>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</si>
  <si>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</si>
  <si>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</si>
  <si>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</si>
  <si>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</si>
  <si>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</si>
  <si>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</si>
  <si>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</si>
  <si>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</si>
  <si>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</si>
  <si>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</si>
  <si>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</si>
  <si>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</si>
  <si>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</si>
  <si>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</si>
  <si>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</si>
  <si>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</si>
  <si>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</si>
  <si>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</si>
  <si>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</si>
  <si>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</si>
  <si>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</si>
  <si>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</si>
  <si>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</si>
  <si>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</si>
  <si>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</si>
  <si>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</si>
  <si>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</si>
  <si>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</si>
  <si>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</si>
  <si>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</si>
  <si>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</si>
  <si>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</si>
  <si>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</si>
  <si>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</si>
  <si>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</si>
  <si>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</si>
  <si>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</si>
  <si>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</si>
  <si>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</si>
  <si>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</si>
  <si>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</si>
  <si>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</si>
  <si>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</si>
  <si>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</si>
  <si>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</si>
  <si>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</si>
  <si>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</si>
  <si>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</si>
  <si>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</si>
  <si>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</si>
  <si>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</si>
  <si>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</si>
  <si>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</si>
  <si>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</si>
  <si>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</si>
  <si>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</si>
  <si>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</si>
  <si>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</si>
  <si>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</si>
  <si>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</si>
  <si>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</si>
  <si>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</si>
  <si>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</si>
  <si>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</si>
  <si>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</si>
  <si>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</si>
  <si>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</si>
  <si>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</si>
  <si>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</si>
  <si>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</si>
  <si>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</si>
  <si>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</si>
  <si>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</si>
  <si>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</si>
  <si>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</si>
  <si>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</si>
  <si>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</si>
  <si>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</si>
  <si>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</si>
  <si>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</si>
  <si>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</si>
  <si>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</si>
  <si>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</si>
  <si>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</si>
  <si>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</si>
  <si>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</si>
  <si>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</si>
  <si>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</si>
  <si>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</si>
  <si>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</si>
  <si>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</si>
  <si>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</si>
  <si>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</si>
  <si>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</si>
  <si>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</si>
  <si>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</si>
  <si>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</si>
  <si>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</si>
  <si>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</si>
  <si>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</si>
  <si>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</si>
  <si>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</si>
  <si>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</si>
  <si>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</si>
  <si>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</si>
  <si>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</si>
  <si>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</si>
  <si>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</si>
  <si>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</si>
  <si>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</si>
  <si>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</si>
  <si>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</si>
  <si>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</si>
  <si>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</si>
  <si>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</si>
  <si>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</si>
  <si>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</si>
  <si>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</si>
  <si>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</si>
  <si>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</si>
  <si>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</si>
  <si>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</si>
  <si>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</si>
  <si>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</si>
  <si>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</si>
  <si>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</si>
  <si>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</si>
  <si>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</si>
  <si>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</si>
  <si>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</si>
  <si>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</si>
  <si>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</si>
  <si>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</si>
  <si>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</si>
  <si>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</si>
  <si>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</si>
  <si>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</si>
  <si>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</si>
  <si>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</si>
  <si>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</si>
  <si>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</si>
  <si>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</si>
  <si>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</si>
  <si>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</si>
  <si>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</si>
  <si>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</si>
  <si>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</si>
  <si>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</si>
  <si>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</si>
  <si>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</si>
  <si>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</si>
  <si>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</si>
  <si>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</si>
  <si>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</si>
  <si>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</si>
  <si>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</si>
  <si>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</si>
  <si>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</si>
  <si>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</si>
  <si>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</si>
  <si>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</si>
  <si>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</si>
  <si>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</si>
  <si>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</si>
  <si>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</si>
  <si>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</si>
  <si>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</si>
  <si>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</si>
  <si>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</si>
  <si>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</si>
  <si>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</si>
  <si>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</si>
  <si>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</si>
  <si>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</si>
  <si>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</si>
  <si>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</si>
  <si>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</si>
  <si>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</si>
  <si>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</si>
  <si>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</si>
  <si>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</si>
  <si>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</si>
  <si>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</si>
  <si>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</si>
  <si>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</si>
  <si>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</si>
  <si>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</si>
  <si>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</si>
  <si>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</si>
  <si>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</si>
  <si>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</si>
  <si>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</si>
  <si>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</si>
  <si>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</si>
  <si>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</si>
  <si>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</si>
  <si>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</si>
  <si>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</si>
  <si>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</si>
  <si>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</si>
  <si>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</si>
  <si>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</si>
  <si>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</si>
  <si>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</si>
  <si>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</si>
  <si>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</si>
  <si>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</si>
  <si>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</si>
  <si>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</si>
  <si>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</si>
  <si>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</si>
  <si>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</si>
  <si>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</si>
  <si>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</si>
  <si>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</si>
  <si>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</si>
  <si>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</si>
  <si>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</si>
  <si>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</si>
  <si>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</si>
  <si>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</si>
  <si>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</si>
  <si>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</si>
  <si>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</si>
  <si>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</si>
  <si>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</si>
  <si>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</si>
  <si>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</si>
  <si>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</si>
  <si>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</si>
  <si>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</si>
  <si>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</si>
  <si>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</si>
  <si>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</si>
  <si>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</si>
  <si>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</si>
  <si>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</si>
  <si>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</si>
  <si>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</si>
  <si>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</si>
  <si>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</si>
  <si>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</si>
  <si>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</si>
  <si>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</si>
  <si>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</si>
  <si>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</si>
  <si>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</si>
  <si>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</si>
  <si>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</si>
  <si>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</si>
  <si>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</si>
  <si>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</si>
  <si>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</si>
  <si>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</si>
  <si>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</si>
  <si>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</si>
  <si>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</si>
  <si>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</si>
  <si>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</si>
  <si>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</si>
  <si>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</si>
  <si>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</si>
  <si>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</si>
  <si>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</si>
  <si>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</si>
  <si>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</si>
  <si>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</si>
  <si>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</si>
  <si>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</si>
  <si>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</si>
  <si>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</si>
  <si>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</si>
  <si>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</si>
  <si>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</si>
  <si>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</si>
  <si>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</si>
  <si>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</si>
  <si>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</si>
  <si>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</si>
  <si>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</si>
  <si>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</si>
  <si>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</si>
  <si>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</si>
  <si>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</si>
  <si>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</si>
  <si>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</si>
  <si>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</si>
  <si>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</si>
  <si>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</si>
  <si>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</si>
  <si>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</si>
  <si>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</si>
  <si>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</si>
  <si>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</si>
  <si>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</si>
  <si>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</si>
  <si>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</si>
  <si>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</si>
  <si>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</si>
  <si>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</si>
  <si>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</si>
  <si>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</si>
  <si>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</si>
  <si>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</si>
  <si>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</si>
  <si>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</si>
  <si>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</si>
  <si>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</si>
  <si>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</si>
  <si>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</si>
  <si>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</si>
  <si>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</si>
  <si>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</si>
  <si>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</si>
  <si>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</si>
  <si>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</si>
  <si>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</si>
  <si>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</si>
  <si>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</si>
  <si>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</si>
  <si>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</si>
  <si>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</si>
  <si>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</si>
  <si>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</si>
  <si>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</si>
  <si>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</si>
  <si>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</si>
  <si>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</si>
  <si>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</si>
  <si>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</si>
  <si>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</si>
  <si>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</si>
  <si>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</si>
  <si>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</si>
  <si>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</si>
  <si>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</si>
  <si>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</si>
  <si>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</si>
  <si>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</si>
  <si>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</si>
  <si>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</si>
  <si>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</si>
  <si>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</si>
  <si>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</si>
  <si>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</si>
  <si>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</si>
  <si>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</si>
  <si>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</si>
  <si>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</si>
  <si>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</si>
  <si>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</si>
  <si>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</si>
  <si>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</si>
  <si>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</si>
  <si>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</si>
  <si>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</si>
  <si>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</si>
  <si>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</si>
  <si>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</si>
  <si>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</si>
  <si>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</si>
  <si>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</si>
  <si>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</si>
  <si>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</si>
  <si>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</si>
  <si>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</si>
  <si>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</si>
  <si>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</si>
  <si>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</si>
  <si>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</si>
  <si>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</si>
  <si>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</si>
  <si>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</si>
  <si>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</si>
  <si>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</si>
  <si>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</si>
  <si>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</si>
  <si>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</si>
  <si>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</si>
  <si>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</si>
  <si>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</si>
  <si>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</si>
  <si>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</si>
  <si>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</si>
  <si>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</si>
  <si>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</si>
  <si>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</si>
  <si>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</si>
  <si>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</si>
  <si>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</si>
  <si>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</si>
  <si>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</si>
  <si>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</si>
  <si>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</si>
  <si>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</si>
  <si>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</si>
  <si>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</si>
  <si>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</si>
  <si>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</si>
  <si>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</si>
  <si>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</si>
  <si>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</si>
  <si>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</si>
  <si>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</si>
  <si>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</si>
  <si>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</si>
  <si>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</si>
  <si>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</si>
  <si>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</si>
  <si>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</si>
  <si>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</si>
  <si>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</si>
  <si>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</si>
  <si>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</si>
  <si>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</si>
  <si>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</si>
  <si>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</si>
  <si>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</si>
  <si>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</si>
  <si>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</si>
  <si>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</si>
  <si>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</si>
  <si>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</si>
  <si>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</si>
  <si>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</si>
  <si>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</si>
  <si>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</si>
  <si>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</si>
  <si>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</si>
  <si>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</si>
  <si>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</si>
  <si>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</si>
  <si>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</si>
  <si>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</si>
  <si>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</si>
  <si>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</si>
  <si>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</si>
  <si>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</si>
  <si>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</si>
  <si>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</si>
  <si>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</si>
  <si>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</si>
  <si>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</si>
  <si>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</si>
  <si>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</si>
  <si>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</si>
  <si>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</si>
  <si>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</si>
  <si>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</si>
  <si>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</si>
  <si>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</si>
  <si>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</si>
  <si>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</si>
  <si>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</si>
  <si>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</si>
  <si>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</si>
  <si>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</si>
  <si>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</si>
  <si>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</si>
  <si>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</si>
  <si>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</si>
  <si>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</si>
  <si>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</si>
  <si>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</si>
  <si>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</si>
  <si>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</si>
  <si>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</si>
  <si>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</si>
  <si>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</si>
  <si>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</si>
  <si>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</si>
  <si>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</si>
  <si>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</si>
  <si>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</si>
  <si>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</si>
  <si>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</si>
  <si>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</si>
  <si>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</si>
  <si>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</si>
  <si>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</si>
  <si>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</si>
  <si>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</si>
  <si>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</si>
  <si>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</si>
  <si>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</si>
  <si>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</si>
  <si>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</si>
  <si>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</si>
  <si>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</si>
  <si>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</si>
  <si>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</si>
  <si>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</si>
  <si>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</si>
  <si>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</si>
  <si>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</si>
  <si>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</si>
  <si>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</si>
  <si>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</si>
  <si>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</si>
  <si>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</si>
  <si>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</si>
  <si>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</si>
  <si>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</si>
  <si>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</si>
  <si>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</si>
  <si>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</si>
  <si>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</si>
  <si>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</si>
  <si>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</si>
  <si>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</si>
  <si>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</si>
  <si>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</si>
  <si>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</si>
  <si>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</si>
  <si>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</si>
  <si>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</si>
  <si>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</si>
  <si>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</si>
  <si>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</si>
  <si>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</si>
  <si>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</si>
  <si>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</si>
  <si>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</si>
  <si>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</si>
  <si>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</si>
  <si>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</si>
  <si>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</si>
  <si>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</si>
  <si>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</si>
  <si>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</si>
  <si>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</si>
  <si>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</si>
  <si>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</si>
  <si>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</si>
  <si>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</si>
  <si>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</si>
  <si>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</si>
  <si>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</si>
  <si>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</si>
  <si>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</si>
  <si>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</si>
  <si>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</si>
  <si>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</si>
  <si>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</si>
  <si>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</si>
  <si>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</si>
  <si>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</si>
  <si>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</si>
  <si>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</si>
  <si>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</si>
  <si>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</si>
  <si>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</si>
  <si>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</si>
  <si>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</si>
  <si>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</si>
  <si>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</si>
  <si>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</si>
  <si>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</si>
  <si>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</si>
  <si>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</si>
  <si>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</si>
  <si>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</si>
  <si>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</si>
  <si>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</si>
  <si>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</si>
  <si>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</si>
  <si>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</si>
  <si>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</si>
  <si>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</si>
  <si>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</si>
  <si>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</si>
  <si>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</si>
  <si>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</si>
  <si>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</si>
  <si>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</si>
  <si>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</si>
  <si>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</si>
  <si>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</si>
  <si>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</si>
  <si>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</si>
  <si>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</si>
  <si>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</si>
  <si>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</si>
  <si>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</si>
  <si>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</si>
  <si>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</si>
  <si>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</si>
  <si>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</si>
  <si>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</si>
  <si>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</si>
  <si>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</si>
  <si>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</si>
  <si>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</si>
  <si>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</si>
  <si>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</si>
  <si>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</si>
  <si>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</si>
  <si>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</si>
  <si>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</si>
  <si>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</si>
  <si>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</si>
  <si>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</si>
  <si>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</si>
  <si>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</si>
  <si>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</si>
  <si>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</si>
  <si>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</si>
  <si>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</si>
  <si>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</si>
  <si>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</si>
  <si>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</si>
  <si>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</si>
  <si>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</si>
  <si>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</si>
  <si>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</si>
  <si>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</si>
  <si>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</si>
  <si>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</si>
  <si>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</si>
  <si>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</si>
  <si>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</si>
  <si>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</si>
  <si>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</si>
  <si>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</si>
  <si>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</si>
  <si>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</si>
  <si>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</si>
  <si>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</si>
  <si>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</si>
  <si>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</si>
  <si>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</si>
  <si>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</si>
  <si>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</si>
  <si>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</si>
  <si>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</si>
  <si>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</si>
  <si>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</si>
  <si>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</si>
  <si>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</si>
  <si>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</si>
  <si>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</si>
  <si>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</si>
  <si>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</si>
  <si>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</si>
  <si>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</si>
  <si>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</si>
  <si>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</si>
  <si>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</si>
  <si>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</si>
  <si>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</si>
  <si>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</si>
  <si>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</si>
  <si>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</si>
  <si>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</si>
  <si>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</si>
  <si>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</si>
  <si>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</si>
  <si>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</si>
  <si>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</si>
  <si>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</si>
  <si>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</si>
  <si>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</si>
  <si>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</si>
  <si>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</si>
  <si>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</si>
  <si>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</si>
  <si>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</si>
  <si>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</si>
  <si>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</si>
  <si>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</si>
  <si>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</si>
  <si>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</si>
  <si>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</si>
  <si>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</si>
  <si>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</si>
  <si>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</si>
  <si>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</si>
  <si>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</si>
  <si>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</si>
  <si>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</si>
  <si>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</si>
  <si>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</si>
  <si>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</si>
  <si>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</si>
  <si>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</si>
  <si>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</si>
  <si>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</si>
  <si>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</si>
  <si>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</si>
  <si>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</si>
  <si>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</si>
  <si>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</si>
  <si>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</si>
  <si>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</si>
  <si>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</si>
  <si>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</si>
  <si>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</si>
  <si>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</si>
  <si>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</si>
  <si>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</si>
  <si>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</si>
  <si>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</si>
  <si>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</si>
  <si>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</si>
  <si>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</si>
  <si>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</si>
  <si>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</si>
  <si>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</si>
  <si>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</si>
  <si>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</si>
  <si>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</si>
  <si>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</si>
  <si>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</si>
  <si>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</si>
  <si>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</si>
  <si>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</si>
  <si>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</si>
  <si>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</si>
  <si>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</si>
  <si>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</si>
  <si>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</si>
  <si>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</si>
  <si>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</si>
  <si>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</si>
  <si>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</si>
  <si>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</si>
  <si>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</si>
  <si>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</si>
  <si>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</si>
  <si>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</si>
  <si>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</si>
  <si>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</si>
  <si>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</si>
  <si>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</si>
  <si>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</si>
  <si>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</si>
  <si>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</si>
  <si>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</si>
  <si>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</si>
  <si>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</si>
  <si>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</si>
  <si>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</si>
  <si>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</si>
  <si>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</si>
  <si>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</si>
  <si>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</si>
  <si>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</si>
  <si>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</si>
  <si>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</si>
  <si>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</si>
  <si>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</si>
  <si>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</si>
  <si>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</si>
  <si>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</si>
  <si>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</si>
  <si>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</si>
  <si>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</si>
  <si>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</si>
  <si>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</si>
  <si>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</si>
  <si>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</si>
  <si>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</si>
  <si>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</si>
  <si>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</si>
  <si>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</si>
  <si>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</si>
  <si>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</si>
  <si>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</si>
  <si>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</si>
  <si>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</si>
  <si>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</si>
  <si>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</si>
  <si>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</si>
  <si>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</si>
  <si>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</si>
  <si>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</si>
  <si>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</si>
  <si>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</si>
  <si>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</si>
  <si>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</si>
  <si>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</si>
  <si>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</si>
  <si>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</si>
  <si>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</si>
  <si>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</si>
  <si>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</si>
  <si>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</si>
  <si>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</si>
  <si>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</si>
  <si>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</si>
  <si>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</si>
  <si>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</si>
  <si>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</si>
  <si>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</si>
  <si>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</si>
  <si>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</si>
  <si>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</si>
  <si>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</si>
  <si>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</si>
  <si>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</si>
  <si>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</si>
  <si>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</si>
  <si>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</si>
  <si>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</si>
  <si>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</si>
  <si>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</si>
  <si>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</si>
  <si>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</si>
  <si>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</si>
  <si>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</si>
  <si>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</si>
  <si>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</si>
  <si>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</si>
  <si>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</si>
  <si>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</si>
  <si>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</si>
  <si>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</si>
  <si>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</si>
  <si>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</si>
  <si>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</si>
  <si>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</si>
  <si>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</si>
  <si>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</si>
  <si>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</si>
  <si>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</si>
  <si>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</si>
  <si>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</si>
  <si>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</si>
  <si>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</si>
  <si>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</si>
  <si>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</si>
  <si>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</si>
  <si>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</si>
  <si>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</si>
  <si>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</si>
  <si>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</si>
  <si>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</si>
  <si>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</si>
  <si>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</si>
  <si>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</si>
  <si>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</si>
  <si>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</si>
  <si>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</si>
  <si>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</si>
  <si>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</si>
  <si>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</si>
  <si>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</si>
  <si>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</si>
  <si>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</si>
  <si>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</si>
  <si>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</si>
  <si>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</si>
  <si>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</si>
  <si>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</si>
  <si>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</si>
  <si>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</si>
  <si>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</si>
  <si>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</si>
  <si>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</si>
  <si>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</si>
  <si>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</si>
  <si>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</si>
  <si>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</si>
  <si>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</si>
  <si>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</si>
  <si>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</si>
  <si>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</si>
  <si>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</si>
  <si>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</si>
  <si>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</si>
  <si>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</si>
  <si>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</si>
  <si>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</si>
  <si>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</si>
  <si>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</si>
  <si>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</si>
  <si>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</si>
  <si>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</si>
  <si>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</si>
  <si>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</si>
  <si>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</si>
  <si>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</si>
  <si>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</si>
  <si>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</si>
  <si>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</si>
  <si>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</si>
  <si>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</si>
  <si>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</si>
  <si>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</si>
  <si>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</si>
  <si>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</si>
  <si>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</si>
  <si>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</si>
  <si>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</si>
  <si>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</si>
  <si>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</si>
  <si>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</si>
  <si>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</si>
  <si>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</si>
  <si>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</si>
  <si>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</si>
  <si>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</si>
  <si>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</si>
  <si>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</si>
  <si>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</si>
  <si>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</si>
  <si>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</si>
  <si>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</si>
  <si>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</si>
  <si>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</si>
  <si>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</si>
  <si>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</si>
  <si>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</si>
  <si>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</si>
  <si>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</si>
  <si>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</si>
  <si>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</si>
  <si>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</si>
  <si>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</si>
  <si>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</si>
  <si>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</si>
  <si>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</si>
  <si>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</si>
  <si>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</si>
  <si>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</si>
  <si>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</si>
  <si>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</si>
  <si>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</si>
  <si>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</si>
  <si>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</si>
  <si>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</si>
  <si>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</si>
  <si>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</si>
  <si>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</si>
  <si>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</si>
  <si>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</si>
  <si>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</si>
  <si>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</si>
  <si>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</si>
  <si>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</si>
  <si>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</si>
  <si>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</si>
  <si>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</si>
  <si>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</si>
  <si>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</si>
  <si>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</si>
  <si>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</si>
  <si>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</si>
  <si>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</si>
  <si>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</si>
  <si>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</si>
  <si>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</si>
  <si>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</si>
  <si>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</si>
  <si>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</si>
  <si>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</si>
  <si>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</si>
  <si>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</si>
  <si>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</si>
  <si>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</si>
  <si>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</si>
  <si>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</si>
  <si>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</si>
  <si>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</si>
  <si>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</si>
  <si>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</si>
  <si>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</si>
  <si>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</si>
  <si>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</si>
  <si>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</si>
  <si>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</si>
  <si>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</si>
  <si>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</si>
  <si>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</si>
  <si>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</si>
  <si>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</si>
  <si>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</si>
  <si>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</si>
  <si>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</si>
  <si>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</si>
  <si>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</si>
  <si>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</si>
  <si>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</si>
  <si>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</si>
  <si>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</si>
  <si>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</si>
  <si>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</si>
  <si>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</si>
  <si>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</si>
  <si>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</si>
  <si>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</si>
  <si>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</si>
  <si>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</si>
  <si>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</si>
  <si>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</si>
  <si>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</si>
  <si>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</si>
  <si>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</si>
  <si>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</si>
  <si>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</si>
  <si>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</si>
  <si>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</si>
  <si>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</si>
  <si>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</si>
  <si>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</si>
  <si>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</si>
  <si>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</si>
  <si>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</si>
  <si>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</si>
  <si>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</si>
  <si>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</si>
  <si>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</si>
  <si>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</si>
  <si>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</si>
  <si>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</si>
  <si>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</si>
  <si>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</si>
  <si>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</si>
  <si>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</si>
  <si>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</si>
  <si>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</si>
  <si>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</si>
  <si>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</si>
  <si>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</si>
  <si>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</si>
  <si>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</si>
  <si>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</si>
  <si>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</si>
  <si>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</si>
  <si>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</si>
  <si>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</si>
  <si>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</si>
  <si>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</si>
  <si>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</si>
  <si>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</si>
  <si>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</si>
  <si>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</si>
  <si>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</si>
  <si>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</si>
  <si>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</si>
  <si>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</si>
  <si>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</si>
  <si>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</si>
  <si>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</si>
  <si>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</si>
  <si>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</si>
  <si>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</si>
  <si>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</si>
  <si>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</si>
  <si>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</si>
  <si>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</si>
  <si>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</si>
  <si>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</si>
  <si>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</si>
  <si>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</si>
  <si>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</si>
  <si>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</si>
  <si>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</si>
  <si>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</si>
  <si>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</si>
  <si>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</si>
  <si>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</si>
  <si>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</si>
  <si>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</si>
  <si>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</si>
  <si>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</si>
  <si>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</si>
  <si>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</si>
  <si>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</si>
  <si>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</si>
  <si>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</si>
  <si>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</si>
  <si>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</si>
  <si>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</si>
  <si>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</si>
  <si>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</si>
  <si>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</si>
  <si>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</si>
  <si>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</si>
  <si>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</si>
  <si>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</si>
  <si>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</si>
  <si>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</si>
  <si>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</si>
  <si>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</si>
  <si>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</si>
  <si>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</si>
  <si>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</si>
  <si>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</si>
  <si>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</si>
  <si>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</si>
  <si>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</si>
  <si>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</si>
  <si>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</si>
  <si>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</si>
  <si>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</si>
  <si>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</si>
  <si>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</si>
  <si>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</si>
  <si>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</si>
  <si>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</si>
  <si>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</si>
  <si>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</si>
  <si>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</si>
  <si>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</si>
  <si>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</si>
  <si>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</si>
  <si>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</si>
  <si>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</si>
  <si>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</si>
  <si>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</si>
  <si>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</si>
  <si>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</si>
  <si>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</si>
  <si>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</si>
  <si>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</si>
  <si>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</si>
  <si>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</si>
  <si>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</si>
  <si>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</si>
  <si>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</si>
  <si>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</si>
  <si>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</si>
  <si>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</si>
  <si>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</si>
  <si>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</si>
  <si>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</si>
  <si>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</si>
  <si>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</si>
  <si>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</si>
  <si>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</si>
  <si>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</si>
  <si>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</si>
  <si>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</si>
  <si>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</si>
  <si>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</si>
  <si>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</si>
  <si>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</si>
  <si>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</si>
  <si>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</si>
  <si>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</si>
  <si>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</si>
  <si>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</si>
  <si>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</si>
  <si>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</si>
  <si>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</si>
  <si>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</si>
  <si>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</si>
  <si>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</si>
  <si>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</si>
  <si>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</si>
  <si>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</si>
  <si>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</si>
  <si>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</si>
  <si>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</si>
  <si>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</si>
  <si>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</si>
  <si>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</si>
  <si>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</si>
  <si>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</si>
  <si>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</si>
  <si>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</si>
  <si>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</si>
  <si>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</si>
  <si>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</si>
  <si>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</si>
  <si>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</si>
  <si>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</si>
  <si>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</si>
  <si>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</si>
  <si>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</si>
  <si>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</si>
  <si>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</si>
  <si>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</si>
  <si>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</si>
  <si>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</si>
  <si>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</si>
  <si>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</si>
  <si>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</si>
  <si>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</si>
  <si>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</si>
  <si>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</si>
  <si>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</si>
  <si>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</si>
  <si>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</si>
  <si>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</si>
  <si>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</si>
  <si>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</si>
  <si>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</si>
  <si>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</si>
  <si>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</si>
  <si>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</si>
  <si>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</si>
  <si>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</si>
  <si>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</si>
  <si>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</si>
  <si>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</si>
  <si>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</si>
  <si>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</si>
  <si>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</si>
  <si>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</si>
  <si>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</si>
  <si>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</si>
  <si>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</si>
  <si>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</si>
  <si>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</si>
  <si>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</si>
  <si>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</si>
  <si>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</si>
  <si>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</si>
  <si>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</si>
  <si>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</si>
  <si>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</si>
  <si>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</si>
  <si>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</si>
  <si>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</si>
  <si>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</si>
  <si>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</si>
  <si>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</si>
  <si>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</si>
  <si>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</si>
  <si>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</si>
  <si>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</si>
  <si>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</si>
  <si>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</si>
  <si>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</si>
  <si>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</si>
  <si>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</si>
  <si>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</si>
  <si>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</si>
  <si>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</si>
  <si>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</si>
  <si>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</si>
  <si>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</si>
  <si>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</si>
  <si>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</si>
  <si>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</si>
  <si>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</si>
  <si>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</si>
  <si>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</si>
  <si>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</si>
  <si>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</si>
  <si>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</si>
  <si>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</si>
  <si>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</si>
  <si>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</si>
  <si>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</si>
  <si>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</si>
  <si>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</si>
  <si>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</si>
  <si>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</si>
  <si>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</si>
  <si>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</si>
  <si>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</si>
  <si>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</si>
  <si>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</si>
  <si>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</si>
  <si>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</si>
  <si>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</si>
  <si>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</si>
  <si>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</si>
  <si>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</si>
  <si>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</si>
  <si>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</si>
  <si>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</si>
  <si>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</si>
  <si>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</si>
  <si>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</si>
  <si>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</si>
  <si>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</si>
  <si>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</si>
  <si>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</si>
  <si>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</si>
  <si>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</si>
  <si>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</si>
  <si>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</si>
  <si>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</si>
  <si>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</si>
  <si>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</si>
  <si>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</si>
  <si>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</si>
  <si>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</si>
  <si>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</si>
  <si>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</si>
  <si>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</si>
  <si>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</si>
  <si>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</si>
  <si>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</si>
  <si>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</si>
  <si>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</si>
  <si>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</si>
  <si>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</si>
  <si>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</si>
  <si>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</si>
  <si>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</si>
  <si>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</si>
  <si>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</si>
  <si>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</si>
  <si>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</si>
  <si>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</si>
  <si>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</si>
  <si>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</si>
  <si>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</si>
  <si>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</si>
  <si>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</si>
  <si>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</si>
  <si>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</si>
  <si>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</si>
  <si>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</si>
  <si>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</si>
  <si>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</si>
  <si>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</si>
  <si>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</si>
  <si>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</si>
  <si>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</si>
  <si>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</si>
  <si>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</si>
  <si>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</si>
  <si>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</si>
  <si>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</si>
  <si>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</si>
  <si>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</si>
  <si>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</si>
  <si>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</si>
  <si>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</si>
  <si>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</si>
  <si>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</si>
  <si>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</si>
  <si>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</si>
  <si>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</si>
  <si>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</si>
  <si>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</si>
  <si>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</si>
  <si>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</si>
  <si>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</si>
  <si>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</si>
  <si>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</si>
  <si>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</si>
  <si>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</si>
  <si>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</si>
  <si>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</si>
  <si>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</si>
  <si>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</si>
  <si>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</si>
  <si>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</si>
  <si>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</si>
  <si>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</si>
  <si>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</si>
  <si>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</si>
  <si>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</si>
  <si>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</si>
  <si>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</si>
  <si>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</si>
  <si>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</si>
  <si>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</si>
  <si>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</si>
  <si>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</si>
  <si>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</si>
  <si>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</si>
  <si>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</si>
  <si>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</si>
  <si>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</si>
  <si>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</si>
  <si>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</si>
  <si>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</si>
  <si>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</si>
  <si>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</si>
  <si>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</si>
  <si>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</si>
  <si>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</si>
  <si>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</si>
  <si>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</si>
  <si>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</si>
  <si>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</si>
  <si>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</si>
  <si>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</si>
  <si>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</si>
  <si>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</si>
  <si>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</si>
  <si>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</si>
  <si>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</si>
  <si>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</si>
  <si>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</si>
  <si>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</si>
  <si>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</si>
  <si>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</si>
  <si>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</si>
  <si>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</si>
  <si>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</si>
  <si>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</si>
  <si>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</si>
  <si>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</si>
  <si>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</si>
  <si>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</si>
  <si>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</si>
  <si>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</si>
  <si>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</si>
  <si>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</si>
  <si>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</si>
  <si>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</si>
  <si>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</si>
  <si>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</si>
  <si>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</si>
  <si>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</si>
  <si>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</si>
  <si>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</si>
  <si>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</si>
  <si>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</si>
  <si>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</si>
  <si>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</si>
  <si>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</si>
  <si>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</si>
  <si>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</si>
  <si>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</si>
  <si>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</si>
  <si>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</si>
  <si>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</si>
  <si>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</si>
  <si>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</si>
  <si>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</si>
  <si>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</si>
  <si>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</si>
  <si>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</si>
  <si>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</si>
  <si>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</si>
  <si>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</si>
  <si>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</si>
  <si>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</si>
  <si>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</si>
  <si>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</si>
  <si>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</si>
  <si>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</si>
  <si>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</si>
  <si>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</si>
  <si>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</si>
  <si>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</si>
  <si>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</si>
  <si>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</si>
  <si>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</si>
  <si>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</si>
  <si>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</si>
  <si>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</si>
  <si>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</si>
  <si>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</si>
  <si>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</si>
  <si>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</si>
  <si>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</si>
  <si>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</si>
  <si>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</si>
  <si>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</si>
  <si>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</si>
  <si>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</si>
  <si>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</si>
  <si>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</si>
  <si>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</si>
  <si>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</si>
  <si>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</si>
  <si>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</si>
  <si>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</si>
  <si>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</si>
  <si>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</si>
  <si>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</si>
  <si>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</si>
  <si>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</si>
  <si>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</si>
  <si>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</si>
  <si>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</si>
  <si>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</si>
  <si>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</si>
  <si>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</si>
  <si>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</si>
  <si>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</si>
  <si>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</si>
  <si>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</si>
  <si>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</si>
  <si>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</si>
  <si>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</si>
  <si>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</si>
  <si>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</si>
  <si>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</si>
  <si>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</si>
  <si>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</si>
  <si>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</si>
  <si>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</si>
  <si>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</si>
  <si>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</si>
  <si>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</si>
  <si>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</si>
  <si>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</si>
  <si>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</si>
  <si>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</si>
  <si>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</si>
  <si>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</si>
  <si>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</si>
  <si>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</si>
  <si>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</si>
  <si>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</si>
  <si>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</si>
  <si>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</si>
  <si>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</si>
  <si>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</si>
  <si>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</si>
  <si>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</si>
  <si>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</si>
  <si>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</si>
  <si>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</si>
  <si>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</si>
  <si>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</si>
  <si>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</si>
  <si>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</si>
  <si>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</si>
  <si>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</si>
  <si>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</si>
  <si>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</si>
  <si>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</si>
  <si>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</si>
  <si>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</si>
  <si>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</si>
  <si>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</si>
  <si>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</si>
  <si>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</si>
  <si>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</si>
  <si>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</si>
  <si>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</si>
  <si>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</si>
  <si>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</si>
  <si>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</si>
  <si>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</si>
  <si>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</si>
  <si>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</si>
  <si>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</si>
  <si>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</si>
  <si>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</si>
  <si>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</si>
  <si>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</si>
  <si>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</si>
  <si>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</si>
  <si>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</si>
  <si>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</si>
  <si>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</si>
  <si>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</si>
  <si>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</si>
  <si>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</si>
  <si>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</si>
  <si>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</si>
  <si>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</si>
  <si>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</si>
  <si>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</si>
  <si>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</si>
  <si>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</si>
  <si>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</si>
  <si>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</si>
  <si>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</si>
  <si>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</si>
  <si>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</si>
  <si>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</si>
  <si>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</si>
  <si>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</si>
  <si>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</si>
  <si>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</si>
  <si>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</si>
  <si>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</si>
  <si>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</si>
  <si>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</si>
  <si>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</si>
  <si>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</si>
  <si>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</si>
  <si>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</si>
  <si>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</si>
  <si>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</si>
  <si>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</si>
  <si>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</si>
  <si>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</si>
  <si>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</si>
  <si>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</si>
  <si>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</si>
  <si>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</si>
  <si>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</si>
  <si>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</si>
  <si>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</si>
  <si>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</si>
  <si>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</si>
  <si>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</si>
  <si>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</si>
  <si>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</si>
  <si>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</si>
  <si>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</si>
  <si>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</si>
  <si>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</si>
  <si>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</si>
  <si>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</si>
  <si>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</si>
  <si>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</si>
  <si>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</si>
  <si>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</si>
  <si>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</si>
  <si>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</si>
  <si>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</si>
  <si>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</si>
  <si>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</si>
  <si>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</si>
  <si>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</si>
  <si>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</si>
  <si>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</si>
  <si>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</si>
  <si>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</si>
  <si>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</si>
  <si>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</si>
  <si>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</si>
  <si>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</si>
  <si>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</si>
  <si>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</si>
  <si>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</si>
  <si>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</si>
  <si>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</si>
  <si>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</si>
  <si>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</si>
  <si>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</si>
  <si>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</si>
  <si>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</si>
  <si>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</si>
  <si>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</si>
  <si>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</si>
  <si>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</si>
  <si>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</si>
  <si>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</si>
  <si>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</si>
  <si>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</si>
  <si>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</si>
  <si>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</si>
  <si>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</si>
  <si>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</si>
  <si>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</si>
  <si>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</si>
  <si>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</si>
  <si>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</si>
  <si>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</si>
  <si>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</si>
  <si>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</si>
  <si>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</si>
  <si>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</si>
  <si>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</si>
  <si>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</si>
  <si>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</si>
  <si>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</si>
  <si>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</si>
  <si>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</si>
  <si>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</si>
  <si>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</si>
  <si>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</si>
  <si>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</si>
  <si>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</si>
  <si>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</si>
  <si>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</si>
  <si>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</si>
  <si>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</si>
  <si>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</si>
  <si>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</si>
  <si>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</si>
  <si>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</si>
  <si>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</si>
  <si>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</si>
  <si>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</si>
  <si>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</si>
  <si>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</si>
  <si>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</si>
  <si>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</si>
  <si>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</si>
  <si>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</si>
  <si>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</si>
  <si>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</si>
  <si>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</si>
  <si>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</si>
  <si>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</si>
  <si>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</si>
  <si>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</si>
  <si>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</si>
  <si>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</si>
  <si>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</si>
  <si>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</si>
  <si>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</si>
  <si>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</si>
  <si>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</si>
  <si>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</si>
  <si>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</si>
  <si>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</si>
  <si>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</si>
  <si>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</si>
  <si>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</si>
  <si>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</si>
  <si>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</si>
  <si>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</si>
  <si>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</si>
  <si>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</si>
  <si>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</si>
  <si>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</si>
  <si>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</si>
  <si>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</si>
  <si>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</si>
  <si>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</si>
  <si>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</si>
  <si>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</si>
  <si>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</si>
  <si>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</si>
  <si>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</si>
  <si>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</si>
  <si>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</si>
  <si>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</si>
  <si>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</si>
  <si>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</si>
  <si>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</si>
  <si>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</si>
  <si>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</si>
  <si>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</si>
  <si>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</si>
  <si>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</si>
  <si>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</si>
  <si>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</si>
  <si>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</si>
  <si>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</si>
  <si>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</si>
  <si>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</si>
  <si>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</si>
  <si>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</si>
  <si>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</si>
  <si>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</si>
  <si>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</si>
  <si>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</si>
  <si>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</si>
  <si>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</si>
  <si>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</si>
  <si>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</si>
  <si>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</si>
  <si>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</si>
  <si>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</si>
  <si>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</si>
  <si>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</si>
  <si>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</si>
  <si>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</si>
  <si>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</si>
  <si>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</si>
  <si>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</si>
  <si>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</si>
  <si>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</si>
  <si>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</si>
  <si>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</si>
  <si>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</si>
  <si>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</si>
  <si>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</si>
  <si>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</si>
  <si>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</si>
  <si>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</si>
  <si>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</si>
  <si>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</si>
  <si>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</si>
  <si>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</si>
  <si>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</si>
  <si>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</si>
  <si>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</si>
  <si>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</si>
  <si>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</si>
  <si>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</si>
  <si>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</si>
  <si>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</si>
  <si>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</si>
  <si>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</si>
  <si>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</si>
  <si>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</si>
  <si>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</si>
  <si>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</si>
  <si>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</si>
  <si>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</si>
  <si>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</si>
  <si>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</si>
  <si>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</si>
  <si>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</si>
  <si>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</si>
  <si>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</si>
  <si>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</si>
  <si>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</si>
  <si>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</si>
  <si>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</si>
  <si>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</si>
  <si>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</si>
  <si>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</si>
  <si>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</si>
  <si>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</si>
  <si>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</si>
  <si>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</si>
  <si>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</si>
  <si>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</si>
  <si>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</si>
  <si>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</si>
  <si>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</si>
  <si>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</si>
  <si>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</si>
  <si>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</si>
  <si>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</si>
  <si>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</si>
  <si>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</si>
  <si>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</si>
  <si>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</si>
  <si>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</si>
  <si>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</si>
  <si>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</si>
  <si>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</si>
  <si>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</si>
  <si>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</si>
  <si>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</si>
  <si>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</si>
  <si>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</si>
  <si>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</si>
  <si>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</si>
  <si>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</si>
  <si>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</si>
  <si>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</si>
  <si>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</si>
  <si>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</si>
  <si>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</si>
  <si>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</si>
  <si>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</si>
  <si>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</si>
  <si>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</si>
  <si>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</si>
  <si>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</si>
  <si>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</si>
  <si>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</si>
  <si>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</si>
  <si>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</si>
  <si>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</si>
  <si>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</si>
  <si>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</si>
  <si>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</si>
  <si>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</si>
  <si>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</si>
  <si>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</si>
  <si>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</si>
  <si>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</si>
  <si>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</si>
  <si>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</si>
  <si>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</si>
  <si>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</si>
  <si>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</si>
  <si>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</si>
  <si>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</si>
  <si>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</si>
  <si>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</si>
  <si>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</si>
  <si>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</si>
  <si>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</si>
  <si>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</si>
  <si>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</si>
  <si>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</si>
  <si>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</si>
  <si>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</si>
  <si>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</si>
  <si>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</si>
  <si>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</si>
  <si>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</si>
  <si>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</si>
  <si>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</si>
  <si>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</si>
  <si>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</si>
  <si>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</si>
  <si>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</si>
  <si>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</si>
  <si>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</si>
  <si>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</si>
  <si>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</si>
  <si>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</si>
  <si>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</si>
  <si>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</si>
  <si>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</si>
  <si>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</si>
  <si>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</si>
  <si>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</si>
  <si>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</si>
  <si>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</si>
  <si>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</si>
  <si>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</si>
  <si>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</si>
  <si>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</si>
  <si>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</si>
  <si>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</si>
  <si>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</si>
  <si>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</si>
  <si>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</si>
  <si>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</si>
  <si>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</si>
  <si>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</si>
  <si>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</si>
  <si>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</si>
  <si>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</si>
  <si>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</si>
  <si>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</si>
  <si>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</si>
  <si>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</si>
  <si>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</si>
  <si>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</si>
  <si>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</si>
  <si>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</si>
  <si>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</si>
  <si>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</si>
  <si>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</si>
  <si>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</si>
  <si>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</si>
  <si>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</si>
  <si>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</si>
  <si>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</si>
  <si>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</si>
  <si>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</si>
  <si>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</si>
  <si>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</si>
  <si>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</si>
  <si>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</si>
  <si>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</si>
  <si>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</si>
  <si>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</si>
  <si>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</si>
  <si>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</si>
  <si>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</si>
  <si>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</si>
  <si>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</si>
  <si>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</si>
  <si>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</si>
  <si>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</si>
  <si>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</si>
  <si>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</si>
  <si>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</si>
  <si>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</si>
  <si>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</si>
  <si>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</si>
  <si>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</si>
  <si>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</si>
  <si>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</si>
  <si>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</si>
  <si>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</si>
  <si>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</si>
  <si>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</si>
  <si>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</si>
  <si>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</si>
  <si>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</si>
  <si>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</si>
  <si>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</si>
  <si>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</si>
  <si>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</si>
  <si>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</si>
  <si>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</si>
  <si>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</si>
  <si>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</si>
  <si>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</si>
  <si>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</si>
  <si>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</si>
  <si>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</si>
  <si>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</si>
  <si>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</si>
  <si>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</si>
  <si>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</si>
  <si>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</si>
  <si>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</si>
  <si>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</si>
  <si>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</si>
  <si>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</si>
  <si>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</si>
  <si>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</si>
  <si>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</si>
  <si>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</si>
  <si>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</si>
  <si>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</si>
  <si>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</si>
  <si>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</si>
  <si>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</si>
  <si>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</si>
  <si>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</si>
  <si>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</si>
  <si>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</si>
  <si>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</si>
  <si>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</si>
  <si>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</si>
  <si>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</si>
  <si>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</si>
  <si>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</si>
  <si>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</si>
  <si>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</si>
  <si>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</si>
  <si>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</si>
  <si>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</si>
  <si>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</si>
  <si>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</si>
  <si>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</si>
  <si>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</si>
  <si>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</si>
  <si>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</si>
  <si>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</si>
  <si>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</si>
  <si>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</si>
  <si>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</si>
  <si>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</si>
  <si>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</si>
  <si>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</si>
  <si>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</si>
  <si>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</si>
  <si>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</si>
  <si>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</si>
  <si>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</si>
  <si>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</si>
  <si>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</si>
  <si>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</si>
  <si>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</si>
  <si>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</si>
  <si>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</si>
  <si>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</si>
  <si>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</si>
  <si>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</si>
  <si>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</si>
  <si>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</si>
  <si>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</si>
  <si>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</si>
  <si>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</si>
  <si>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</si>
  <si>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</si>
  <si>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</si>
  <si>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</si>
  <si>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</si>
  <si>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</si>
  <si>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</si>
  <si>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</si>
  <si>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</si>
  <si>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</si>
  <si>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</si>
  <si>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</si>
  <si>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</si>
  <si>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</si>
  <si>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</si>
  <si>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</si>
  <si>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</si>
  <si>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</si>
  <si>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</si>
  <si>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</si>
  <si>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</si>
  <si>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</si>
  <si>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</si>
  <si>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</si>
  <si>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</si>
  <si>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</si>
  <si>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</si>
  <si>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</si>
  <si>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</si>
  <si>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</si>
  <si>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</si>
  <si>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</si>
  <si>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</si>
  <si>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</si>
  <si>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</si>
  <si>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</si>
  <si>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</si>
  <si>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</si>
  <si>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</si>
  <si>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</si>
  <si>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</si>
  <si>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</si>
  <si>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</si>
  <si>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</si>
  <si>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</si>
  <si>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</si>
  <si>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</si>
  <si>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</si>
  <si>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</si>
  <si>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</si>
  <si>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</si>
  <si>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</si>
  <si>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</si>
  <si>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</si>
  <si>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</si>
  <si>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</si>
  <si>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</si>
  <si>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</si>
  <si>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</si>
  <si>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</si>
  <si>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</si>
  <si>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</si>
  <si>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</si>
  <si>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</si>
  <si>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</si>
  <si>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</si>
  <si>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</si>
  <si>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</si>
  <si>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</si>
  <si>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</si>
  <si>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</si>
  <si>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</si>
  <si>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</si>
  <si>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</si>
  <si>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</si>
  <si>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</si>
  <si>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</si>
  <si>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</si>
  <si>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</si>
  <si>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</si>
  <si>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</si>
  <si>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</si>
  <si>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</si>
  <si>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</si>
  <si>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</si>
  <si>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</si>
  <si>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</si>
  <si>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</si>
  <si>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</si>
  <si>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</si>
  <si>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</si>
  <si>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</si>
  <si>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</si>
  <si>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</si>
  <si>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</si>
  <si>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</si>
  <si>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</si>
  <si>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</si>
  <si>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</si>
  <si>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</si>
  <si>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</si>
  <si>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</si>
  <si>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</si>
  <si>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</si>
  <si>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</si>
  <si>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</si>
  <si>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</si>
  <si>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</si>
  <si>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</si>
  <si>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</si>
  <si>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</si>
  <si>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</si>
  <si>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</si>
  <si>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</si>
  <si>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</si>
  <si>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</si>
  <si>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</si>
  <si>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</si>
  <si>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</si>
  <si>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</si>
  <si>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</si>
  <si>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</si>
  <si>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</si>
  <si>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</si>
  <si>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</si>
  <si>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</si>
  <si>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</si>
  <si>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</si>
  <si>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</si>
  <si>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</si>
  <si>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</si>
  <si>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</si>
  <si>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</si>
  <si>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</si>
  <si>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</si>
  <si>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</si>
  <si>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</si>
  <si>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</si>
  <si>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</si>
  <si>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</si>
  <si>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</si>
  <si>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</si>
  <si>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</si>
  <si>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</si>
  <si>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</si>
  <si>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</si>
  <si>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</si>
  <si>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</si>
  <si>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</si>
  <si>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</si>
  <si>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</si>
  <si>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</si>
  <si>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</si>
  <si>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</si>
  <si>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</si>
  <si>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</si>
  <si>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</si>
  <si>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</si>
  <si>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</si>
  <si>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</si>
  <si>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</si>
  <si>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</si>
  <si>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</si>
  <si>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</si>
  <si>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</si>
  <si>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</si>
  <si>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</si>
  <si>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</si>
  <si>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</si>
  <si>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</si>
  <si>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</si>
  <si>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</si>
  <si>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</si>
  <si>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</si>
  <si>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</si>
  <si>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</si>
  <si>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</si>
  <si>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</si>
  <si>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</si>
  <si>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</si>
  <si>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</si>
  <si>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</si>
  <si>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</si>
  <si>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</si>
  <si>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</si>
  <si>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</si>
  <si>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</si>
  <si>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</si>
  <si>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</si>
  <si>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</si>
  <si>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</si>
  <si>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</si>
  <si>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</si>
  <si>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</si>
  <si>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</si>
  <si>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</si>
  <si>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</si>
  <si>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</si>
  <si>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</si>
  <si>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</si>
  <si>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</si>
  <si>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</si>
  <si>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</si>
  <si>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</si>
  <si>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</si>
  <si>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</si>
  <si>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</si>
  <si>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</si>
  <si>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</si>
  <si>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</si>
  <si>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</si>
  <si>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</si>
  <si>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</si>
  <si>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</si>
  <si>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</si>
  <si>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</si>
  <si>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</si>
  <si>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</si>
  <si>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</si>
  <si>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</si>
  <si>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</si>
  <si>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</si>
  <si>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</si>
  <si>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</si>
  <si>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</si>
  <si>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</si>
  <si>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</si>
  <si>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</si>
  <si>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</si>
  <si>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</si>
  <si>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</si>
  <si>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</si>
  <si>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</si>
  <si>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</si>
  <si>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</si>
  <si>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</si>
  <si>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</si>
  <si>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</si>
  <si>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</si>
  <si>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</si>
  <si>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</si>
  <si>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</si>
  <si>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</si>
  <si>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</si>
  <si>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</si>
  <si>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</si>
  <si>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</si>
  <si>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</si>
  <si>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</si>
  <si>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</si>
  <si>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</si>
  <si>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</si>
  <si>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</si>
  <si>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</si>
  <si>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</si>
  <si>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</si>
  <si>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</si>
  <si>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</si>
  <si>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</si>
  <si>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</si>
  <si>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</si>
  <si>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</si>
  <si>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</si>
  <si>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</si>
  <si>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</si>
  <si>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</si>
  <si>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</si>
  <si>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</si>
  <si>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</si>
  <si>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</si>
  <si>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</si>
  <si>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</si>
  <si>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</si>
  <si>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</si>
  <si>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</si>
  <si>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</si>
  <si>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</si>
  <si>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</si>
  <si>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</si>
  <si>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</si>
  <si>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</si>
  <si>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</si>
  <si>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</si>
  <si>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</si>
  <si>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</si>
  <si>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</si>
  <si>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</si>
  <si>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</si>
  <si>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</si>
  <si>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</si>
  <si>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</si>
  <si>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</si>
  <si>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</si>
  <si>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</si>
  <si>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</si>
  <si>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</si>
  <si>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</si>
  <si>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</si>
  <si>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</si>
  <si>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</si>
  <si>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</si>
  <si>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</si>
  <si>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</si>
  <si>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</si>
  <si>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</si>
  <si>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</si>
  <si>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</si>
  <si>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</si>
  <si>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</si>
  <si>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</si>
  <si>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</si>
  <si>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</si>
  <si>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</si>
  <si>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</si>
  <si>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</si>
  <si>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</si>
  <si>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</si>
  <si>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</si>
  <si>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</si>
  <si>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</si>
  <si>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</si>
  <si>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</si>
  <si>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</si>
  <si>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</si>
  <si>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</si>
  <si>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</si>
  <si>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</si>
  <si>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</si>
  <si>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</si>
  <si>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</si>
  <si>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</si>
  <si>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</si>
  <si>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</si>
  <si>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</si>
  <si>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</si>
  <si>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</si>
  <si>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</si>
  <si>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</si>
  <si>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</si>
  <si>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</si>
  <si>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</si>
  <si>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</si>
  <si>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</si>
  <si>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</si>
  <si>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</si>
  <si>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</si>
  <si>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</si>
  <si>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</si>
  <si>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</si>
  <si>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</si>
  <si>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</si>
  <si>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</si>
  <si>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</si>
  <si>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</si>
  <si>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</si>
  <si>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</si>
  <si>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</si>
  <si>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</si>
  <si>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</si>
  <si>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</si>
  <si>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</si>
  <si>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</si>
  <si>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</si>
  <si>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</si>
  <si>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</si>
  <si>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</si>
  <si>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</si>
  <si>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</si>
  <si>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</si>
  <si>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</si>
  <si>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</si>
  <si>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</si>
  <si>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</si>
  <si>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</si>
  <si>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</si>
  <si>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</si>
  <si>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</si>
  <si>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</si>
  <si>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</si>
  <si>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</si>
  <si>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</si>
  <si>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</si>
  <si>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</si>
  <si>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</si>
  <si>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</si>
  <si>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</si>
  <si>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</si>
  <si>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</si>
  <si>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</si>
  <si>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</si>
  <si>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</si>
  <si>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</si>
  <si>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</si>
  <si>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</si>
  <si>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</si>
  <si>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</si>
  <si>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</si>
  <si>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</si>
  <si>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</si>
  <si>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</si>
  <si>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</si>
  <si>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</si>
  <si>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</si>
  <si>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</si>
  <si>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</si>
  <si>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</si>
  <si>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</si>
  <si>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</si>
  <si>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</si>
  <si>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</si>
  <si>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</si>
  <si>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</si>
  <si>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</si>
  <si>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</si>
  <si>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</si>
  <si>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</si>
  <si>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</si>
  <si>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</si>
  <si>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</si>
  <si>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</si>
  <si>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</si>
  <si>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</si>
  <si>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</si>
  <si>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</si>
  <si>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</si>
  <si>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</si>
  <si>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</si>
  <si>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</si>
  <si>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</si>
  <si>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</si>
  <si>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</si>
  <si>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</si>
  <si>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</si>
  <si>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</si>
  <si>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</si>
  <si>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</si>
  <si>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</si>
  <si>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</si>
  <si>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</si>
  <si>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</si>
  <si>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</si>
  <si>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</si>
  <si>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</si>
  <si>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</si>
  <si>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</si>
  <si>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</si>
  <si>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</si>
  <si>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</si>
  <si>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</si>
  <si>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</si>
  <si>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</si>
  <si>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</si>
  <si>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</si>
  <si>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</si>
  <si>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</si>
  <si>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</si>
  <si>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</si>
  <si>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</si>
  <si>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</si>
  <si>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</si>
  <si>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</si>
  <si>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</si>
  <si>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</si>
  <si>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</si>
  <si>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</si>
  <si>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</si>
  <si>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</si>
  <si>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</si>
  <si>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</si>
  <si>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</si>
  <si>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</si>
  <si>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</si>
  <si>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</si>
  <si>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</si>
  <si>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</si>
  <si>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</si>
  <si>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</si>
  <si>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</si>
  <si>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</si>
  <si>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</si>
  <si>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</si>
  <si>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</si>
  <si>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</si>
  <si>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</si>
  <si>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</si>
  <si>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</si>
  <si>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</si>
  <si>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</si>
  <si>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</si>
  <si>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</si>
  <si>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</si>
  <si>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</si>
  <si>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</si>
  <si>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</si>
  <si>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</si>
  <si>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</si>
  <si>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</si>
  <si>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</si>
  <si>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</si>
  <si>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</si>
  <si>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</si>
  <si>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</si>
  <si>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</si>
  <si>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</si>
  <si>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</si>
  <si>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</si>
  <si>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</si>
  <si>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</si>
  <si>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</si>
  <si>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</si>
  <si>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</si>
  <si>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</si>
  <si>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</si>
  <si>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</si>
  <si>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</si>
  <si>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</si>
  <si>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</si>
  <si>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</si>
  <si>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</si>
  <si>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</si>
  <si>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</si>
  <si>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</si>
  <si>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</si>
  <si>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</si>
  <si>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</si>
  <si>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</si>
  <si>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</si>
  <si>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</si>
  <si>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</si>
  <si>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</si>
  <si>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</si>
  <si>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</si>
  <si>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</si>
  <si>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</si>
  <si>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</si>
  <si>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</si>
  <si>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</si>
  <si>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</si>
  <si>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</si>
  <si>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</si>
  <si>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</si>
  <si>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</si>
  <si>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</si>
  <si>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</si>
  <si>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</si>
  <si>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</si>
  <si>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</si>
  <si>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</si>
  <si>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</si>
  <si>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</si>
  <si>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</si>
  <si>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</si>
  <si>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</si>
  <si>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</si>
  <si>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</si>
  <si>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</si>
  <si>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</si>
  <si>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</si>
  <si>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</si>
  <si>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</si>
  <si>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</si>
  <si>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</si>
  <si>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</si>
  <si>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</si>
  <si>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</si>
  <si>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</si>
  <si>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</si>
  <si>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</si>
  <si>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</si>
  <si>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</si>
  <si>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</si>
  <si>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</si>
  <si>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</si>
  <si>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</si>
  <si>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</si>
  <si>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</si>
  <si>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</si>
  <si>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</si>
  <si>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</si>
  <si>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</si>
  <si>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</si>
  <si>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</si>
  <si>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</si>
  <si>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</si>
  <si>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</si>
  <si>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</si>
  <si>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</si>
  <si>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</si>
  <si>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</si>
  <si>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</si>
  <si>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</si>
  <si>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</si>
  <si>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</si>
  <si>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</si>
  <si>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</si>
  <si>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</si>
  <si>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</si>
  <si>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</si>
  <si>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</si>
  <si>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</si>
  <si>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</si>
  <si>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</si>
  <si>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</si>
  <si>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</si>
  <si>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</si>
  <si>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</si>
  <si>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</si>
  <si>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</si>
  <si>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</si>
  <si>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</si>
  <si>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</si>
  <si>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</si>
  <si>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</si>
  <si>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</si>
  <si>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</si>
  <si>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</si>
  <si>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</si>
  <si>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</si>
  <si>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</si>
  <si>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</si>
  <si>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</si>
  <si>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</si>
  <si>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</si>
  <si>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</si>
  <si>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</si>
  <si>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</si>
  <si>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</si>
  <si>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</si>
  <si>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</si>
  <si>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</si>
  <si>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</si>
  <si>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</si>
  <si>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</si>
  <si>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</si>
  <si>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</si>
  <si>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</si>
  <si>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</si>
  <si>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</si>
  <si>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</si>
  <si>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</si>
  <si>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</si>
  <si>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</si>
  <si>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</si>
  <si>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</si>
  <si>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</si>
  <si>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</si>
  <si>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</si>
  <si>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</si>
  <si>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</si>
  <si>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</si>
  <si>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</si>
  <si>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</si>
  <si>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</si>
  <si>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</si>
  <si>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</si>
  <si>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</si>
  <si>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</si>
  <si>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</si>
  <si>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</si>
  <si>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</si>
  <si>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</si>
  <si>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</si>
  <si>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</si>
  <si>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</si>
  <si>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</si>
  <si>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</si>
  <si>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</si>
  <si>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</si>
  <si>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</si>
  <si>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</si>
  <si>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</si>
  <si>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</si>
  <si>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</si>
  <si>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</si>
  <si>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</si>
  <si>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</si>
  <si>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</si>
  <si>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</si>
  <si>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</si>
  <si>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</si>
  <si>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</si>
  <si>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</si>
  <si>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</si>
  <si>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</si>
  <si>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</si>
  <si>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</si>
  <si>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</si>
  <si>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</si>
  <si>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</si>
  <si>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</si>
  <si>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</si>
  <si>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</si>
  <si>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</si>
  <si>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</si>
  <si>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</si>
  <si>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</si>
  <si>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</si>
  <si>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</si>
  <si>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</si>
  <si>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</si>
  <si>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</si>
  <si>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</si>
  <si>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</si>
  <si>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</si>
  <si>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</si>
  <si>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</si>
  <si>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</si>
  <si>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</si>
  <si>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</si>
  <si>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</si>
  <si>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</si>
  <si>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</si>
  <si>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</si>
  <si>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</si>
  <si>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</si>
  <si>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</si>
  <si>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</si>
  <si>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</si>
  <si>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</si>
  <si>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</si>
  <si>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</si>
  <si>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</si>
  <si>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</si>
  <si>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</si>
  <si>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</si>
  <si>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</si>
  <si>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</si>
  <si>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</si>
  <si>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</si>
  <si>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</si>
  <si>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</si>
  <si>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</si>
  <si>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</si>
  <si>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</si>
  <si>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</si>
  <si>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</si>
  <si>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</si>
  <si>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</si>
  <si>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</si>
  <si>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</si>
  <si>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</si>
  <si>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</si>
  <si>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</si>
  <si>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</si>
  <si>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</si>
  <si>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</si>
  <si>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</si>
  <si>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</si>
  <si>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</si>
  <si>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</si>
  <si>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</si>
  <si>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</si>
  <si>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</si>
  <si>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</si>
  <si>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</si>
  <si>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</si>
  <si>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</si>
  <si>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</si>
  <si>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</si>
  <si>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</si>
  <si>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</si>
  <si>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</si>
  <si>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</si>
  <si>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</si>
  <si>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</si>
  <si>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</si>
  <si>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</si>
  <si>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</si>
  <si>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</si>
  <si>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</si>
  <si>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</si>
  <si>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</si>
  <si>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</si>
  <si>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</si>
  <si>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</si>
  <si>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</si>
  <si>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</si>
  <si>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</si>
  <si>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</si>
  <si>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</si>
  <si>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</si>
  <si>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</si>
  <si>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</si>
  <si>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</si>
  <si>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</si>
  <si>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</si>
  <si>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</si>
  <si>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</si>
  <si>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</si>
  <si>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</si>
  <si>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</si>
  <si>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</si>
  <si>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</si>
  <si>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</si>
  <si>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</si>
  <si>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</si>
  <si>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</si>
  <si>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</si>
  <si>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</si>
  <si>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</si>
  <si>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</si>
  <si>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</si>
  <si>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</si>
  <si>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</si>
  <si>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</si>
  <si>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</si>
  <si>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</si>
  <si>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</si>
  <si>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</si>
  <si>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</si>
  <si>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</si>
  <si>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</si>
  <si>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</si>
  <si>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</si>
  <si>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</si>
  <si>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</si>
  <si>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</si>
  <si>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</si>
  <si>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</si>
  <si>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</si>
  <si>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</si>
  <si>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</si>
  <si>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</si>
  <si>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</si>
  <si>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</si>
  <si>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</si>
  <si>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</si>
  <si>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</si>
  <si>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</si>
  <si>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</si>
  <si>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</si>
  <si>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</si>
  <si>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</si>
  <si>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</si>
  <si>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</si>
  <si>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</si>
  <si>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</si>
  <si>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</si>
  <si>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</si>
  <si>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</si>
  <si>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</si>
  <si>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</si>
  <si>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</si>
  <si>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</si>
  <si>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</si>
  <si>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</si>
  <si>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</si>
  <si>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</si>
  <si>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</si>
  <si>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</si>
  <si>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</si>
  <si>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</si>
  <si>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</si>
  <si>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</si>
  <si>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</si>
  <si>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</si>
  <si>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</si>
  <si>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</si>
  <si>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</si>
  <si>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</si>
  <si>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</si>
  <si>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</si>
  <si>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</si>
  <si>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</si>
  <si>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</si>
  <si>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</si>
  <si>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</si>
  <si>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</si>
  <si>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</si>
  <si>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</si>
  <si>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</si>
  <si>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</si>
  <si>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</si>
  <si>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</si>
  <si>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</si>
  <si>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</si>
  <si>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</si>
  <si>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</si>
  <si>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</si>
  <si>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</si>
  <si>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</si>
  <si>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</si>
  <si>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</si>
  <si>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</si>
  <si>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</si>
  <si>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</si>
  <si>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</si>
  <si>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</si>
  <si>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</si>
  <si>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</si>
  <si>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</si>
  <si>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</si>
  <si>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</si>
  <si>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</si>
  <si>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</si>
  <si>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</si>
  <si>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</si>
  <si>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</si>
  <si>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</si>
  <si>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</si>
  <si>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</si>
  <si>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</si>
  <si>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</si>
  <si>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</si>
  <si>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</si>
  <si>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</si>
  <si>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</si>
  <si>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</si>
  <si>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</si>
  <si>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</si>
  <si>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</si>
  <si>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</si>
  <si>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</si>
  <si>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</si>
  <si>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</si>
  <si>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</si>
  <si>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</si>
  <si>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</si>
  <si>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</si>
  <si>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</si>
  <si>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</si>
  <si>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</si>
  <si>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</si>
  <si>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</si>
  <si>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</si>
  <si>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</si>
  <si>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</si>
  <si>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</si>
  <si>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</si>
  <si>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</si>
  <si>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</si>
  <si>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</si>
  <si>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</si>
  <si>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</si>
  <si>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</si>
  <si>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</si>
  <si>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</si>
  <si>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</si>
  <si>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</si>
  <si>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</si>
  <si>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</si>
  <si>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</si>
  <si>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</si>
  <si>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</si>
  <si>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</si>
  <si>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</si>
  <si>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</si>
  <si>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</si>
  <si>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</si>
  <si>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</si>
  <si>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</si>
  <si>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</si>
  <si>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</si>
  <si>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</si>
  <si>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</si>
  <si>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</si>
  <si>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</si>
  <si>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</si>
  <si>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</si>
  <si>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</si>
  <si>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</si>
  <si>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</si>
  <si>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</si>
  <si>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</si>
  <si>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</si>
  <si>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</si>
  <si>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</si>
  <si>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</si>
  <si>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</si>
  <si>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</si>
  <si>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</si>
  <si>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</si>
  <si>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</si>
  <si>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</si>
  <si>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</si>
  <si>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</si>
  <si>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</si>
  <si>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</si>
  <si>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</si>
  <si>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</si>
  <si>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</si>
  <si>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</si>
  <si>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</si>
  <si>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</si>
  <si>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</si>
  <si>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</si>
  <si>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</si>
  <si>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</si>
  <si>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</si>
  <si>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</si>
  <si>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</si>
  <si>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</si>
  <si>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</si>
  <si>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</si>
  <si>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</si>
  <si>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</si>
  <si>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</si>
  <si>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</si>
  <si>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</si>
  <si>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</si>
  <si>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</si>
  <si>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</si>
  <si>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</si>
  <si>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</si>
  <si>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</si>
  <si>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</si>
  <si>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</si>
  <si>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</si>
  <si>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</si>
  <si>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</si>
  <si>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</si>
  <si>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</si>
  <si>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</si>
  <si>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</si>
  <si>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</si>
  <si>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</si>
  <si>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</si>
  <si>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</si>
  <si>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</si>
  <si>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</si>
  <si>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</si>
  <si>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</si>
  <si>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</si>
  <si>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</si>
  <si>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</si>
  <si>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</si>
  <si>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</si>
  <si>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</si>
  <si>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</si>
  <si>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</si>
  <si>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</si>
  <si>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</si>
  <si>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</si>
  <si>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</si>
  <si>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</si>
  <si>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</si>
  <si>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</si>
  <si>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</si>
  <si>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</si>
  <si>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</si>
  <si>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</si>
  <si>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</si>
  <si>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</si>
  <si>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</si>
  <si>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</si>
  <si>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</si>
  <si>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</si>
  <si>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</si>
  <si>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</si>
  <si>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</si>
  <si>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</si>
  <si>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</si>
  <si>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</si>
  <si>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</si>
  <si>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</si>
  <si>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</si>
  <si>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</si>
  <si>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</si>
  <si>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</si>
  <si>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</si>
  <si>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</si>
  <si>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</si>
  <si>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</si>
  <si>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</si>
  <si>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</si>
  <si>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</si>
  <si>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</si>
  <si>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</si>
  <si>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</si>
  <si>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</si>
  <si>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</si>
  <si>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</si>
  <si>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</si>
  <si>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</si>
  <si>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</si>
  <si>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</si>
  <si>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</si>
  <si>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</si>
  <si>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</si>
  <si>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</si>
  <si>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</si>
  <si>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</si>
  <si>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</si>
  <si>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</si>
  <si>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</si>
  <si>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</si>
  <si>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</si>
  <si>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</si>
  <si>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</si>
  <si>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</si>
  <si>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</si>
  <si>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</si>
  <si>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</si>
  <si>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</si>
  <si>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</si>
  <si>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</si>
  <si>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</si>
  <si>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</si>
  <si>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</si>
  <si>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</si>
  <si>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</si>
  <si>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</si>
  <si>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</si>
  <si>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</si>
  <si>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</si>
  <si>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</si>
  <si>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</si>
  <si>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</si>
  <si>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</si>
  <si>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</si>
  <si>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</si>
  <si>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</si>
  <si>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</si>
  <si>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</si>
  <si>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</si>
  <si>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</si>
  <si>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</si>
  <si>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</si>
  <si>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</si>
  <si>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</si>
  <si>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</si>
  <si>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</si>
  <si>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</si>
  <si>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</si>
  <si>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</si>
  <si>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</si>
  <si>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</si>
  <si>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</si>
  <si>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</si>
  <si>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</si>
  <si>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</si>
  <si>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</si>
  <si>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</si>
  <si>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</si>
  <si>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</si>
  <si>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</si>
  <si>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</si>
  <si>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</si>
  <si>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</si>
  <si>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</si>
  <si>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</si>
  <si>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</si>
  <si>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</si>
  <si>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</si>
  <si>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</si>
  <si>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</si>
  <si>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</si>
  <si>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</si>
  <si>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</si>
  <si>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</si>
  <si>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</si>
  <si>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</si>
  <si>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</si>
  <si>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</si>
  <si>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</si>
  <si>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</si>
  <si>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</si>
  <si>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</si>
  <si>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</si>
  <si>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</si>
  <si>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</si>
  <si>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</si>
  <si>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</si>
  <si>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</si>
  <si>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</si>
  <si>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</si>
  <si>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</si>
  <si>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</si>
  <si>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</si>
  <si>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</si>
  <si>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</si>
  <si>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</si>
  <si>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</si>
  <si>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</si>
  <si>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</si>
  <si>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</si>
  <si>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</si>
  <si>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</si>
  <si>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</si>
  <si>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</si>
  <si>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</si>
  <si>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</si>
  <si>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</si>
  <si>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</si>
  <si>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</si>
  <si>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</si>
  <si>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</si>
  <si>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</si>
  <si>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</si>
  <si>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</si>
  <si>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</si>
  <si>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</si>
  <si>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</si>
  <si>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</si>
  <si>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</si>
  <si>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</si>
  <si>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</si>
  <si>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</si>
  <si>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</si>
  <si>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</si>
  <si>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</si>
  <si>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</si>
  <si>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</si>
  <si>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</si>
  <si>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</si>
  <si>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</si>
  <si>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</si>
  <si>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</si>
  <si>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</si>
  <si>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</si>
  <si>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</si>
  <si>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</si>
  <si>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</si>
  <si>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</si>
  <si>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</si>
  <si>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</si>
  <si>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</si>
  <si>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</si>
  <si>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</si>
  <si>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</si>
  <si>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</si>
  <si>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</si>
  <si>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</si>
  <si>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</si>
  <si>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</si>
  <si>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</si>
  <si>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</si>
  <si>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</si>
  <si>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</si>
  <si>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</si>
  <si>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</si>
  <si>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</si>
  <si>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</si>
  <si>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</si>
  <si>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</si>
  <si>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</si>
  <si>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</si>
  <si>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</si>
  <si>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</si>
  <si>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</si>
  <si>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</si>
  <si>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</si>
  <si>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</si>
  <si>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</si>
  <si>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</si>
  <si>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</si>
  <si>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</si>
  <si>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</si>
  <si>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</si>
  <si>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</si>
  <si>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</si>
  <si>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</si>
  <si>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</si>
  <si>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</si>
  <si>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</si>
  <si>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</si>
  <si>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</si>
  <si>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</si>
  <si>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</si>
  <si>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</si>
  <si>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</si>
  <si>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</si>
  <si>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</si>
  <si>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</si>
  <si>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</si>
  <si>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</si>
  <si>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</si>
  <si>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</si>
  <si>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</si>
  <si>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</si>
  <si>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</si>
  <si>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</si>
  <si>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</si>
  <si>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</si>
  <si>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</si>
  <si>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</si>
  <si>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</si>
  <si>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</si>
  <si>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</si>
  <si>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</si>
  <si>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</si>
  <si>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</si>
  <si>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</si>
  <si>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</si>
  <si>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</si>
  <si>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</si>
  <si>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</si>
  <si>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</si>
  <si>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</si>
  <si>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</si>
  <si>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</si>
  <si>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</si>
  <si>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</si>
  <si>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</si>
  <si>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</si>
  <si>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</si>
  <si>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</si>
  <si>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</si>
  <si>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</si>
  <si>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</si>
  <si>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</si>
  <si>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</si>
  <si>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</si>
  <si>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</si>
  <si>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</si>
  <si>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</si>
  <si>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</si>
  <si>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</si>
  <si>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</si>
  <si>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</si>
  <si>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</si>
  <si>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</si>
  <si>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</si>
  <si>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</si>
  <si>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</si>
  <si>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</si>
  <si>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</si>
  <si>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</si>
  <si>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</si>
  <si>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</si>
  <si>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</si>
  <si>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</si>
  <si>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</si>
  <si>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</si>
  <si>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</si>
  <si>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</si>
  <si>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</si>
  <si>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</si>
  <si>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</si>
  <si>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</si>
  <si>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</si>
  <si>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</si>
  <si>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</si>
  <si>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</si>
  <si>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</si>
  <si>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</si>
  <si>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</si>
  <si>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</si>
  <si>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</si>
  <si>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</si>
  <si>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</si>
  <si>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</si>
  <si>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</si>
  <si>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</si>
  <si>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</si>
  <si>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</si>
  <si>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</si>
  <si>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</si>
  <si>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</si>
  <si>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</si>
  <si>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</si>
  <si>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</si>
  <si>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</si>
  <si>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</si>
  <si>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</si>
  <si>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</si>
  <si>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</si>
  <si>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</si>
  <si>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</si>
  <si>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</si>
  <si>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</si>
  <si>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</si>
  <si>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</si>
  <si>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</si>
  <si>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</si>
  <si>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</si>
  <si>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</si>
  <si>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</si>
  <si>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</si>
  <si>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</si>
  <si>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</si>
  <si>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</si>
  <si>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</si>
  <si>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</si>
  <si>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</si>
  <si>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</si>
  <si>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</si>
  <si>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</si>
  <si>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</si>
  <si>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</si>
  <si>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</si>
  <si>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</si>
  <si>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</si>
  <si>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</si>
  <si>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</si>
  <si>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</si>
  <si>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</si>
  <si>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</si>
  <si>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</si>
  <si>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</si>
  <si>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</si>
  <si>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</si>
  <si>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</si>
  <si>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</si>
  <si>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</si>
  <si>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</si>
  <si>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</si>
  <si>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</si>
  <si>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</si>
  <si>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</si>
  <si>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</si>
  <si>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</si>
  <si>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</si>
  <si>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</si>
  <si>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</si>
  <si>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</si>
  <si>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</si>
  <si>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</si>
  <si>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</si>
  <si>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</si>
  <si>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</si>
  <si>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</si>
  <si>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</si>
  <si>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</si>
  <si>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</si>
  <si>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</si>
  <si>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</si>
  <si>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</si>
  <si>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</si>
  <si>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</si>
  <si>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</si>
  <si>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</si>
  <si>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</si>
  <si>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</si>
  <si>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</si>
  <si>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</si>
  <si>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</si>
  <si>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</si>
  <si>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</si>
  <si>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</si>
  <si>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</si>
  <si>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</si>
  <si>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</si>
  <si>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</si>
  <si>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</si>
  <si>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</si>
  <si>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</si>
  <si>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</si>
  <si>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</si>
  <si>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</si>
  <si>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</si>
  <si>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</si>
  <si>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</si>
  <si>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</si>
  <si>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</si>
  <si>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</si>
  <si>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</si>
  <si>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</si>
  <si>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</si>
  <si>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</si>
  <si>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</si>
  <si>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</si>
  <si>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</si>
  <si>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</si>
  <si>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</si>
  <si>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</si>
  <si>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</si>
  <si>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</si>
  <si>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</si>
  <si>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</si>
  <si>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</si>
  <si>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</si>
  <si>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</si>
  <si>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</si>
  <si>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</si>
  <si>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</si>
  <si>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</si>
  <si>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</si>
  <si>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</si>
  <si>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</si>
  <si>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</si>
  <si>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</si>
  <si>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</si>
  <si>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</si>
  <si>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</si>
  <si>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</si>
  <si>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</si>
  <si>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</si>
  <si>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</si>
  <si>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</si>
  <si>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</si>
  <si>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</si>
  <si>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</si>
  <si>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</si>
  <si>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</si>
  <si>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</si>
  <si>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</si>
  <si>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</si>
  <si>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</si>
  <si>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</si>
  <si>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</si>
  <si>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</si>
  <si>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</si>
  <si>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</si>
  <si>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</si>
  <si>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</si>
  <si>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</si>
  <si>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</si>
  <si>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</si>
  <si>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</si>
  <si>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</si>
  <si>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</si>
  <si>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</si>
  <si>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</si>
  <si>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</si>
  <si>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</si>
  <si>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</si>
  <si>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</si>
  <si>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</si>
  <si>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</si>
  <si>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</si>
  <si>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</si>
  <si>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</si>
  <si>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</si>
  <si>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</si>
  <si>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</si>
  <si>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</si>
  <si>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</si>
  <si>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</si>
  <si>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</si>
  <si>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</si>
  <si>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</si>
  <si>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</si>
  <si>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</si>
  <si>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</si>
  <si>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</si>
  <si>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</si>
  <si>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</si>
  <si>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</si>
  <si>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</si>
  <si>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</si>
  <si>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</si>
  <si>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</si>
  <si>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</si>
  <si>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</si>
  <si>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</si>
  <si>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</si>
  <si>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</si>
  <si>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</si>
  <si>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</si>
  <si>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</si>
  <si>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</si>
  <si>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</si>
  <si>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</si>
  <si>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</si>
  <si>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</si>
  <si>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</si>
  <si>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</si>
  <si>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</si>
  <si>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</si>
  <si>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</si>
  <si>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</si>
  <si>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</si>
  <si>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</si>
  <si>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</si>
  <si>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</si>
  <si>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</si>
  <si>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</si>
  <si>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</si>
  <si>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</si>
  <si>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</si>
  <si>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</si>
  <si>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</si>
  <si>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</si>
  <si>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</si>
  <si>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</si>
  <si>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</si>
  <si>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</si>
  <si>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</si>
  <si>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</si>
  <si>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</si>
  <si>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</si>
  <si>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</si>
  <si>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</si>
  <si>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</si>
  <si>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</si>
  <si>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</si>
  <si>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</si>
  <si>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</si>
  <si>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</si>
  <si>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</si>
  <si>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</si>
  <si>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</si>
  <si>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</si>
  <si>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</si>
  <si>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</si>
  <si>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</si>
  <si>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</si>
  <si>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</si>
  <si>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</si>
  <si>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</si>
  <si>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</si>
  <si>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</si>
  <si>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</si>
  <si>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</si>
  <si>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</si>
  <si>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</si>
  <si>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</si>
  <si>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</si>
  <si>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</si>
  <si>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</si>
  <si>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</si>
  <si>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</si>
  <si>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</si>
  <si>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</si>
  <si>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</si>
  <si>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</si>
  <si>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</si>
  <si>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</si>
  <si>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</si>
  <si>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</si>
  <si>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</si>
  <si>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</si>
  <si>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</si>
  <si>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</si>
  <si>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</si>
  <si>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</si>
  <si>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</si>
  <si>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</si>
  <si>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</si>
  <si>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</si>
  <si>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</si>
  <si>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</si>
  <si>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</si>
  <si>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</si>
  <si>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</si>
  <si>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</si>
  <si>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</si>
  <si>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</si>
  <si>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</si>
  <si>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</si>
  <si>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</si>
  <si>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</si>
  <si>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</si>
  <si>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</si>
  <si>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</si>
  <si>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</si>
  <si>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</si>
  <si>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</si>
  <si>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</si>
  <si>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</si>
  <si>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</si>
  <si>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</si>
  <si>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</si>
  <si>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</si>
  <si>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</si>
  <si>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</si>
  <si>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</si>
  <si>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</si>
  <si>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</si>
  <si>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</si>
  <si>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</si>
  <si>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</si>
  <si>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</si>
  <si>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</si>
  <si>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</si>
  <si>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</si>
  <si>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</si>
  <si>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</si>
  <si>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</si>
  <si>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</si>
  <si>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</si>
  <si>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</si>
  <si>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</si>
  <si>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</si>
  <si>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</si>
  <si>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</si>
  <si>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</si>
  <si>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</si>
  <si>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</si>
  <si>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</si>
  <si>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</si>
  <si>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</si>
  <si>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</si>
  <si>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</si>
  <si>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</si>
  <si>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</si>
  <si>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</si>
  <si>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</si>
  <si>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</si>
  <si>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</si>
  <si>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</si>
  <si>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</si>
  <si>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</si>
  <si>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</si>
  <si>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</si>
  <si>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</si>
  <si>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</si>
  <si>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</si>
  <si>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</si>
  <si>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</si>
  <si>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</si>
  <si>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</si>
  <si>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</si>
  <si>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</si>
  <si>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</si>
  <si>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</si>
  <si>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</si>
  <si>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</si>
  <si>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</si>
  <si>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</si>
  <si>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</si>
  <si>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</si>
  <si>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</si>
  <si>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</si>
  <si>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</si>
  <si>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</si>
  <si>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</si>
  <si>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</si>
  <si>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</si>
  <si>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</si>
  <si>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</si>
  <si>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</si>
  <si>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</si>
  <si>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</si>
  <si>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</si>
  <si>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</si>
  <si>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</si>
  <si>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</si>
  <si>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</si>
  <si>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</si>
  <si>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</si>
  <si>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</si>
  <si>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</si>
  <si>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</si>
  <si>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</si>
  <si>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</si>
  <si>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</si>
  <si>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</si>
  <si>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</si>
  <si>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</si>
  <si>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</si>
  <si>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</si>
  <si>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</si>
  <si>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</si>
  <si>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</si>
  <si>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</si>
  <si>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</si>
  <si>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</si>
  <si>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</si>
  <si>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</si>
  <si>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</si>
  <si>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</si>
  <si>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</si>
  <si>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</si>
  <si>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</si>
  <si>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</si>
  <si>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</si>
  <si>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</si>
  <si>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</si>
  <si>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</si>
  <si>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</si>
  <si>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</si>
  <si>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</si>
  <si>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</si>
  <si>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</si>
  <si>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</si>
  <si>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</si>
  <si>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</si>
  <si>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</si>
  <si>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</si>
  <si>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</si>
  <si>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</si>
  <si>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</si>
  <si>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</si>
  <si>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</si>
  <si>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</si>
  <si>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</si>
  <si>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</si>
  <si>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</si>
  <si>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</si>
  <si>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</si>
  <si>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</si>
  <si>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</si>
  <si>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</si>
  <si>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</si>
  <si>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</si>
  <si>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</si>
  <si>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</si>
  <si>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</si>
  <si>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</si>
  <si>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</si>
  <si>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</si>
  <si>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</si>
  <si>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</si>
  <si>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</si>
  <si>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</si>
  <si>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</si>
  <si>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</si>
  <si>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</si>
  <si>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</si>
  <si>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</si>
  <si>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</si>
  <si>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</si>
  <si>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</si>
  <si>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</si>
  <si>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</si>
  <si>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</si>
  <si>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</si>
  <si>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</si>
  <si>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</si>
  <si>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</si>
  <si>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</si>
  <si>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</si>
  <si>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</si>
  <si>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</si>
  <si>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</si>
  <si>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</si>
  <si>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</si>
  <si>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</si>
  <si>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</si>
  <si>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</si>
  <si>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</si>
  <si>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</si>
  <si>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</si>
  <si>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</si>
  <si>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</si>
  <si>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</si>
  <si>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</si>
  <si>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</si>
  <si>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</si>
  <si>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</si>
  <si>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</si>
  <si>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</si>
  <si>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</si>
  <si>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</si>
  <si>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</si>
  <si>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</si>
  <si>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</si>
  <si>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</si>
  <si>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</si>
  <si>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</si>
  <si>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</si>
  <si>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</si>
  <si>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</si>
  <si>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</si>
  <si>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</si>
  <si>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</si>
  <si>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</si>
  <si>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</si>
  <si>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</si>
  <si>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</si>
  <si>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</si>
  <si>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</si>
  <si>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</si>
  <si>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</si>
  <si>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</si>
  <si>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</si>
  <si>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</si>
  <si>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</si>
  <si>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</si>
  <si>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</si>
  <si>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</si>
  <si>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</si>
  <si>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</si>
  <si>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</si>
  <si>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</si>
  <si>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</si>
  <si>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</si>
  <si>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</si>
  <si>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</si>
  <si>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</si>
  <si>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</si>
  <si>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</si>
  <si>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</si>
  <si>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</si>
  <si>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</si>
  <si>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</si>
  <si>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</si>
  <si>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</si>
  <si>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</si>
  <si>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</si>
  <si>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</si>
  <si>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</si>
  <si>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</si>
  <si>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</si>
  <si>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</si>
  <si>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</si>
  <si>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</si>
  <si>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</si>
  <si>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</si>
  <si>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</si>
  <si>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</si>
  <si>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</si>
  <si>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</si>
  <si>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</si>
  <si>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</si>
  <si>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</si>
  <si>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</si>
  <si>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</si>
  <si>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</si>
  <si>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</si>
  <si>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</si>
  <si>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</si>
  <si>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</si>
  <si>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</si>
  <si>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</si>
  <si>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</si>
  <si>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</si>
  <si>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</si>
  <si>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</si>
  <si>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</si>
  <si>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</si>
  <si>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</si>
  <si>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</si>
  <si>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</si>
  <si>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</si>
  <si>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</si>
  <si>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</si>
  <si>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</si>
  <si>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</si>
  <si>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</si>
  <si>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</si>
  <si>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</si>
  <si>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</si>
  <si>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</si>
  <si>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</si>
  <si>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</si>
  <si>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</si>
  <si>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</si>
  <si>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</si>
  <si>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</si>
  <si>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t>7. Lista de encargados</t>
  </si>
  <si>
    <t xml:space="preserve">  Jr. Santa Rosa 441 (6to. piso) - Lima 1 - Perú</t>
  </si>
  <si>
    <t>Se ha eliminado, lo mismo los teléfonos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</si>
</sst>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5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  <font>
      <b/>
      <sz val="28"/>
      <color indexed="8"/>
      <name val="Traditional Arabic"/>
      <family val="1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8" fillId="0" borderId="0" applyFont="0" applyFill="0" applyBorder="0" applyAlignment="0" applyProtection="0"/>
    <xf numFmtId="0" fontId="136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3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7" fillId="0" borderId="16" xfId="0" applyFont="1" applyFill="1" applyBorder="1" applyAlignment="1" applyProtection="1">
      <alignment horizontal="left" vertical="center" indent="7"/>
      <protection locked="0"/>
    </xf>
    <xf numFmtId="0" fontId="137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8" fillId="0" borderId="0" xfId="0" applyFont="1"/>
    <xf numFmtId="0" fontId="139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0" fillId="0" borderId="0" xfId="0" applyNumberFormat="1" applyFont="1" applyAlignment="1">
      <alignment horizontal="center"/>
    </xf>
    <xf numFmtId="2" fontId="140" fillId="0" borderId="0" xfId="0" applyNumberFormat="1" applyFont="1" applyAlignment="1">
      <alignment horizontal="right"/>
    </xf>
    <xf numFmtId="0" fontId="140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0" fillId="0" borderId="0" xfId="0" applyNumberFormat="1" applyFont="1" applyAlignment="1">
      <alignment horizontal="center"/>
    </xf>
    <xf numFmtId="3" fontId="141" fillId="0" borderId="0" xfId="0" applyNumberFormat="1" applyFont="1" applyAlignment="1">
      <alignment horizontal="center"/>
    </xf>
    <xf numFmtId="0" fontId="142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0" fillId="18" borderId="0" xfId="0" applyFont="1" applyFill="1"/>
    <xf numFmtId="0" fontId="0" fillId="18" borderId="0" xfId="0" applyFill="1" applyAlignment="1">
      <alignment vertical="center"/>
    </xf>
    <xf numFmtId="0" fontId="143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3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4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7" fillId="0" borderId="37" xfId="0" applyFont="1" applyFill="1" applyBorder="1" applyAlignment="1" applyProtection="1">
      <alignment horizontal="left" vertical="center" indent="7"/>
      <protection locked="0"/>
    </xf>
    <xf numFmtId="3" fontId="144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5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5" fillId="18" borderId="0" xfId="0" applyNumberFormat="1" applyFont="1" applyFill="1" applyBorder="1" applyAlignment="1">
      <alignment horizontal="left" vertical="center" wrapText="1" indent="6"/>
    </xf>
    <xf numFmtId="49" fontId="138" fillId="27" borderId="0" xfId="0" applyNumberFormat="1" applyFont="1" applyFill="1" applyBorder="1" applyAlignment="1">
      <alignment horizontal="center" vertical="center"/>
    </xf>
    <xf numFmtId="3" fontId="139" fillId="27" borderId="0" xfId="0" applyNumberFormat="1" applyFont="1" applyFill="1" applyBorder="1" applyAlignment="1">
      <alignment horizontal="left" vertical="center" wrapText="1" indent="6"/>
    </xf>
    <xf numFmtId="168" fontId="138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4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6" fillId="29" borderId="59" xfId="0" quotePrefix="1" applyNumberFormat="1" applyFont="1" applyFill="1" applyBorder="1" applyAlignment="1">
      <alignment horizontal="center" vertical="center"/>
    </xf>
    <xf numFmtId="3" fontId="146" fillId="29" borderId="60" xfId="0" quotePrefix="1" applyNumberFormat="1" applyFont="1" applyFill="1" applyBorder="1" applyAlignment="1">
      <alignment horizontal="center" vertical="center"/>
    </xf>
    <xf numFmtId="3" fontId="146" fillId="29" borderId="61" xfId="0" quotePrefix="1" applyNumberFormat="1" applyFont="1" applyFill="1" applyBorder="1" applyAlignment="1">
      <alignment horizontal="center" vertical="center"/>
    </xf>
    <xf numFmtId="3" fontId="146" fillId="29" borderId="62" xfId="0" quotePrefix="1" applyNumberFormat="1" applyFont="1" applyFill="1" applyBorder="1" applyAlignment="1">
      <alignment horizontal="center" vertical="center"/>
    </xf>
    <xf numFmtId="3" fontId="144" fillId="29" borderId="29" xfId="0" applyNumberFormat="1" applyFont="1" applyFill="1" applyBorder="1" applyAlignment="1">
      <alignment vertical="center"/>
    </xf>
    <xf numFmtId="3" fontId="144" fillId="29" borderId="29" xfId="0" applyNumberFormat="1" applyFont="1" applyFill="1" applyBorder="1" applyAlignment="1">
      <alignment vertical="center" wrapText="1"/>
    </xf>
    <xf numFmtId="3" fontId="144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/>
    </xf>
    <xf numFmtId="3" fontId="145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5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7" fillId="29" borderId="67" xfId="0" applyNumberFormat="1" applyFont="1" applyFill="1" applyBorder="1" applyAlignment="1">
      <alignment horizontal="left" vertical="center" wrapText="1" indent="1"/>
    </xf>
    <xf numFmtId="3" fontId="144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7" fillId="0" borderId="28" xfId="0" applyFont="1" applyFill="1" applyBorder="1" applyAlignment="1" applyProtection="1">
      <alignment horizontal="left" vertical="center" indent="7"/>
      <protection locked="0"/>
    </xf>
    <xf numFmtId="0" fontId="148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49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4" fillId="18" borderId="9" xfId="0" applyNumberFormat="1" applyFont="1" applyFill="1" applyBorder="1" applyAlignment="1">
      <alignment horizontal="center" vertical="center" wrapText="1"/>
    </xf>
    <xf numFmtId="3" fontId="144" fillId="18" borderId="13" xfId="0" applyNumberFormat="1" applyFont="1" applyFill="1" applyBorder="1" applyAlignment="1">
      <alignment horizontal="center" vertical="center" wrapText="1"/>
    </xf>
    <xf numFmtId="3" fontId="144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1" fillId="18" borderId="89" xfId="0" applyNumberFormat="1" applyFont="1" applyFill="1" applyBorder="1" applyAlignment="1" applyProtection="1">
      <alignment vertical="center" shrinkToFit="1"/>
      <protection locked="0"/>
    </xf>
    <xf numFmtId="168" fontId="111" fillId="18" borderId="90" xfId="0" applyNumberFormat="1" applyFont="1" applyFill="1" applyBorder="1" applyAlignment="1" applyProtection="1">
      <alignment vertical="center" shrinkToFit="1"/>
      <protection locked="0"/>
    </xf>
    <xf numFmtId="168" fontId="111" fillId="18" borderId="70" xfId="0" applyNumberFormat="1" applyFont="1" applyFill="1" applyBorder="1" applyAlignment="1" applyProtection="1">
      <alignment vertical="center" shrinkToFit="1"/>
      <protection locked="0"/>
    </xf>
    <xf numFmtId="168" fontId="111" fillId="18" borderId="71" xfId="0" applyNumberFormat="1" applyFont="1" applyFill="1" applyBorder="1" applyAlignment="1" applyProtection="1">
      <alignment vertical="center" shrinkToFit="1"/>
      <protection locked="0"/>
    </xf>
    <xf numFmtId="168" fontId="111" fillId="18" borderId="91" xfId="0" applyNumberFormat="1" applyFont="1" applyFill="1" applyBorder="1" applyAlignment="1" applyProtection="1">
      <alignment vertical="center" shrinkToFit="1"/>
      <protection locked="0"/>
    </xf>
    <xf numFmtId="168" fontId="111" fillId="18" borderId="30" xfId="0" applyNumberFormat="1" applyFont="1" applyFill="1" applyBorder="1" applyAlignment="1" applyProtection="1">
      <alignment vertical="center" shrinkToFit="1"/>
      <protection locked="0"/>
    </xf>
    <xf numFmtId="168" fontId="111" fillId="18" borderId="92" xfId="0" applyNumberFormat="1" applyFont="1" applyFill="1" applyBorder="1" applyAlignment="1" applyProtection="1">
      <alignment vertical="center" shrinkToFit="1"/>
      <protection locked="0"/>
    </xf>
    <xf numFmtId="168" fontId="111" fillId="18" borderId="93" xfId="0" applyNumberFormat="1" applyFont="1" applyFill="1" applyBorder="1" applyAlignment="1" applyProtection="1">
      <alignment vertical="center" shrinkToFit="1"/>
      <protection locked="0"/>
    </xf>
    <xf numFmtId="168" fontId="111" fillId="18" borderId="64" xfId="0" applyNumberFormat="1" applyFont="1" applyFill="1" applyBorder="1" applyAlignment="1" applyProtection="1">
      <alignment vertical="center" shrinkToFit="1"/>
      <protection locked="0"/>
    </xf>
    <xf numFmtId="168" fontId="111" fillId="18" borderId="58" xfId="0" applyNumberFormat="1" applyFont="1" applyFill="1" applyBorder="1" applyAlignment="1" applyProtection="1">
      <alignment vertical="center" shrinkToFit="1"/>
      <protection locked="0"/>
    </xf>
    <xf numFmtId="0" fontId="150" fillId="31" borderId="0" xfId="0" applyFont="1" applyFill="1" applyAlignment="1">
      <alignment horizontal="left" vertical="center"/>
    </xf>
    <xf numFmtId="0" fontId="150" fillId="31" borderId="0" xfId="0" applyFont="1" applyFill="1" applyAlignment="1">
      <alignment horizontal="center" vertical="center"/>
    </xf>
    <xf numFmtId="0" fontId="151" fillId="31" borderId="0" xfId="0" quotePrefix="1" applyFont="1" applyFill="1" applyAlignment="1">
      <alignment horizontal="center" vertical="center"/>
    </xf>
    <xf numFmtId="168" fontId="11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45" xfId="0" applyNumberFormat="1" applyFont="1" applyFill="1" applyBorder="1" applyAlignment="1" applyProtection="1">
      <alignment vertical="center" shrinkToFit="1"/>
      <protection locked="0"/>
    </xf>
    <xf numFmtId="168" fontId="111" fillId="18" borderId="98" xfId="0" applyNumberFormat="1" applyFont="1" applyFill="1" applyBorder="1" applyAlignment="1" applyProtection="1">
      <alignment vertical="center" shrinkToFit="1"/>
      <protection locked="0"/>
    </xf>
    <xf numFmtId="168" fontId="111" fillId="0" borderId="91" xfId="0" applyNumberFormat="1" applyFont="1" applyBorder="1" applyAlignment="1" applyProtection="1">
      <alignment horizontal="right" vertical="center" shrinkToFit="1"/>
      <protection locked="0"/>
    </xf>
    <xf numFmtId="168" fontId="111" fillId="0" borderId="28" xfId="0" applyNumberFormat="1" applyFont="1" applyBorder="1" applyAlignment="1" applyProtection="1">
      <alignment horizontal="right" vertical="center" shrinkToFit="1"/>
      <protection locked="0"/>
    </xf>
    <xf numFmtId="168" fontId="111" fillId="0" borderId="99" xfId="0" applyNumberFormat="1" applyFont="1" applyBorder="1" applyAlignment="1" applyProtection="1">
      <alignment horizontal="right"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  <protection locked="0"/>
    </xf>
    <xf numFmtId="168" fontId="111" fillId="0" borderId="16" xfId="0" applyNumberFormat="1" applyFont="1" applyBorder="1" applyAlignment="1" applyProtection="1">
      <alignment horizontal="right" vertical="center" shrinkToFit="1"/>
      <protection locked="0"/>
    </xf>
    <xf numFmtId="168" fontId="111" fillId="0" borderId="100" xfId="0" applyNumberFormat="1" applyFont="1" applyBorder="1" applyAlignment="1" applyProtection="1">
      <alignment horizontal="right" vertical="center" shrinkToFit="1"/>
      <protection locked="0"/>
    </xf>
    <xf numFmtId="168" fontId="111" fillId="0" borderId="90" xfId="0" applyNumberFormat="1" applyFont="1" applyBorder="1" applyAlignment="1" applyProtection="1">
      <alignment horizontal="right" vertical="center" shrinkToFit="1"/>
      <protection locked="0"/>
    </xf>
    <xf numFmtId="168" fontId="111" fillId="0" borderId="70" xfId="0" applyNumberFormat="1" applyFont="1" applyBorder="1" applyAlignment="1" applyProtection="1">
      <alignment horizontal="right" vertical="center" shrinkToFit="1"/>
      <protection locked="0"/>
    </xf>
    <xf numFmtId="168" fontId="111" fillId="0" borderId="11" xfId="0" applyNumberFormat="1" applyFont="1" applyBorder="1" applyAlignment="1" applyProtection="1">
      <alignment horizontal="right" vertical="center" shrinkToFit="1"/>
      <protection locked="0"/>
    </xf>
    <xf numFmtId="168" fontId="111" fillId="0" borderId="0" xfId="0" applyNumberFormat="1" applyFont="1" applyBorder="1" applyAlignment="1" applyProtection="1">
      <alignment horizontal="right" vertical="center" shrinkToFit="1"/>
      <protection locked="0"/>
    </xf>
    <xf numFmtId="168" fontId="111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2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3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0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4" fillId="0" borderId="0" xfId="0" applyFont="1" applyAlignment="1">
      <alignment horizontal="center"/>
    </xf>
    <xf numFmtId="0" fontId="154" fillId="0" borderId="0" xfId="0" applyNumberFormat="1" applyFont="1" applyAlignment="1">
      <alignment horizontal="center"/>
    </xf>
    <xf numFmtId="2" fontId="154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center"/>
    </xf>
    <xf numFmtId="0" fontId="154" fillId="0" borderId="0" xfId="0" applyNumberFormat="1" applyFont="1" applyAlignment="1">
      <alignment horizontal="left" indent="1"/>
    </xf>
    <xf numFmtId="0" fontId="155" fillId="0" borderId="0" xfId="0" applyFont="1"/>
    <xf numFmtId="0" fontId="156" fillId="0" borderId="0" xfId="0" applyFont="1" applyAlignment="1">
      <alignment horizontal="center"/>
    </xf>
    <xf numFmtId="0" fontId="156" fillId="0" borderId="0" xfId="0" applyNumberFormat="1" applyFont="1" applyAlignment="1">
      <alignment horizontal="center"/>
    </xf>
    <xf numFmtId="0" fontId="156" fillId="0" borderId="0" xfId="0" applyNumberFormat="1" applyFont="1" applyAlignment="1">
      <alignment horizontal="left" indent="1"/>
    </xf>
    <xf numFmtId="2" fontId="156" fillId="0" borderId="0" xfId="0" applyNumberFormat="1" applyFont="1" applyAlignment="1">
      <alignment horizontal="right"/>
    </xf>
    <xf numFmtId="3" fontId="156" fillId="0" borderId="0" xfId="0" applyNumberFormat="1" applyFont="1" applyAlignment="1">
      <alignment horizontal="center"/>
    </xf>
    <xf numFmtId="0" fontId="157" fillId="0" borderId="0" xfId="0" applyFont="1"/>
    <xf numFmtId="0" fontId="141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1" fillId="0" borderId="0" xfId="0" applyFont="1" applyAlignment="1">
      <alignment horizontal="center"/>
    </xf>
    <xf numFmtId="0" fontId="141" fillId="0" borderId="0" xfId="0" applyNumberFormat="1" applyFont="1" applyAlignment="1">
      <alignment horizontal="center"/>
    </xf>
    <xf numFmtId="0" fontId="141" fillId="0" borderId="0" xfId="0" applyNumberFormat="1" applyFont="1" applyAlignment="1">
      <alignment horizontal="left" indent="1"/>
    </xf>
    <xf numFmtId="2" fontId="141" fillId="0" borderId="0" xfId="0" applyNumberFormat="1" applyFont="1" applyAlignment="1">
      <alignment horizontal="right"/>
    </xf>
    <xf numFmtId="0" fontId="158" fillId="0" borderId="0" xfId="0" applyFont="1"/>
    <xf numFmtId="3" fontId="156" fillId="33" borderId="0" xfId="0" applyNumberFormat="1" applyFont="1" applyFill="1" applyAlignment="1">
      <alignment horizontal="center"/>
    </xf>
    <xf numFmtId="3" fontId="141" fillId="33" borderId="0" xfId="0" applyNumberFormat="1" applyFont="1" applyFill="1" applyAlignment="1">
      <alignment horizontal="center"/>
    </xf>
    <xf numFmtId="0" fontId="156" fillId="33" borderId="0" xfId="0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1" fillId="0" borderId="133" xfId="0" applyNumberFormat="1" applyFont="1" applyBorder="1" applyAlignment="1" applyProtection="1">
      <alignment horizontal="right" vertical="center" shrinkToFit="1"/>
      <protection locked="0"/>
    </xf>
    <xf numFmtId="168" fontId="111" fillId="0" borderId="139" xfId="0" applyNumberFormat="1" applyFont="1" applyBorder="1" applyAlignment="1" applyProtection="1">
      <alignment horizontal="right" vertical="center" shrinkToFit="1"/>
      <protection locked="0"/>
    </xf>
    <xf numFmtId="168" fontId="111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59" fillId="29" borderId="89" xfId="0" applyNumberFormat="1" applyFont="1" applyFill="1" applyBorder="1" applyAlignment="1" applyProtection="1">
      <alignment horizontal="right" vertical="center" shrinkToFit="1"/>
    </xf>
    <xf numFmtId="168" fontId="159" fillId="29" borderId="90" xfId="0" applyNumberFormat="1" applyFont="1" applyFill="1" applyBorder="1" applyAlignment="1" applyProtection="1">
      <alignment horizontal="right" vertical="center" shrinkToFit="1"/>
    </xf>
    <xf numFmtId="168" fontId="159" fillId="29" borderId="70" xfId="0" applyNumberFormat="1" applyFont="1" applyFill="1" applyBorder="1" applyAlignment="1" applyProtection="1">
      <alignment horizontal="right" vertical="center" shrinkToFit="1"/>
    </xf>
    <xf numFmtId="168" fontId="159" fillId="29" borderId="110" xfId="0" applyNumberFormat="1" applyFont="1" applyFill="1" applyBorder="1" applyAlignment="1" applyProtection="1">
      <alignment horizontal="right" vertical="center" shrinkToFit="1"/>
    </xf>
    <xf numFmtId="168" fontId="159" fillId="29" borderId="141" xfId="0" applyNumberFormat="1" applyFont="1" applyFill="1" applyBorder="1" applyAlignment="1" applyProtection="1">
      <alignment horizontal="right" vertical="center" shrinkToFit="1"/>
    </xf>
    <xf numFmtId="168" fontId="159" fillId="24" borderId="109" xfId="0" applyNumberFormat="1" applyFont="1" applyFill="1" applyBorder="1" applyAlignment="1" applyProtection="1">
      <alignment horizontal="right" vertical="center" shrinkToFit="1"/>
    </xf>
    <xf numFmtId="168" fontId="159" fillId="24" borderId="112" xfId="0" applyNumberFormat="1" applyFont="1" applyFill="1" applyBorder="1" applyAlignment="1" applyProtection="1">
      <alignment horizontal="right" vertical="center" shrinkToFit="1"/>
    </xf>
    <xf numFmtId="168" fontId="159" fillId="29" borderId="106" xfId="0" applyNumberFormat="1" applyFont="1" applyFill="1" applyBorder="1" applyAlignment="1" applyProtection="1">
      <alignment horizontal="right" vertical="center" shrinkToFit="1"/>
    </xf>
    <xf numFmtId="168" fontId="159" fillId="29" borderId="128" xfId="0" applyNumberFormat="1" applyFont="1" applyFill="1" applyBorder="1" applyAlignment="1" applyProtection="1">
      <alignment horizontal="right" vertical="center" shrinkToFit="1"/>
    </xf>
    <xf numFmtId="168" fontId="111" fillId="0" borderId="142" xfId="0" applyNumberFormat="1" applyFont="1" applyBorder="1" applyAlignment="1" applyProtection="1">
      <alignment horizontal="right" vertical="center" shrinkToFit="1"/>
      <protection locked="0"/>
    </xf>
    <xf numFmtId="168" fontId="111" fillId="0" borderId="37" xfId="0" applyNumberFormat="1" applyFont="1" applyBorder="1" applyAlignment="1" applyProtection="1">
      <alignment horizontal="right" vertical="center" shrinkToFit="1"/>
      <protection locked="0"/>
    </xf>
    <xf numFmtId="168" fontId="159" fillId="24" borderId="118" xfId="0" applyNumberFormat="1" applyFont="1" applyFill="1" applyBorder="1" applyAlignment="1" applyProtection="1">
      <alignment horizontal="right" vertical="center" shrinkToFit="1"/>
    </xf>
    <xf numFmtId="168" fontId="159" fillId="24" borderId="111" xfId="0" applyNumberFormat="1" applyFont="1" applyFill="1" applyBorder="1" applyAlignment="1" applyProtection="1">
      <alignment horizontal="right" vertical="center" shrinkToFit="1"/>
    </xf>
    <xf numFmtId="3" fontId="159" fillId="29" borderId="104" xfId="0" applyNumberFormat="1" applyFont="1" applyFill="1" applyBorder="1" applyAlignment="1" applyProtection="1">
      <alignment horizontal="right" vertical="center" indent="2" shrinkToFit="1"/>
    </xf>
    <xf numFmtId="168" fontId="159" fillId="24" borderId="108" xfId="0" applyNumberFormat="1" applyFont="1" applyFill="1" applyBorder="1" applyAlignment="1" applyProtection="1">
      <alignment horizontal="right" vertical="center" shrinkToFit="1"/>
    </xf>
    <xf numFmtId="168" fontId="159" fillId="29" borderId="104" xfId="0" applyNumberFormat="1" applyFont="1" applyFill="1" applyBorder="1" applyAlignment="1" applyProtection="1">
      <alignment horizontal="right" vertical="center" shrinkToFit="1"/>
    </xf>
    <xf numFmtId="168" fontId="160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31" xfId="0" applyNumberFormat="1" applyFont="1" applyFill="1" applyBorder="1" applyAlignment="1" applyProtection="1">
      <alignment horizontal="right" vertical="center" shrinkToFit="1"/>
    </xf>
    <xf numFmtId="168" fontId="160" fillId="18" borderId="134" xfId="0" applyNumberFormat="1" applyFont="1" applyFill="1" applyBorder="1" applyAlignment="1" applyProtection="1">
      <alignment horizontal="right" vertical="center" shrinkToFit="1"/>
    </xf>
    <xf numFmtId="168" fontId="160" fillId="18" borderId="110" xfId="0" applyNumberFormat="1" applyFont="1" applyFill="1" applyBorder="1" applyAlignment="1" applyProtection="1">
      <alignment horizontal="right" vertical="center" shrinkToFit="1"/>
    </xf>
    <xf numFmtId="168" fontId="160" fillId="18" borderId="135" xfId="0" applyNumberFormat="1" applyFont="1" applyFill="1" applyBorder="1" applyAlignment="1" applyProtection="1">
      <alignment horizontal="right" vertical="center" shrinkToFit="1"/>
    </xf>
    <xf numFmtId="168" fontId="160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5" xfId="0" applyNumberFormat="1" applyFont="1" applyFill="1" applyBorder="1" applyAlignment="1" applyProtection="1">
      <alignment horizontal="right" vertical="center" shrinkToFit="1"/>
    </xf>
    <xf numFmtId="3" fontId="140" fillId="33" borderId="0" xfId="0" applyNumberFormat="1" applyFont="1" applyFill="1" applyAlignment="1">
      <alignment horizontal="center"/>
    </xf>
    <xf numFmtId="0" fontId="140" fillId="33" borderId="0" xfId="0" applyFont="1" applyFill="1" applyAlignment="1">
      <alignment horizontal="center"/>
    </xf>
    <xf numFmtId="168" fontId="111" fillId="18" borderId="132" xfId="0" applyNumberFormat="1" applyFont="1" applyFill="1" applyBorder="1" applyAlignment="1" applyProtection="1">
      <alignment vertical="center" shrinkToFit="1"/>
      <protection locked="0"/>
    </xf>
    <xf numFmtId="168" fontId="111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1" fillId="29" borderId="90" xfId="0" applyNumberFormat="1" applyFont="1" applyFill="1" applyBorder="1" applyAlignment="1" applyProtection="1">
      <alignment vertical="center" shrinkToFit="1"/>
    </xf>
    <xf numFmtId="168" fontId="161" fillId="29" borderId="70" xfId="0" applyNumberFormat="1" applyFont="1" applyFill="1" applyBorder="1" applyAlignment="1" applyProtection="1">
      <alignment vertical="center" shrinkToFit="1"/>
    </xf>
    <xf numFmtId="168" fontId="161" fillId="29" borderId="146" xfId="0" applyNumberFormat="1" applyFont="1" applyFill="1" applyBorder="1" applyAlignment="1" applyProtection="1">
      <alignment vertical="center" shrinkToFit="1"/>
    </xf>
    <xf numFmtId="168" fontId="161" fillId="29" borderId="47" xfId="0" applyNumberFormat="1" applyFont="1" applyFill="1" applyBorder="1" applyAlignment="1" applyProtection="1">
      <alignment vertical="center" shrinkToFit="1"/>
    </xf>
    <xf numFmtId="168" fontId="161" fillId="29" borderId="16" xfId="0" applyNumberFormat="1" applyFont="1" applyFill="1" applyBorder="1" applyAlignment="1" applyProtection="1">
      <alignment vertical="center" shrinkToFit="1"/>
    </xf>
    <xf numFmtId="168" fontId="161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8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62" fillId="0" borderId="0" xfId="0" applyNumberFormat="1" applyFont="1" applyAlignment="1">
      <alignment horizontal="center"/>
    </xf>
    <xf numFmtId="0" fontId="162" fillId="0" borderId="0" xfId="0" applyNumberFormat="1" applyFont="1" applyAlignment="1">
      <alignment horizontal="left" indent="1"/>
    </xf>
    <xf numFmtId="2" fontId="162" fillId="0" borderId="0" xfId="0" applyNumberFormat="1" applyFont="1" applyAlignment="1">
      <alignment horizontal="right"/>
    </xf>
    <xf numFmtId="3" fontId="162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left" indent="1"/>
    </xf>
    <xf numFmtId="2" fontId="139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center"/>
    </xf>
    <xf numFmtId="0" fontId="163" fillId="0" borderId="0" xfId="0" applyFont="1"/>
    <xf numFmtId="0" fontId="140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0" fillId="0" borderId="0" xfId="0" quotePrefix="1" applyFont="1" applyAlignment="1">
      <alignment horizontal="left"/>
    </xf>
    <xf numFmtId="0" fontId="141" fillId="0" borderId="0" xfId="0" quotePrefix="1" applyFont="1" applyAlignment="1">
      <alignment horizontal="left"/>
    </xf>
    <xf numFmtId="0" fontId="141" fillId="0" borderId="0" xfId="0" applyFont="1" applyAlignment="1">
      <alignment horizontal="left"/>
    </xf>
    <xf numFmtId="2" fontId="164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0" fillId="18" borderId="100" xfId="0" applyNumberFormat="1" applyFont="1" applyFill="1" applyBorder="1" applyAlignment="1" applyProtection="1">
      <alignment vertical="center" shrinkToFit="1"/>
    </xf>
    <xf numFmtId="168" fontId="160" fillId="18" borderId="132" xfId="0" applyNumberFormat="1" applyFont="1" applyFill="1" applyBorder="1" applyAlignment="1" applyProtection="1">
      <alignment vertical="center" shrinkToFit="1"/>
    </xf>
    <xf numFmtId="0" fontId="165" fillId="0" borderId="0" xfId="0" applyFont="1" applyAlignment="1">
      <alignment horizontal="center"/>
    </xf>
    <xf numFmtId="0" fontId="165" fillId="0" borderId="0" xfId="0" applyNumberFormat="1" applyFont="1" applyAlignment="1">
      <alignment horizontal="center"/>
    </xf>
    <xf numFmtId="0" fontId="165" fillId="0" borderId="0" xfId="0" applyNumberFormat="1" applyFont="1" applyAlignment="1">
      <alignment horizontal="left" indent="1"/>
    </xf>
    <xf numFmtId="2" fontId="165" fillId="0" borderId="0" xfId="0" applyNumberFormat="1" applyFont="1" applyAlignment="1">
      <alignment horizontal="right"/>
    </xf>
    <xf numFmtId="3" fontId="165" fillId="0" borderId="0" xfId="0" applyNumberFormat="1" applyFont="1" applyAlignment="1">
      <alignment horizontal="center"/>
    </xf>
    <xf numFmtId="0" fontId="115" fillId="0" borderId="0" xfId="0" applyNumberFormat="1" applyFont="1" applyAlignment="1">
      <alignment horizontal="center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7" fillId="0" borderId="150" xfId="5" applyNumberFormat="1" applyFont="1" applyBorder="1" applyAlignment="1" applyProtection="1">
      <alignment horizontal="right" vertical="center" indent="1"/>
      <protection locked="0"/>
    </xf>
    <xf numFmtId="170" fontId="167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8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0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19" fillId="14" borderId="0" xfId="4" applyNumberFormat="1" applyFont="1" applyFill="1" applyAlignment="1" applyProtection="1">
      <alignment horizontal="center" vertical="center" wrapText="1"/>
      <protection locked="0"/>
    </xf>
    <xf numFmtId="1" fontId="119" fillId="14" borderId="0" xfId="4" applyNumberFormat="1" applyFont="1" applyFill="1" applyAlignment="1" applyProtection="1">
      <alignment horizontal="center" vertical="center" wrapText="1"/>
      <protection locked="0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2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69" fillId="0" borderId="47" xfId="5" applyFont="1" applyBorder="1" applyAlignment="1">
      <alignment horizontal="left" indent="1"/>
    </xf>
    <xf numFmtId="0" fontId="169" fillId="0" borderId="16" xfId="5" applyFont="1" applyBorder="1" applyAlignment="1">
      <alignment horizontal="left" indent="1"/>
    </xf>
    <xf numFmtId="2" fontId="170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0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0" borderId="96" xfId="0" applyNumberFormat="1" applyFont="1" applyBorder="1" applyAlignment="1" applyProtection="1">
      <alignment horizontal="right" vertical="center" shrinkToFit="1"/>
      <protection locked="0"/>
    </xf>
    <xf numFmtId="168" fontId="111" fillId="0" borderId="163" xfId="0" applyNumberFormat="1" applyFont="1" applyBorder="1" applyAlignment="1" applyProtection="1">
      <alignment horizontal="right" vertical="center" shrinkToFit="1"/>
      <protection locked="0"/>
    </xf>
    <xf numFmtId="168" fontId="160" fillId="18" borderId="164" xfId="0" applyNumberFormat="1" applyFont="1" applyFill="1" applyBorder="1" applyAlignment="1" applyProtection="1">
      <alignment horizontal="right" vertical="center" shrinkToFit="1"/>
    </xf>
    <xf numFmtId="168" fontId="160" fillId="18" borderId="0" xfId="0" applyNumberFormat="1" applyFont="1" applyFill="1" applyBorder="1" applyAlignment="1" applyProtection="1">
      <alignment horizontal="right" vertical="center" shrinkToFit="1"/>
    </xf>
    <xf numFmtId="168" fontId="160" fillId="29" borderId="66" xfId="0" applyNumberFormat="1" applyFont="1" applyFill="1" applyBorder="1" applyAlignment="1" applyProtection="1">
      <alignment horizontal="centerContinuous" vertical="center"/>
    </xf>
    <xf numFmtId="3" fontId="140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0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7" fillId="0" borderId="70" xfId="0" applyFont="1" applyFill="1" applyBorder="1" applyAlignment="1" applyProtection="1">
      <alignment horizontal="left" vertical="center" indent="7"/>
      <protection locked="0"/>
    </xf>
    <xf numFmtId="2" fontId="170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3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1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1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7" fillId="18" borderId="55" xfId="0" applyFont="1" applyFill="1" applyBorder="1" applyAlignment="1" applyProtection="1">
      <alignment horizontal="left" vertical="center" indent="7"/>
    </xf>
    <xf numFmtId="1" fontId="137" fillId="18" borderId="55" xfId="0" applyNumberFormat="1" applyFont="1" applyFill="1" applyBorder="1" applyAlignment="1" applyProtection="1">
      <alignment horizontal="center" vertical="center"/>
    </xf>
    <xf numFmtId="10" fontId="137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7" fillId="18" borderId="0" xfId="0" applyFont="1" applyFill="1" applyBorder="1" applyAlignment="1" applyProtection="1">
      <alignment horizontal="left" vertical="center" indent="7"/>
    </xf>
    <xf numFmtId="1" fontId="137" fillId="18" borderId="0" xfId="0" applyNumberFormat="1" applyFont="1" applyFill="1" applyBorder="1" applyAlignment="1" applyProtection="1">
      <alignment horizontal="center" vertical="center"/>
    </xf>
    <xf numFmtId="10" fontId="137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7" fillId="18" borderId="64" xfId="0" applyFont="1" applyFill="1" applyBorder="1" applyAlignment="1" applyProtection="1">
      <alignment horizontal="left" vertical="center" indent="7"/>
    </xf>
    <xf numFmtId="1" fontId="137" fillId="18" borderId="64" xfId="0" applyNumberFormat="1" applyFont="1" applyFill="1" applyBorder="1" applyAlignment="1" applyProtection="1">
      <alignment horizontal="center" vertical="center"/>
    </xf>
    <xf numFmtId="10" fontId="137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7" fillId="18" borderId="0" xfId="0" applyNumberFormat="1" applyFont="1" applyFill="1" applyBorder="1" applyAlignment="1" applyProtection="1">
      <alignment horizontal="right" vertical="center" indent="4"/>
    </xf>
    <xf numFmtId="0" fontId="172" fillId="28" borderId="0" xfId="0" applyFont="1" applyFill="1" applyBorder="1" applyAlignment="1" applyProtection="1">
      <alignment horizontal="center" vertical="center"/>
    </xf>
    <xf numFmtId="0" fontId="137" fillId="28" borderId="0" xfId="0" applyFont="1" applyFill="1" applyBorder="1" applyAlignment="1" applyProtection="1">
      <alignment horizontal="left" vertical="center" indent="7"/>
    </xf>
    <xf numFmtId="1" fontId="137" fillId="28" borderId="0" xfId="0" applyNumberFormat="1" applyFont="1" applyFill="1" applyBorder="1" applyAlignment="1" applyProtection="1">
      <alignment horizontal="center" vertical="center"/>
    </xf>
    <xf numFmtId="10" fontId="137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2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1" fillId="0" borderId="110" xfId="0" applyNumberFormat="1" applyFont="1" applyFill="1" applyBorder="1" applyAlignment="1" applyProtection="1">
      <alignment horizontal="center" vertical="center"/>
    </xf>
    <xf numFmtId="1" fontId="171" fillId="0" borderId="134" xfId="0" applyNumberFormat="1" applyFont="1" applyFill="1" applyBorder="1" applyAlignment="1" applyProtection="1">
      <alignment horizontal="center" vertical="center"/>
    </xf>
    <xf numFmtId="1" fontId="171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7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7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7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3" fillId="31" borderId="0" xfId="0" applyFont="1" applyFill="1" applyAlignment="1" applyProtection="1">
      <alignment vertical="center"/>
    </xf>
    <xf numFmtId="0" fontId="150" fillId="31" borderId="0" xfId="0" applyFont="1" applyFill="1" applyAlignment="1" applyProtection="1">
      <alignment vertical="center"/>
    </xf>
    <xf numFmtId="0" fontId="150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0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09" fillId="24" borderId="118" xfId="0" applyFont="1" applyFill="1" applyBorder="1" applyAlignment="1" applyProtection="1">
      <alignment horizontal="left" vertical="center" indent="1"/>
    </xf>
    <xf numFmtId="166" fontId="174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09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09" fillId="18" borderId="94" xfId="0" applyFont="1" applyFill="1" applyBorder="1" applyAlignment="1" applyProtection="1">
      <alignment horizontal="left" vertical="center" indent="1"/>
    </xf>
    <xf numFmtId="166" fontId="174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09" fillId="18" borderId="143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09" fillId="18" borderId="97" xfId="0" applyFont="1" applyFill="1" applyBorder="1" applyAlignment="1" applyProtection="1">
      <alignment horizontal="left" vertical="center" indent="1"/>
    </xf>
    <xf numFmtId="166" fontId="174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09" fillId="24" borderId="111" xfId="0" applyFont="1" applyFill="1" applyBorder="1" applyAlignment="1" applyProtection="1">
      <alignment horizontal="left" vertical="center" indent="1"/>
    </xf>
    <xf numFmtId="166" fontId="174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4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09" fillId="24" borderId="68" xfId="0" applyFont="1" applyFill="1" applyBorder="1" applyAlignment="1" applyProtection="1">
      <alignment horizontal="left" vertical="center" indent="1"/>
    </xf>
    <xf numFmtId="166" fontId="174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5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5" fillId="38" borderId="31" xfId="0" applyFont="1" applyFill="1" applyBorder="1" applyAlignment="1" applyProtection="1">
      <alignment horizontal="centerContinuous" wrapText="1"/>
    </xf>
    <xf numFmtId="0" fontId="176" fillId="38" borderId="0" xfId="0" applyFont="1" applyFill="1" applyBorder="1" applyAlignment="1" applyProtection="1">
      <alignment horizontal="centerContinuous"/>
    </xf>
    <xf numFmtId="0" fontId="176" fillId="38" borderId="57" xfId="0" applyFont="1" applyFill="1" applyBorder="1" applyAlignment="1" applyProtection="1">
      <alignment horizontal="centerContinuous"/>
    </xf>
    <xf numFmtId="0" fontId="177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8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79" fillId="3" borderId="0" xfId="5" applyFont="1" applyFill="1" applyAlignment="1" applyProtection="1">
      <alignment horizontal="center" vertical="center"/>
    </xf>
    <xf numFmtId="0" fontId="179" fillId="3" borderId="0" xfId="5" applyFont="1" applyFill="1" applyAlignment="1" applyProtection="1">
      <alignment horizontal="center"/>
    </xf>
    <xf numFmtId="0" fontId="179" fillId="3" borderId="0" xfId="5" applyFont="1" applyFill="1" applyProtection="1"/>
    <xf numFmtId="0" fontId="179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3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0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4" borderId="9" xfId="0" applyNumberFormat="1" applyFont="1" applyFill="1" applyBorder="1" applyAlignment="1" applyProtection="1">
      <alignment horizontal="center" vertical="center" wrapText="1"/>
    </xf>
    <xf numFmtId="3" fontId="144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4" fillId="29" borderId="68" xfId="0" applyNumberFormat="1" applyFont="1" applyFill="1" applyBorder="1" applyAlignment="1" applyProtection="1">
      <alignment horizontal="center" vertical="center"/>
    </xf>
    <xf numFmtId="3" fontId="144" fillId="29" borderId="183" xfId="0" applyNumberFormat="1" applyFont="1" applyFill="1" applyBorder="1" applyAlignment="1" applyProtection="1">
      <alignment horizontal="center" vertical="center"/>
    </xf>
    <xf numFmtId="3" fontId="144" fillId="29" borderId="60" xfId="0" applyNumberFormat="1" applyFont="1" applyFill="1" applyBorder="1" applyAlignment="1" applyProtection="1">
      <alignment horizontal="center" vertical="center"/>
    </xf>
    <xf numFmtId="3" fontId="144" fillId="29" borderId="62" xfId="0" applyNumberFormat="1" applyFont="1" applyFill="1" applyBorder="1" applyAlignment="1" applyProtection="1">
      <alignment horizontal="center" vertical="center"/>
    </xf>
    <xf numFmtId="3" fontId="144" fillId="29" borderId="36" xfId="0" applyNumberFormat="1" applyFont="1" applyFill="1" applyBorder="1" applyAlignment="1" applyProtection="1">
      <alignment horizontal="center" vertical="center"/>
    </xf>
    <xf numFmtId="0" fontId="181" fillId="0" borderId="0" xfId="0" applyFont="1" applyAlignment="1" applyProtection="1">
      <alignment horizontal="center" vertical="center"/>
    </xf>
    <xf numFmtId="0" fontId="181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2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1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2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2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2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4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20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6" fillId="29" borderId="62" xfId="0" applyNumberFormat="1" applyFont="1" applyFill="1" applyBorder="1" applyAlignment="1" applyProtection="1">
      <alignment horizontal="center" vertical="center"/>
    </xf>
    <xf numFmtId="3" fontId="144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2" fillId="0" borderId="0" xfId="0" applyNumberFormat="1" applyFont="1" applyAlignment="1" applyProtection="1">
      <alignment horizontal="left" vertical="center" indent="1"/>
    </xf>
    <xf numFmtId="3" fontId="185" fillId="39" borderId="19" xfId="0" applyNumberFormat="1" applyFont="1" applyFill="1" applyBorder="1" applyAlignment="1" applyProtection="1">
      <alignment horizontal="center" vertical="center"/>
    </xf>
    <xf numFmtId="49" fontId="181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1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5" fillId="39" borderId="169" xfId="0" applyNumberFormat="1" applyFont="1" applyFill="1" applyBorder="1" applyAlignment="1" applyProtection="1">
      <alignment horizontal="center" vertical="center"/>
    </xf>
    <xf numFmtId="49" fontId="186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4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7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92" xfId="0" applyNumberFormat="1" applyFont="1" applyFill="1" applyBorder="1" applyAlignment="1" applyProtection="1">
      <alignment horizontal="center" vertical="center" wrapText="1"/>
    </xf>
    <xf numFmtId="3" fontId="188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6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8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6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8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59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1" fillId="29" borderId="66" xfId="0" applyNumberFormat="1" applyFont="1" applyFill="1" applyBorder="1" applyAlignment="1" applyProtection="1">
      <alignment horizontal="centerContinuous" vertical="center"/>
    </xf>
    <xf numFmtId="168" fontId="111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0" fillId="31" borderId="0" xfId="0" applyFont="1" applyFill="1" applyAlignment="1" applyProtection="1">
      <alignment horizontal="left"/>
    </xf>
    <xf numFmtId="0" fontId="150" fillId="31" borderId="0" xfId="0" applyFont="1" applyFill="1" applyAlignment="1" applyProtection="1">
      <alignment horizontal="center"/>
    </xf>
    <xf numFmtId="0" fontId="150" fillId="31" borderId="0" xfId="0" quotePrefix="1" applyFont="1" applyFill="1" applyAlignment="1" applyProtection="1">
      <alignment horizontal="center"/>
    </xf>
    <xf numFmtId="3" fontId="187" fillId="25" borderId="107" xfId="0" applyNumberFormat="1" applyFont="1" applyFill="1" applyBorder="1" applyAlignment="1" applyProtection="1">
      <alignment horizontal="center" vertical="center" wrapText="1"/>
    </xf>
    <xf numFmtId="3" fontId="144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89" fillId="18" borderId="0" xfId="0" applyNumberFormat="1" applyFont="1" applyFill="1" applyBorder="1" applyAlignment="1" applyProtection="1">
      <alignment horizontal="center" vertical="center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38" fillId="3" borderId="0" xfId="0" applyNumberFormat="1" applyFont="1" applyFill="1" applyProtection="1"/>
    <xf numFmtId="3" fontId="191" fillId="3" borderId="0" xfId="0" applyNumberFormat="1" applyFont="1" applyFill="1" applyAlignment="1" applyProtection="1">
      <alignment horizontal="center"/>
    </xf>
    <xf numFmtId="3" fontId="138" fillId="3" borderId="55" xfId="0" applyNumberFormat="1" applyFont="1" applyFill="1" applyBorder="1" applyProtection="1"/>
    <xf numFmtId="3" fontId="138" fillId="3" borderId="56" xfId="0" applyNumberFormat="1" applyFont="1" applyFill="1" applyBorder="1" applyProtection="1"/>
    <xf numFmtId="3" fontId="138" fillId="18" borderId="0" xfId="0" applyNumberFormat="1" applyFont="1" applyFill="1" applyBorder="1" applyAlignment="1" applyProtection="1">
      <alignment vertical="center"/>
    </xf>
    <xf numFmtId="0" fontId="153" fillId="3" borderId="0" xfId="0" applyFont="1" applyFill="1" applyAlignment="1" applyProtection="1">
      <alignment horizontal="center" vertical="center"/>
    </xf>
    <xf numFmtId="0" fontId="138" fillId="3" borderId="0" xfId="0" applyFont="1" applyFill="1" applyProtection="1"/>
    <xf numFmtId="3" fontId="138" fillId="18" borderId="0" xfId="0" applyNumberFormat="1" applyFont="1" applyFill="1" applyBorder="1" applyProtection="1"/>
    <xf numFmtId="3" fontId="138" fillId="3" borderId="57" xfId="0" applyNumberFormat="1" applyFont="1" applyFill="1" applyBorder="1" applyProtection="1"/>
    <xf numFmtId="3" fontId="138" fillId="18" borderId="64" xfId="0" applyNumberFormat="1" applyFont="1" applyFill="1" applyBorder="1" applyProtection="1"/>
    <xf numFmtId="3" fontId="138" fillId="3" borderId="58" xfId="0" applyNumberFormat="1" applyFont="1" applyFill="1" applyBorder="1" applyProtection="1"/>
    <xf numFmtId="49" fontId="186" fillId="18" borderId="0" xfId="0" applyNumberFormat="1" applyFont="1" applyFill="1" applyBorder="1" applyAlignment="1" applyProtection="1">
      <alignment horizontal="center" vertical="center"/>
    </xf>
    <xf numFmtId="49" fontId="191" fillId="18" borderId="0" xfId="0" applyNumberFormat="1" applyFont="1" applyFill="1" applyBorder="1" applyAlignment="1" applyProtection="1">
      <alignment horizontal="center" vertical="center"/>
    </xf>
    <xf numFmtId="3" fontId="139" fillId="18" borderId="0" xfId="0" applyNumberFormat="1" applyFont="1" applyFill="1" applyBorder="1" applyAlignment="1" applyProtection="1">
      <alignment horizontal="left" vertical="center" wrapText="1" indent="3"/>
    </xf>
    <xf numFmtId="168" fontId="192" fillId="18" borderId="0" xfId="0" applyNumberFormat="1" applyFont="1" applyFill="1" applyBorder="1" applyAlignment="1" applyProtection="1">
      <alignment vertical="center" shrinkToFit="1"/>
    </xf>
    <xf numFmtId="49" fontId="191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3"/>
    </xf>
    <xf numFmtId="168" fontId="192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0" fillId="31" borderId="0" xfId="0" applyFont="1" applyFill="1" applyAlignment="1" applyProtection="1">
      <alignment horizontal="left" vertical="center"/>
    </xf>
    <xf numFmtId="0" fontId="150" fillId="31" borderId="0" xfId="0" applyFont="1" applyFill="1" applyAlignment="1" applyProtection="1">
      <alignment horizontal="center" vertical="center"/>
    </xf>
    <xf numFmtId="0" fontId="151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4" fillId="29" borderId="29" xfId="0" applyNumberFormat="1" applyFont="1" applyFill="1" applyBorder="1" applyAlignment="1" applyProtection="1">
      <alignment horizontal="left" vertical="center" indent="1"/>
    </xf>
    <xf numFmtId="3" fontId="144" fillId="29" borderId="29" xfId="0" applyNumberFormat="1" applyFont="1" applyFill="1" applyBorder="1" applyAlignment="1" applyProtection="1">
      <alignment vertical="center"/>
    </xf>
    <xf numFmtId="3" fontId="144" fillId="29" borderId="29" xfId="0" applyNumberFormat="1" applyFont="1" applyFill="1" applyBorder="1" applyAlignment="1" applyProtection="1">
      <alignment vertical="center" wrapText="1"/>
    </xf>
    <xf numFmtId="3" fontId="144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6" fillId="29" borderId="59" xfId="0" quotePrefix="1" applyNumberFormat="1" applyFont="1" applyFill="1" applyBorder="1" applyAlignment="1" applyProtection="1">
      <alignment horizontal="center" vertical="center"/>
    </xf>
    <xf numFmtId="3" fontId="146" fillId="29" borderId="60" xfId="0" quotePrefix="1" applyNumberFormat="1" applyFont="1" applyFill="1" applyBorder="1" applyAlignment="1" applyProtection="1">
      <alignment horizontal="center" vertical="center"/>
    </xf>
    <xf numFmtId="3" fontId="146" fillId="29" borderId="61" xfId="0" quotePrefix="1" applyNumberFormat="1" applyFont="1" applyFill="1" applyBorder="1" applyAlignment="1" applyProtection="1">
      <alignment horizontal="center" vertical="center"/>
    </xf>
    <xf numFmtId="3" fontId="146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8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7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7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7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7" fillId="24" borderId="137" xfId="0" applyNumberFormat="1" applyFont="1" applyFill="1" applyBorder="1" applyAlignment="1" applyProtection="1">
      <alignment horizontal="left" vertical="center" wrapText="1" indent="3"/>
    </xf>
    <xf numFmtId="3" fontId="147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3" fillId="0" borderId="213" xfId="0" applyFont="1" applyBorder="1" applyAlignment="1" applyProtection="1">
      <alignment horizontal="left" vertical="center" indent="1"/>
    </xf>
    <xf numFmtId="0" fontId="194" fillId="0" borderId="214" xfId="0" applyFont="1" applyBorder="1" applyAlignment="1" applyProtection="1">
      <alignment horizontal="left" vertical="center" indent="4"/>
    </xf>
    <xf numFmtId="0" fontId="193" fillId="0" borderId="215" xfId="0" applyFont="1" applyBorder="1" applyAlignment="1" applyProtection="1">
      <alignment horizontal="left" vertical="center" indent="1"/>
    </xf>
    <xf numFmtId="0" fontId="194" fillId="0" borderId="216" xfId="0" applyFont="1" applyBorder="1" applyAlignment="1" applyProtection="1">
      <alignment horizontal="left" vertical="center" indent="4"/>
    </xf>
    <xf numFmtId="0" fontId="193" fillId="24" borderId="76" xfId="0" applyFont="1" applyFill="1" applyBorder="1" applyAlignment="1" applyProtection="1">
      <alignment horizontal="left" vertical="center" indent="1"/>
    </xf>
    <xf numFmtId="0" fontId="194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3" fillId="0" borderId="217" xfId="0" applyFont="1" applyBorder="1" applyAlignment="1" applyProtection="1">
      <alignment horizontal="left" vertical="center" indent="1"/>
    </xf>
    <xf numFmtId="0" fontId="194" fillId="0" borderId="218" xfId="0" applyFont="1" applyBorder="1" applyAlignment="1" applyProtection="1">
      <alignment horizontal="left" vertical="center" indent="4"/>
    </xf>
    <xf numFmtId="0" fontId="195" fillId="18" borderId="0" xfId="0" applyFont="1" applyFill="1" applyBorder="1" applyAlignment="1" applyProtection="1">
      <alignment horizontal="center" vertical="center"/>
    </xf>
    <xf numFmtId="0" fontId="147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0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4" fillId="24" borderId="29" xfId="0" applyFont="1" applyFill="1" applyBorder="1" applyAlignment="1" applyProtection="1">
      <alignment horizontal="centerContinuous" vertical="center"/>
    </xf>
    <xf numFmtId="0" fontId="144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6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4" fillId="18" borderId="0" xfId="0" applyFont="1" applyFill="1" applyBorder="1" applyAlignment="1" applyProtection="1">
      <alignment vertical="center" wrapText="1"/>
    </xf>
    <xf numFmtId="3" fontId="144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7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2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8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6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2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7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7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5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5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8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6"/>
    </xf>
    <xf numFmtId="168" fontId="138" fillId="40" borderId="0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7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2" fillId="25" borderId="132" xfId="0" applyNumberFormat="1" applyFont="1" applyFill="1" applyBorder="1" applyAlignment="1" applyProtection="1">
      <alignment horizontal="center" vertical="center" wrapText="1"/>
    </xf>
    <xf numFmtId="3" fontId="146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  <protection locked="0"/>
    </xf>
    <xf numFmtId="1" fontId="171" fillId="0" borderId="110" xfId="0" applyNumberFormat="1" applyFont="1" applyFill="1" applyBorder="1" applyAlignment="1" applyProtection="1">
      <alignment horizontal="center" vertical="center"/>
      <protection locked="0"/>
    </xf>
    <xf numFmtId="1" fontId="171" fillId="0" borderId="134" xfId="0" applyNumberFormat="1" applyFont="1" applyFill="1" applyBorder="1" applyAlignment="1" applyProtection="1">
      <alignment horizontal="center" vertical="center"/>
      <protection locked="0"/>
    </xf>
    <xf numFmtId="1" fontId="171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199" fillId="3" borderId="100" xfId="0" applyFont="1" applyFill="1" applyBorder="1" applyAlignment="1" applyProtection="1">
      <alignment horizontal="left" indent="1"/>
    </xf>
    <xf numFmtId="0" fontId="199" fillId="3" borderId="139" xfId="0" applyFont="1" applyFill="1" applyBorder="1" applyAlignment="1" applyProtection="1">
      <alignment horizontal="left" indent="1"/>
    </xf>
    <xf numFmtId="0" fontId="199" fillId="24" borderId="38" xfId="0" applyFont="1" applyFill="1" applyBorder="1" applyAlignment="1" applyProtection="1">
      <alignment horizontal="left" indent="1"/>
    </xf>
    <xf numFmtId="0" fontId="199" fillId="24" borderId="100" xfId="0" applyFont="1" applyFill="1" applyBorder="1" applyAlignment="1" applyProtection="1">
      <alignment horizontal="left" indent="1"/>
    </xf>
    <xf numFmtId="0" fontId="199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0" fillId="24" borderId="100" xfId="0" applyFont="1" applyFill="1" applyBorder="1" applyAlignment="1" applyProtection="1">
      <alignment horizontal="left" indent="1" shrinkToFit="1"/>
    </xf>
    <xf numFmtId="0" fontId="200" fillId="24" borderId="147" xfId="0" applyFont="1" applyFill="1" applyBorder="1" applyAlignment="1" applyProtection="1">
      <alignment horizontal="left" wrapText="1" indent="1" shrinkToFit="1"/>
    </xf>
    <xf numFmtId="0" fontId="201" fillId="3" borderId="128" xfId="0" applyFont="1" applyFill="1" applyBorder="1" applyAlignment="1" applyProtection="1">
      <alignment horizontal="left" indent="3" shrinkToFit="1"/>
    </xf>
    <xf numFmtId="170" fontId="125" fillId="3" borderId="143" xfId="0" applyNumberFormat="1" applyFont="1" applyFill="1" applyBorder="1" applyAlignment="1" applyProtection="1">
      <alignment horizontal="right" indent="2"/>
      <protection locked="0"/>
    </xf>
    <xf numFmtId="170" fontId="125" fillId="3" borderId="47" xfId="0" applyNumberFormat="1" applyFont="1" applyFill="1" applyBorder="1" applyAlignment="1" applyProtection="1">
      <alignment horizontal="right" indent="2"/>
      <protection locked="0"/>
    </xf>
    <xf numFmtId="170" fontId="125" fillId="3" borderId="137" xfId="0" applyNumberFormat="1" applyFont="1" applyFill="1" applyBorder="1" applyAlignment="1" applyProtection="1">
      <alignment horizontal="right" indent="2"/>
      <protection locked="0"/>
    </xf>
    <xf numFmtId="170" fontId="125" fillId="3" borderId="144" xfId="0" applyNumberFormat="1" applyFont="1" applyFill="1" applyBorder="1" applyAlignment="1" applyProtection="1">
      <alignment horizontal="right" indent="2"/>
      <protection locked="0"/>
    </xf>
    <xf numFmtId="170" fontId="125" fillId="3" borderId="142" xfId="0" applyNumberFormat="1" applyFont="1" applyFill="1" applyBorder="1" applyAlignment="1" applyProtection="1">
      <alignment horizontal="right" indent="2"/>
      <protection locked="0"/>
    </xf>
    <xf numFmtId="170" fontId="125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2" fillId="0" borderId="0" xfId="0" applyFont="1" applyAlignment="1">
      <alignment horizontal="center"/>
    </xf>
    <xf numFmtId="0" fontId="202" fillId="0" borderId="0" xfId="0" applyNumberFormat="1" applyFont="1" applyAlignment="1">
      <alignment horizontal="center"/>
    </xf>
    <xf numFmtId="0" fontId="202" fillId="0" borderId="0" xfId="0" applyNumberFormat="1" applyFont="1" applyAlignment="1">
      <alignment horizontal="left" indent="1"/>
    </xf>
    <xf numFmtId="2" fontId="202" fillId="0" borderId="0" xfId="0" applyNumberFormat="1" applyFont="1" applyAlignment="1">
      <alignment horizontal="right"/>
    </xf>
    <xf numFmtId="3" fontId="202" fillId="0" borderId="0" xfId="0" applyNumberFormat="1" applyFont="1" applyAlignment="1">
      <alignment horizontal="center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1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5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1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4" fillId="18" borderId="64" xfId="0" applyFont="1" applyFill="1" applyBorder="1" applyAlignment="1" applyProtection="1">
      <alignment vertical="center"/>
    </xf>
    <xf numFmtId="0" fontId="204" fillId="18" borderId="58" xfId="0" applyFont="1" applyFill="1" applyBorder="1" applyAlignment="1" applyProtection="1">
      <alignment vertical="center"/>
    </xf>
    <xf numFmtId="0" fontId="204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1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39" fillId="33" borderId="0" xfId="0" applyFont="1" applyFill="1" applyAlignment="1">
      <alignment horizontal="center"/>
    </xf>
    <xf numFmtId="0" fontId="205" fillId="0" borderId="0" xfId="0" applyFont="1" applyAlignment="1">
      <alignment horizontal="center"/>
    </xf>
    <xf numFmtId="0" fontId="205" fillId="0" borderId="0" xfId="0" applyNumberFormat="1" applyFont="1" applyAlignment="1">
      <alignment horizontal="center"/>
    </xf>
    <xf numFmtId="0" fontId="205" fillId="0" borderId="0" xfId="0" applyNumberFormat="1" applyFont="1" applyAlignment="1">
      <alignment horizontal="left" indent="1"/>
    </xf>
    <xf numFmtId="2" fontId="205" fillId="0" borderId="0" xfId="0" applyNumberFormat="1" applyFont="1" applyAlignment="1">
      <alignment horizontal="right"/>
    </xf>
    <xf numFmtId="0" fontId="205" fillId="33" borderId="0" xfId="0" applyFont="1" applyFill="1" applyAlignment="1">
      <alignment horizontal="center"/>
    </xf>
    <xf numFmtId="3" fontId="205" fillId="0" borderId="0" xfId="0" applyNumberFormat="1" applyFont="1" applyAlignment="1">
      <alignment horizontal="center"/>
    </xf>
    <xf numFmtId="0" fontId="206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143" xfId="0" applyNumberFormat="1" applyFont="1" applyFill="1" applyBorder="1" applyAlignment="1" applyProtection="1">
      <alignment horizontal="center" shrinkToFit="1"/>
      <protection locked="0"/>
    </xf>
    <xf numFmtId="170" fontId="125" fillId="3" borderId="92" xfId="0" applyNumberFormat="1" applyFont="1" applyFill="1" applyBorder="1" applyAlignment="1" applyProtection="1">
      <alignment horizontal="center" shrinkToFit="1"/>
      <protection locked="0"/>
    </xf>
    <xf numFmtId="170" fontId="125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59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7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4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8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7" fillId="3" borderId="100" xfId="0" applyFont="1" applyFill="1" applyBorder="1" applyAlignment="1" applyProtection="1">
      <alignment horizontal="left" indent="3" shrinkToFit="1"/>
    </xf>
    <xf numFmtId="0" fontId="127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4" fillId="0" borderId="258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/>
    </xf>
    <xf numFmtId="0" fontId="134" fillId="0" borderId="260" xfId="0" applyFont="1" applyBorder="1" applyAlignment="1">
      <alignment horizontal="center"/>
    </xf>
    <xf numFmtId="0" fontId="209" fillId="0" borderId="0" xfId="0" applyFont="1" applyAlignment="1">
      <alignment horizontal="center"/>
    </xf>
    <xf numFmtId="0" fontId="209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4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4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4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0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1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2" fillId="46" borderId="0" xfId="0" applyFont="1" applyFill="1" applyAlignment="1">
      <alignment horizontal="center"/>
    </xf>
    <xf numFmtId="0" fontId="135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4" fillId="18" borderId="9" xfId="0" quotePrefix="1" applyNumberFormat="1" applyFont="1" applyFill="1" applyBorder="1" applyAlignment="1" applyProtection="1">
      <alignment horizontal="center" vertical="center" wrapText="1"/>
    </xf>
    <xf numFmtId="3" fontId="144" fillId="18" borderId="13" xfId="0" applyNumberFormat="1" applyFont="1" applyFill="1" applyBorder="1" applyAlignment="1" applyProtection="1">
      <alignment horizontal="center" vertical="center" wrapText="1"/>
    </xf>
    <xf numFmtId="3" fontId="144" fillId="18" borderId="33" xfId="0" applyNumberFormat="1" applyFont="1" applyFill="1" applyBorder="1" applyAlignment="1" applyProtection="1">
      <alignment horizontal="center" vertical="center" wrapText="1"/>
    </xf>
    <xf numFmtId="3" fontId="144" fillId="18" borderId="9" xfId="0" applyNumberFormat="1" applyFont="1" applyFill="1" applyBorder="1" applyAlignment="1" applyProtection="1">
      <alignment horizontal="center" vertical="center" wrapText="1"/>
    </xf>
    <xf numFmtId="0" fontId="220" fillId="0" borderId="0" xfId="0" applyFont="1"/>
    <xf numFmtId="173" fontId="13" fillId="0" borderId="0" xfId="2" applyNumberFormat="1" applyFont="1"/>
    <xf numFmtId="0" fontId="220" fillId="0" borderId="301" xfId="0" applyFont="1" applyBorder="1" applyAlignment="1">
      <alignment horizontal="center"/>
    </xf>
    <xf numFmtId="0" fontId="221" fillId="0" borderId="301" xfId="0" applyFont="1" applyBorder="1" applyAlignment="1">
      <alignment horizontal="center"/>
    </xf>
    <xf numFmtId="173" fontId="220" fillId="0" borderId="301" xfId="2" applyNumberFormat="1" applyFont="1" applyBorder="1"/>
    <xf numFmtId="0" fontId="220" fillId="0" borderId="0" xfId="0" applyFont="1" applyBorder="1" applyAlignment="1">
      <alignment horizontal="center"/>
    </xf>
    <xf numFmtId="0" fontId="221" fillId="0" borderId="0" xfId="0" applyFont="1" applyBorder="1" applyAlignment="1">
      <alignment horizontal="center"/>
    </xf>
    <xf numFmtId="173" fontId="220" fillId="0" borderId="0" xfId="2" applyNumberFormat="1" applyFont="1" applyBorder="1"/>
    <xf numFmtId="0" fontId="220" fillId="0" borderId="302" xfId="0" applyFont="1" applyBorder="1" applyAlignment="1">
      <alignment horizontal="center"/>
    </xf>
    <xf numFmtId="0" fontId="221" fillId="0" borderId="302" xfId="0" applyFont="1" applyBorder="1" applyAlignment="1">
      <alignment horizontal="center"/>
    </xf>
    <xf numFmtId="173" fontId="220" fillId="0" borderId="302" xfId="2" applyNumberFormat="1" applyFont="1" applyBorder="1"/>
    <xf numFmtId="175" fontId="13" fillId="0" borderId="0" xfId="2" applyNumberFormat="1" applyFont="1" applyAlignment="1">
      <alignment horizontal="right"/>
    </xf>
    <xf numFmtId="175" fontId="220" fillId="0" borderId="301" xfId="2" applyNumberFormat="1" applyFont="1" applyBorder="1"/>
    <xf numFmtId="175" fontId="220" fillId="0" borderId="0" xfId="2" applyNumberFormat="1" applyFont="1" applyBorder="1"/>
    <xf numFmtId="175" fontId="220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143" xfId="0" applyNumberFormat="1" applyFont="1" applyFill="1" applyBorder="1" applyAlignment="1" applyProtection="1">
      <alignment horizontal="center"/>
      <protection locked="0"/>
    </xf>
    <xf numFmtId="170" fontId="125" fillId="3" borderId="97" xfId="0" applyNumberFormat="1" applyFont="1" applyFill="1" applyBorder="1" applyAlignment="1" applyProtection="1">
      <alignment horizontal="center"/>
      <protection locked="0"/>
    </xf>
    <xf numFmtId="170" fontId="125" fillId="3" borderId="144" xfId="0" applyNumberFormat="1" applyFont="1" applyFill="1" applyBorder="1" applyAlignment="1" applyProtection="1">
      <alignment horizontal="center"/>
      <protection locked="0"/>
    </xf>
    <xf numFmtId="3" fontId="145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4" fillId="18" borderId="0" xfId="0" applyNumberFormat="1" applyFont="1" applyFill="1" applyBorder="1" applyAlignment="1" applyProtection="1">
      <alignment vertical="center" wrapText="1"/>
    </xf>
    <xf numFmtId="168" fontId="144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4" fillId="0" borderId="258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2" fillId="0" borderId="132" xfId="0" applyFont="1" applyBorder="1" applyAlignment="1">
      <alignment horizontal="center" vertical="center"/>
    </xf>
    <xf numFmtId="0" fontId="223" fillId="34" borderId="130" xfId="0" applyFont="1" applyFill="1" applyBorder="1" applyAlignment="1">
      <alignment horizontal="center" vertical="center"/>
    </xf>
    <xf numFmtId="0" fontId="225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5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6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169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59" fillId="29" borderId="221" xfId="0" applyFont="1" applyFill="1" applyBorder="1" applyAlignment="1" applyProtection="1">
      <alignment horizontal="center" vertical="center" wrapText="1"/>
    </xf>
    <xf numFmtId="171" fontId="231" fillId="18" borderId="303" xfId="0" applyNumberFormat="1" applyFont="1" applyFill="1" applyBorder="1" applyAlignment="1" applyProtection="1">
      <alignment horizontal="right" vertical="center" indent="2" shrinkToFit="1"/>
    </xf>
    <xf numFmtId="0" fontId="159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2" fillId="49" borderId="233" xfId="1" applyFont="1" applyFill="1" applyBorder="1" applyAlignment="1" applyProtection="1">
      <alignment horizontal="left" vertical="center" wrapText="1" indent="2"/>
    </xf>
    <xf numFmtId="0" fontId="233" fillId="50" borderId="130" xfId="0" applyFont="1" applyFill="1" applyBorder="1" applyAlignment="1" applyProtection="1">
      <alignment horizontal="left" vertical="center" wrapText="1" indent="2"/>
    </xf>
    <xf numFmtId="0" fontId="235" fillId="52" borderId="0" xfId="0" applyFont="1" applyFill="1" applyAlignment="1" applyProtection="1">
      <alignment horizontal="centerContinuous" vertical="center"/>
    </xf>
    <xf numFmtId="0" fontId="105" fillId="3" borderId="0" xfId="1" applyFont="1" applyFill="1" applyAlignment="1" applyProtection="1">
      <alignment horizontal="centerContinuous"/>
    </xf>
    <xf numFmtId="0" fontId="236" fillId="3" borderId="0" xfId="0" applyFont="1" applyFill="1" applyAlignment="1" applyProtection="1">
      <alignment horizontal="centerContinuous"/>
    </xf>
    <xf numFmtId="0" fontId="237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4" fillId="0" borderId="262" xfId="0" applyFont="1" applyBorder="1" applyAlignment="1">
      <alignment horizontal="left" vertical="center" wrapText="1" indent="1"/>
    </xf>
    <xf numFmtId="0" fontId="222" fillId="0" borderId="32" xfId="0" applyFont="1" applyBorder="1" applyAlignment="1">
      <alignment horizontal="center" vertical="center"/>
    </xf>
    <xf numFmtId="14" fontId="239" fillId="0" borderId="259" xfId="0" applyNumberFormat="1" applyFont="1" applyBorder="1" applyAlignment="1">
      <alignment horizontal="center" vertical="center"/>
    </xf>
    <xf numFmtId="0" fontId="239" fillId="0" borderId="57" xfId="0" applyFont="1" applyBorder="1" applyAlignment="1">
      <alignment horizontal="left" vertical="center" wrapText="1" indent="1"/>
    </xf>
    <xf numFmtId="0" fontId="162" fillId="53" borderId="0" xfId="0" applyFont="1" applyFill="1" applyAlignment="1">
      <alignment horizontal="center"/>
    </xf>
    <xf numFmtId="0" fontId="162" fillId="53" borderId="0" xfId="0" applyNumberFormat="1" applyFont="1" applyFill="1" applyAlignment="1">
      <alignment horizontal="center"/>
    </xf>
    <xf numFmtId="0" fontId="162" fillId="53" borderId="0" xfId="0" applyNumberFormat="1" applyFont="1" applyFill="1" applyAlignment="1">
      <alignment horizontal="left" indent="1"/>
    </xf>
    <xf numFmtId="2" fontId="162" fillId="53" borderId="0" xfId="0" applyNumberFormat="1" applyFont="1" applyFill="1" applyAlignment="1">
      <alignment horizontal="right"/>
    </xf>
    <xf numFmtId="3" fontId="162" fillId="53" borderId="0" xfId="0" applyNumberFormat="1" applyFont="1" applyFill="1" applyAlignment="1">
      <alignment horizontal="center"/>
    </xf>
    <xf numFmtId="0" fontId="162" fillId="33" borderId="0" xfId="0" applyFont="1" applyFill="1" applyAlignment="1">
      <alignment horizontal="center"/>
    </xf>
    <xf numFmtId="0" fontId="162" fillId="33" borderId="0" xfId="0" applyNumberFormat="1" applyFont="1" applyFill="1" applyAlignment="1">
      <alignment horizontal="center"/>
    </xf>
    <xf numFmtId="0" fontId="162" fillId="33" borderId="0" xfId="0" applyNumberFormat="1" applyFont="1" applyFill="1" applyAlignment="1">
      <alignment horizontal="left" indent="1"/>
    </xf>
    <xf numFmtId="2" fontId="162" fillId="33" borderId="0" xfId="0" applyNumberFormat="1" applyFont="1" applyFill="1" applyAlignment="1">
      <alignment horizontal="right"/>
    </xf>
    <xf numFmtId="3" fontId="162" fillId="33" borderId="0" xfId="0" applyNumberFormat="1" applyFont="1" applyFill="1" applyAlignment="1">
      <alignment horizontal="center"/>
    </xf>
    <xf numFmtId="0" fontId="241" fillId="0" borderId="132" xfId="0" applyFont="1" applyBorder="1" applyAlignment="1">
      <alignment horizontal="center" vertical="center"/>
    </xf>
    <xf numFmtId="0" fontId="146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0" fillId="0" borderId="0" xfId="0" quotePrefix="1" applyFont="1" applyAlignment="1">
      <alignment horizontal="center"/>
    </xf>
    <xf numFmtId="170" fontId="243" fillId="0" borderId="47" xfId="5" applyNumberFormat="1" applyFont="1" applyBorder="1" applyAlignment="1" applyProtection="1">
      <alignment horizontal="right" vertical="center" indent="1"/>
      <protection locked="0"/>
    </xf>
    <xf numFmtId="170" fontId="243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3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3" fillId="0" borderId="47" xfId="5" applyNumberFormat="1" applyFont="1" applyBorder="1" applyAlignment="1" applyProtection="1">
      <alignment horizontal="right" vertical="center" indent="1"/>
    </xf>
    <xf numFmtId="170" fontId="243" fillId="0" borderId="150" xfId="5" applyNumberFormat="1" applyFont="1" applyBorder="1" applyAlignment="1" applyProtection="1">
      <alignment horizontal="right" vertical="center" indent="1"/>
      <protection locked="0"/>
    </xf>
    <xf numFmtId="0" fontId="244" fillId="34" borderId="31" xfId="0" applyFont="1" applyFill="1" applyBorder="1" applyAlignment="1" applyProtection="1">
      <alignment horizontal="centerContinuous" wrapText="1"/>
    </xf>
    <xf numFmtId="0" fontId="84" fillId="34" borderId="31" xfId="0" applyFont="1" applyFill="1" applyBorder="1" applyAlignment="1" applyProtection="1">
      <alignment horizontal="centerContinuous" vertical="top" wrapText="1"/>
    </xf>
    <xf numFmtId="0" fontId="13" fillId="0" borderId="0" xfId="0" applyFont="1" applyAlignment="1">
      <alignment vertical="center"/>
    </xf>
    <xf numFmtId="0" fontId="224" fillId="34" borderId="53" xfId="0" applyFont="1" applyFill="1" applyBorder="1" applyAlignment="1">
      <alignment horizontal="center"/>
    </xf>
    <xf numFmtId="0" fontId="224" fillId="34" borderId="56" xfId="0" applyFont="1" applyFill="1" applyBorder="1" applyAlignment="1">
      <alignment horizontal="center"/>
    </xf>
    <xf numFmtId="0" fontId="224" fillId="34" borderId="54" xfId="0" applyFont="1" applyFill="1" applyBorder="1" applyAlignment="1">
      <alignment horizontal="center"/>
    </xf>
    <xf numFmtId="0" fontId="224" fillId="34" borderId="58" xfId="0" applyFont="1" applyFill="1" applyBorder="1" applyAlignment="1">
      <alignment horizontal="center"/>
    </xf>
    <xf numFmtId="0" fontId="227" fillId="38" borderId="69" xfId="0" applyFont="1" applyFill="1" applyBorder="1" applyAlignment="1" applyProtection="1">
      <alignment horizontal="center" vertical="center" wrapText="1"/>
    </xf>
    <xf numFmtId="0" fontId="228" fillId="38" borderId="66" xfId="0" applyFont="1" applyFill="1" applyBorder="1" applyAlignment="1" applyProtection="1">
      <alignment horizontal="center" vertical="center"/>
    </xf>
    <xf numFmtId="0" fontId="228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227" fillId="38" borderId="31" xfId="1" applyFont="1" applyFill="1" applyBorder="1" applyAlignment="1" applyProtection="1">
      <alignment horizontal="center" vertical="center"/>
    </xf>
    <xf numFmtId="0" fontId="227" fillId="38" borderId="0" xfId="1" applyFont="1" applyFill="1" applyBorder="1" applyAlignment="1" applyProtection="1">
      <alignment horizontal="center" vertical="center"/>
    </xf>
    <xf numFmtId="0" fontId="227" fillId="38" borderId="57" xfId="1" applyFont="1" applyFill="1" applyBorder="1" applyAlignment="1" applyProtection="1">
      <alignment horizontal="center" vertical="center"/>
    </xf>
    <xf numFmtId="0" fontId="229" fillId="30" borderId="54" xfId="0" applyFont="1" applyFill="1" applyBorder="1" applyAlignment="1" applyProtection="1">
      <alignment horizontal="center" vertical="center" wrapText="1"/>
    </xf>
    <xf numFmtId="0" fontId="229" fillId="30" borderId="64" xfId="0" applyFont="1" applyFill="1" applyBorder="1" applyAlignment="1" applyProtection="1">
      <alignment horizontal="center" vertical="center" wrapText="1"/>
    </xf>
    <xf numFmtId="0" fontId="229" fillId="30" borderId="58" xfId="0" applyFont="1" applyFill="1" applyBorder="1" applyAlignment="1" applyProtection="1">
      <alignment horizontal="center" vertical="center" wrapText="1"/>
    </xf>
    <xf numFmtId="0" fontId="106" fillId="38" borderId="267" xfId="0" applyFont="1" applyFill="1" applyBorder="1" applyAlignment="1" applyProtection="1">
      <alignment horizontal="center" wrapText="1"/>
    </xf>
    <xf numFmtId="0" fontId="213" fillId="38" borderId="41" xfId="0" applyFont="1" applyFill="1" applyBorder="1" applyAlignment="1" applyProtection="1">
      <alignment horizontal="center" wrapText="1"/>
    </xf>
    <xf numFmtId="0" fontId="213" fillId="38" borderId="15" xfId="0" applyFont="1" applyFill="1" applyBorder="1" applyAlignment="1" applyProtection="1">
      <alignment horizontal="center" wrapTex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6" fillId="25" borderId="282" xfId="1" applyFont="1" applyFill="1" applyBorder="1" applyAlignment="1" applyProtection="1">
      <alignment horizontal="center" vertical="center" wrapText="1"/>
    </xf>
    <xf numFmtId="0" fontId="146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4" fillId="25" borderId="256" xfId="0" applyFont="1" applyFill="1" applyBorder="1" applyAlignment="1" applyProtection="1">
      <alignment horizontal="center" vertical="center" wrapText="1"/>
    </xf>
    <xf numFmtId="0" fontId="144" fillId="25" borderId="92" xfId="0" applyFont="1" applyFill="1" applyBorder="1" applyAlignment="1" applyProtection="1">
      <alignment horizontal="center" vertical="center" wrapText="1"/>
    </xf>
    <xf numFmtId="0" fontId="144" fillId="25" borderId="55" xfId="0" applyFont="1" applyFill="1" applyBorder="1" applyAlignment="1" applyProtection="1">
      <alignment horizontal="center" vertical="center"/>
    </xf>
    <xf numFmtId="0" fontId="144" fillId="25" borderId="64" xfId="0" applyFont="1" applyFill="1" applyBorder="1" applyAlignment="1" applyProtection="1">
      <alignment horizontal="center" vertical="center"/>
    </xf>
    <xf numFmtId="0" fontId="144" fillId="25" borderId="280" xfId="0" applyFont="1" applyFill="1" applyBorder="1" applyAlignment="1" applyProtection="1">
      <alignment horizontal="center" vertical="center" wrapText="1"/>
    </xf>
    <xf numFmtId="0" fontId="144" fillId="25" borderId="28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4" fillId="25" borderId="283" xfId="0" applyFont="1" applyFill="1" applyBorder="1" applyAlignment="1" applyProtection="1">
      <alignment horizontal="center" vertical="center" wrapText="1"/>
    </xf>
    <xf numFmtId="0" fontId="144" fillId="25" borderId="93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0" fontId="144" fillId="25" borderId="282" xfId="0" applyFont="1" applyFill="1" applyBorder="1" applyAlignment="1" applyProtection="1">
      <alignment horizontal="center" vertical="center" wrapText="1"/>
    </xf>
    <xf numFmtId="0" fontId="144" fillId="25" borderId="191" xfId="0" applyFont="1" applyFill="1" applyBorder="1" applyAlignment="1" applyProtection="1">
      <alignment horizontal="center" vertical="center" wrapText="1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29" fillId="47" borderId="69" xfId="0" applyFont="1" applyFill="1" applyBorder="1" applyAlignment="1">
      <alignment horizontal="center"/>
    </xf>
    <xf numFmtId="0" fontId="129" fillId="47" borderId="66" xfId="0" applyFont="1" applyFill="1" applyBorder="1" applyAlignment="1">
      <alignment horizontal="center"/>
    </xf>
    <xf numFmtId="0" fontId="129" fillId="47" borderId="107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4" fillId="25" borderId="256" xfId="0" quotePrefix="1" applyNumberFormat="1" applyFont="1" applyFill="1" applyBorder="1" applyAlignment="1" applyProtection="1">
      <alignment horizontal="center" vertical="center" wrapText="1"/>
    </xf>
    <xf numFmtId="3" fontId="144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18" borderId="220" xfId="0" applyNumberFormat="1" applyFont="1" applyFill="1" applyBorder="1" applyAlignment="1" applyProtection="1">
      <alignment horizontal="center" vertical="center" wrapText="1"/>
    </xf>
    <xf numFmtId="3" fontId="144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3" fontId="187" fillId="29" borderId="69" xfId="0" applyNumberFormat="1" applyFont="1" applyFill="1" applyBorder="1" applyAlignment="1" applyProtection="1">
      <alignment horizontal="center" vertical="center"/>
    </xf>
    <xf numFmtId="3" fontId="187" fillId="29" borderId="66" xfId="0" applyNumberFormat="1" applyFont="1" applyFill="1" applyBorder="1" applyAlignment="1" applyProtection="1">
      <alignment horizontal="center" vertical="center"/>
    </xf>
    <xf numFmtId="3" fontId="187" fillId="29" borderId="107" xfId="0" applyNumberFormat="1" applyFont="1" applyFill="1" applyBorder="1" applyAlignment="1" applyProtection="1">
      <alignment horizontal="center" vertical="center"/>
    </xf>
    <xf numFmtId="3" fontId="238" fillId="52" borderId="0" xfId="0" applyNumberFormat="1" applyFont="1" applyFill="1" applyAlignment="1" applyProtection="1">
      <alignment horizontal="center" vertical="center"/>
    </xf>
    <xf numFmtId="3" fontId="144" fillId="24" borderId="280" xfId="0" quotePrefix="1" applyNumberFormat="1" applyFont="1" applyFill="1" applyBorder="1" applyAlignment="1" applyProtection="1">
      <alignment horizontal="center" vertical="center" wrapText="1"/>
    </xf>
    <xf numFmtId="3" fontId="144" fillId="24" borderId="13" xfId="0" quotePrefix="1" applyNumberFormat="1" applyFont="1" applyFill="1" applyBorder="1" applyAlignment="1" applyProtection="1">
      <alignment horizontal="center" vertical="center" wrapText="1"/>
    </xf>
    <xf numFmtId="3" fontId="144" fillId="18" borderId="69" xfId="0" applyNumberFormat="1" applyFont="1" applyFill="1" applyBorder="1" applyAlignment="1" applyProtection="1">
      <alignment horizontal="center" vertical="center" wrapText="1"/>
    </xf>
    <xf numFmtId="3" fontId="144" fillId="18" borderId="107" xfId="0" applyNumberFormat="1" applyFont="1" applyFill="1" applyBorder="1" applyAlignment="1" applyProtection="1">
      <alignment horizontal="center" vertical="center" wrapText="1"/>
    </xf>
    <xf numFmtId="3" fontId="144" fillId="25" borderId="282" xfId="0" applyNumberFormat="1" applyFont="1" applyFill="1" applyBorder="1" applyAlignment="1" applyProtection="1">
      <alignment horizontal="center" vertical="center" wrapText="1"/>
    </xf>
    <xf numFmtId="3" fontId="144" fillId="25" borderId="109" xfId="0" applyNumberFormat="1" applyFont="1" applyFill="1" applyBorder="1" applyAlignment="1" applyProtection="1">
      <alignment horizontal="center" vertical="center" wrapText="1"/>
    </xf>
    <xf numFmtId="0" fontId="124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4" fillId="25" borderId="94" xfId="0" quotePrefix="1" applyNumberFormat="1" applyFont="1" applyFill="1" applyBorder="1" applyAlignment="1" applyProtection="1">
      <alignment horizontal="center" vertical="center" wrapText="1"/>
    </xf>
    <xf numFmtId="3" fontId="144" fillId="18" borderId="285" xfId="0" applyNumberFormat="1" applyFont="1" applyFill="1" applyBorder="1" applyAlignment="1" applyProtection="1">
      <alignment horizontal="center" vertical="center" wrapText="1"/>
    </xf>
    <xf numFmtId="3" fontId="144" fillId="18" borderId="119" xfId="0" quotePrefix="1" applyNumberFormat="1" applyFont="1" applyFill="1" applyBorder="1" applyAlignment="1" applyProtection="1">
      <alignment horizontal="center" vertical="center" wrapText="1"/>
    </xf>
    <xf numFmtId="3" fontId="144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6" fillId="25" borderId="94" xfId="0" quotePrefix="1" applyNumberFormat="1" applyFont="1" applyFill="1" applyBorder="1" applyAlignment="1" applyProtection="1">
      <alignment horizontal="center" vertical="center" wrapText="1"/>
    </xf>
    <xf numFmtId="3" fontId="146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24" borderId="0" xfId="0" quotePrefix="1" applyNumberFormat="1" applyFont="1" applyFill="1" applyBorder="1" applyAlignment="1" applyProtection="1">
      <alignment horizontal="center" vertical="center" wrapText="1"/>
    </xf>
    <xf numFmtId="3" fontId="144" fillId="24" borderId="8" xfId="0" quotePrefix="1" applyNumberFormat="1" applyFont="1" applyFill="1" applyBorder="1" applyAlignment="1" applyProtection="1">
      <alignment horizontal="center" vertical="center" wrapText="1"/>
    </xf>
    <xf numFmtId="3" fontId="146" fillId="25" borderId="135" xfId="0" applyNumberFormat="1" applyFont="1" applyFill="1" applyBorder="1" applyAlignment="1" applyProtection="1">
      <alignment horizontal="center" vertical="center" wrapText="1"/>
    </xf>
    <xf numFmtId="3" fontId="146" fillId="25" borderId="109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 applyProtection="1">
      <alignment horizontal="center" vertical="center" wrapText="1"/>
    </xf>
    <xf numFmtId="3" fontId="146" fillId="18" borderId="108" xfId="0" applyNumberFormat="1" applyFont="1" applyFill="1" applyBorder="1" applyAlignment="1" applyProtection="1">
      <alignment horizontal="center" vertical="center" wrapText="1"/>
    </xf>
    <xf numFmtId="0" fontId="214" fillId="25" borderId="53" xfId="0" applyFont="1" applyFill="1" applyBorder="1" applyAlignment="1" applyProtection="1">
      <alignment horizontal="left" vertical="center" wrapText="1" indent="6"/>
    </xf>
    <xf numFmtId="0" fontId="214" fillId="25" borderId="55" xfId="0" applyFont="1" applyFill="1" applyBorder="1" applyAlignment="1" applyProtection="1">
      <alignment horizontal="left" vertical="center" indent="6"/>
    </xf>
    <xf numFmtId="0" fontId="214" fillId="25" borderId="31" xfId="0" applyFont="1" applyFill="1" applyBorder="1" applyAlignment="1" applyProtection="1">
      <alignment horizontal="left" vertical="center" indent="6"/>
    </xf>
    <xf numFmtId="0" fontId="214" fillId="25" borderId="0" xfId="0" applyFont="1" applyFill="1" applyBorder="1" applyAlignment="1" applyProtection="1">
      <alignment horizontal="left" vertical="center" indent="6"/>
    </xf>
    <xf numFmtId="0" fontId="214" fillId="25" borderId="54" xfId="0" applyFont="1" applyFill="1" applyBorder="1" applyAlignment="1" applyProtection="1">
      <alignment horizontal="left" vertical="center" indent="6"/>
    </xf>
    <xf numFmtId="0" fontId="214" fillId="25" borderId="64" xfId="0" applyFont="1" applyFill="1" applyBorder="1" applyAlignment="1" applyProtection="1">
      <alignment horizontal="left" vertical="center" indent="6"/>
    </xf>
    <xf numFmtId="3" fontId="144" fillId="25" borderId="38" xfId="0" applyNumberFormat="1" applyFont="1" applyFill="1" applyBorder="1" applyAlignment="1" applyProtection="1">
      <alignment horizontal="center" vertical="center" wrapText="1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>
      <alignment horizontal="center" vertical="center" wrapText="1"/>
    </xf>
    <xf numFmtId="3" fontId="146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4" fillId="25" borderId="53" xfId="0" applyFont="1" applyFill="1" applyBorder="1" applyAlignment="1">
      <alignment horizontal="left" vertical="center" wrapText="1" indent="6"/>
    </xf>
    <xf numFmtId="0" fontId="214" fillId="25" borderId="55" xfId="0" applyFont="1" applyFill="1" applyBorder="1" applyAlignment="1">
      <alignment horizontal="left" vertical="center" indent="6"/>
    </xf>
    <xf numFmtId="0" fontId="214" fillId="25" borderId="31" xfId="0" applyFont="1" applyFill="1" applyBorder="1" applyAlignment="1">
      <alignment horizontal="left" vertical="center" indent="6"/>
    </xf>
    <xf numFmtId="0" fontId="214" fillId="25" borderId="0" xfId="0" applyFont="1" applyFill="1" applyBorder="1" applyAlignment="1">
      <alignment horizontal="left" vertical="center" indent="6"/>
    </xf>
    <xf numFmtId="0" fontId="214" fillId="25" borderId="54" xfId="0" applyFont="1" applyFill="1" applyBorder="1" applyAlignment="1">
      <alignment horizontal="left" vertical="center" indent="6"/>
    </xf>
    <xf numFmtId="0" fontId="214" fillId="25" borderId="64" xfId="0" applyFont="1" applyFill="1" applyBorder="1" applyAlignment="1">
      <alignment horizontal="left" vertical="center" indent="6"/>
    </xf>
    <xf numFmtId="3" fontId="144" fillId="25" borderId="38" xfId="0" applyNumberFormat="1" applyFont="1" applyFill="1" applyBorder="1" applyAlignment="1">
      <alignment horizontal="center" vertical="center" wrapText="1"/>
    </xf>
    <xf numFmtId="3" fontId="144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170" fontId="125" fillId="3" borderId="101" xfId="0" applyNumberFormat="1" applyFont="1" applyFill="1" applyBorder="1" applyAlignment="1" applyProtection="1">
      <alignment horizontal="center"/>
      <protection locked="0"/>
    </xf>
    <xf numFmtId="170" fontId="125" fillId="3" borderId="28" xfId="0" applyNumberFormat="1" applyFont="1" applyFill="1" applyBorder="1" applyAlignment="1" applyProtection="1">
      <alignment horizontal="center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51" xfId="0" applyNumberFormat="1" applyFont="1" applyFill="1" applyBorder="1" applyAlignment="1" applyProtection="1">
      <alignment horizontal="center"/>
      <protection locked="0"/>
    </xf>
    <xf numFmtId="170" fontId="125" fillId="3" borderId="16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0" fontId="242" fillId="25" borderId="55" xfId="0" applyFont="1" applyFill="1" applyBorder="1" applyAlignment="1" applyProtection="1">
      <alignment horizontal="center" vertical="center" wrapText="1"/>
    </xf>
    <xf numFmtId="0" fontId="242" fillId="25" borderId="56" xfId="0" applyFont="1" applyFill="1" applyBorder="1" applyAlignment="1" applyProtection="1">
      <alignment horizontal="center" vertical="center" wrapText="1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5" fillId="3" borderId="248" xfId="0" applyNumberFormat="1" applyFont="1" applyFill="1" applyBorder="1" applyAlignment="1" applyProtection="1">
      <alignment horizontal="center" shrinkToFit="1"/>
      <protection locked="0"/>
    </xf>
    <xf numFmtId="170" fontId="125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125" fillId="3" borderId="151" xfId="0" applyNumberFormat="1" applyFont="1" applyFill="1" applyBorder="1" applyAlignment="1" applyProtection="1">
      <alignment horizontal="center" shrinkToFit="1"/>
      <protection locked="0"/>
    </xf>
    <xf numFmtId="170" fontId="125" fillId="3" borderId="47" xfId="0" applyNumberFormat="1" applyFont="1" applyFill="1" applyBorder="1" applyAlignment="1" applyProtection="1">
      <alignment horizontal="center" shrinkToFit="1"/>
      <protection locked="0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5" fillId="3" borderId="248" xfId="0" applyNumberFormat="1" applyFont="1" applyFill="1" applyBorder="1" applyAlignment="1" applyProtection="1">
      <alignment horizontal="center"/>
      <protection locked="0"/>
    </xf>
    <xf numFmtId="170" fontId="125" fillId="3" borderId="37" xfId="0" applyNumberFormat="1" applyFont="1" applyFill="1" applyBorder="1" applyAlignment="1" applyProtection="1">
      <alignment horizontal="center"/>
      <protection locked="0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286" xfId="0" applyNumberFormat="1" applyFont="1" applyFill="1" applyBorder="1" applyAlignment="1" applyProtection="1">
      <alignment horizontal="center" shrinkToFit="1"/>
      <protection locked="0"/>
    </xf>
    <xf numFmtId="170" fontId="125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215" fillId="25" borderId="119" xfId="0" applyFont="1" applyFill="1" applyBorder="1" applyAlignment="1" applyProtection="1">
      <alignment horizontal="center" vertical="center" wrapText="1"/>
    </xf>
    <xf numFmtId="0" fontId="215" fillId="25" borderId="113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91" xfId="0" applyNumberFormat="1" applyFont="1" applyFill="1" applyBorder="1" applyAlignment="1" applyProtection="1">
      <alignment horizontal="center"/>
      <protection locked="0"/>
    </xf>
    <xf numFmtId="170" fontId="70" fillId="24" borderId="4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/>
      <protection locked="0"/>
    </xf>
    <xf numFmtId="170" fontId="125" fillId="3" borderId="289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5" fillId="3" borderId="47" xfId="0" applyNumberFormat="1" applyFont="1" applyFill="1" applyBorder="1" applyAlignment="1" applyProtection="1">
      <alignment horizontal="center"/>
      <protection locked="0"/>
    </xf>
    <xf numFmtId="0" fontId="215" fillId="25" borderId="118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5" fillId="25" borderId="118" xfId="0" applyFont="1" applyFill="1" applyBorder="1" applyAlignment="1" applyProtection="1">
      <alignment horizontal="center" vertical="center"/>
    </xf>
    <xf numFmtId="0" fontId="215" fillId="25" borderId="285" xfId="0" applyFont="1" applyFill="1" applyBorder="1" applyAlignment="1" applyProtection="1">
      <alignment horizontal="center" vertical="center"/>
    </xf>
    <xf numFmtId="0" fontId="215" fillId="25" borderId="123" xfId="0" applyFont="1" applyFill="1" applyBorder="1" applyAlignment="1" applyProtection="1">
      <alignment horizontal="center" vertical="center" wrapText="1"/>
    </xf>
    <xf numFmtId="0" fontId="215" fillId="25" borderId="104" xfId="0" applyFont="1" applyFill="1" applyBorder="1" applyAlignment="1" applyProtection="1">
      <alignment horizontal="center" vertical="center" wrapText="1"/>
    </xf>
    <xf numFmtId="0" fontId="215" fillId="25" borderId="126" xfId="0" applyFont="1" applyFill="1" applyBorder="1" applyAlignment="1" applyProtection="1">
      <alignment horizontal="center" vertical="center" wrapText="1"/>
    </xf>
    <xf numFmtId="0" fontId="215" fillId="25" borderId="106" xfId="0" applyFont="1" applyFill="1" applyBorder="1" applyAlignment="1" applyProtection="1">
      <alignment horizontal="center" vertical="center" wrapText="1"/>
    </xf>
    <xf numFmtId="0" fontId="215" fillId="25" borderId="105" xfId="0" applyFont="1" applyFill="1" applyBorder="1" applyAlignment="1" applyProtection="1">
      <alignment horizontal="center" vertical="center" wrapText="1"/>
    </xf>
    <xf numFmtId="170" fontId="125" fillId="3" borderId="142" xfId="0" applyNumberFormat="1" applyFont="1" applyFill="1" applyBorder="1" applyAlignment="1" applyProtection="1">
      <alignment horizontal="center"/>
      <protection locked="0"/>
    </xf>
    <xf numFmtId="170" fontId="125" fillId="3" borderId="286" xfId="0" applyNumberFormat="1" applyFont="1" applyFill="1" applyBorder="1" applyAlignment="1" applyProtection="1">
      <alignment horizontal="center"/>
      <protection locked="0"/>
    </xf>
    <xf numFmtId="0" fontId="144" fillId="25" borderId="294" xfId="0" applyFont="1" applyFill="1" applyBorder="1" applyAlignment="1" applyProtection="1">
      <alignment horizontal="center" vertical="center"/>
    </xf>
    <xf numFmtId="0" fontId="144" fillId="25" borderId="136" xfId="0" applyFont="1" applyFill="1" applyBorder="1" applyAlignment="1" applyProtection="1">
      <alignment horizontal="center" vertical="center"/>
    </xf>
    <xf numFmtId="0" fontId="144" fillId="25" borderId="295" xfId="0" applyFont="1" applyFill="1" applyBorder="1" applyAlignment="1" applyProtection="1">
      <alignment horizontal="center" vertical="center"/>
    </xf>
    <xf numFmtId="0" fontId="144" fillId="25" borderId="296" xfId="0" applyFont="1" applyFill="1" applyBorder="1" applyAlignment="1" applyProtection="1">
      <alignment horizontal="center" vertical="center"/>
    </xf>
    <xf numFmtId="3" fontId="237" fillId="52" borderId="0" xfId="0" applyNumberFormat="1" applyFont="1" applyFill="1" applyAlignment="1" applyProtection="1">
      <alignment horizontal="center" vertical="center" wrapText="1"/>
    </xf>
    <xf numFmtId="3" fontId="237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6" fillId="48" borderId="263" xfId="0" applyNumberFormat="1" applyFont="1" applyFill="1" applyBorder="1" applyAlignment="1" applyProtection="1">
      <alignment horizontal="center" vertical="center" shrinkToFit="1"/>
    </xf>
    <xf numFmtId="168" fontId="216" fillId="48" borderId="2" xfId="0" applyNumberFormat="1" applyFont="1" applyFill="1" applyBorder="1" applyAlignment="1" applyProtection="1">
      <alignment horizontal="center" vertical="center" shrinkToFit="1"/>
    </xf>
    <xf numFmtId="168" fontId="216" fillId="48" borderId="35" xfId="0" applyNumberFormat="1" applyFont="1" applyFill="1" applyBorder="1" applyAlignment="1" applyProtection="1">
      <alignment horizontal="center" vertical="center" shrinkToFit="1"/>
    </xf>
    <xf numFmtId="168" fontId="216" fillId="48" borderId="31" xfId="0" applyNumberFormat="1" applyFont="1" applyFill="1" applyBorder="1" applyAlignment="1" applyProtection="1">
      <alignment horizontal="center" vertical="center" shrinkToFit="1"/>
    </xf>
    <xf numFmtId="168" fontId="216" fillId="48" borderId="0" xfId="0" applyNumberFormat="1" applyFont="1" applyFill="1" applyBorder="1" applyAlignment="1" applyProtection="1">
      <alignment horizontal="center" vertical="center" shrinkToFit="1"/>
    </xf>
    <xf numFmtId="168" fontId="216" fillId="48" borderId="57" xfId="0" applyNumberFormat="1" applyFont="1" applyFill="1" applyBorder="1" applyAlignment="1" applyProtection="1">
      <alignment horizontal="center" vertical="center" shrinkToFit="1"/>
    </xf>
    <xf numFmtId="168" fontId="216" fillId="48" borderId="54" xfId="0" applyNumberFormat="1" applyFont="1" applyFill="1" applyBorder="1" applyAlignment="1" applyProtection="1">
      <alignment horizontal="center" vertical="center" shrinkToFit="1"/>
    </xf>
    <xf numFmtId="168" fontId="216" fillId="48" borderId="64" xfId="0" applyNumberFormat="1" applyFont="1" applyFill="1" applyBorder="1" applyAlignment="1" applyProtection="1">
      <alignment horizontal="center" vertical="center" shrinkToFit="1"/>
    </xf>
    <xf numFmtId="168" fontId="216" fillId="48" borderId="58" xfId="0" applyNumberFormat="1" applyFont="1" applyFill="1" applyBorder="1" applyAlignment="1" applyProtection="1">
      <alignment horizontal="center" vertical="center" shrinkToFit="1"/>
    </xf>
    <xf numFmtId="0" fontId="217" fillId="25" borderId="29" xfId="0" applyFont="1" applyFill="1" applyBorder="1" applyAlignment="1" applyProtection="1">
      <alignment horizontal="center" vertical="center" wrapText="1"/>
    </xf>
    <xf numFmtId="0" fontId="218" fillId="29" borderId="297" xfId="0" applyFont="1" applyFill="1" applyBorder="1" applyAlignment="1" applyProtection="1">
      <alignment horizontal="center" vertical="center" wrapText="1"/>
    </xf>
    <xf numFmtId="0" fontId="219" fillId="29" borderId="298" xfId="0" applyFont="1" applyFill="1" applyBorder="1" applyAlignment="1" applyProtection="1">
      <alignment horizontal="center" vertical="center" wrapText="1"/>
    </xf>
    <xf numFmtId="0" fontId="219" fillId="29" borderId="299" xfId="0" applyFont="1" applyFill="1" applyBorder="1" applyAlignment="1" applyProtection="1">
      <alignment horizontal="center" vertical="center" wrapText="1"/>
    </xf>
    <xf numFmtId="0" fontId="217" fillId="25" borderId="232" xfId="0" applyFont="1" applyFill="1" applyBorder="1" applyAlignment="1" applyProtection="1">
      <alignment horizontal="center" vertical="center" wrapText="1"/>
    </xf>
    <xf numFmtId="0" fontId="217" fillId="25" borderId="8" xfId="0" applyFont="1" applyFill="1" applyBorder="1" applyAlignment="1" applyProtection="1">
      <alignment horizontal="center" vertical="center" wrapText="1"/>
    </xf>
    <xf numFmtId="0" fontId="217" fillId="25" borderId="33" xfId="0" applyFont="1" applyFill="1" applyBorder="1" applyAlignment="1" applyProtection="1">
      <alignment horizontal="center" vertical="center" wrapText="1"/>
    </xf>
    <xf numFmtId="3" fontId="144" fillId="30" borderId="263" xfId="0" applyNumberFormat="1" applyFont="1" applyFill="1" applyBorder="1" applyAlignment="1" applyProtection="1">
      <alignment horizontal="center" vertical="center" wrapText="1"/>
    </xf>
    <xf numFmtId="3" fontId="144" fillId="30" borderId="35" xfId="0" applyNumberFormat="1" applyFont="1" applyFill="1" applyBorder="1" applyAlignment="1" applyProtection="1">
      <alignment horizontal="center" vertical="center" wrapText="1"/>
    </xf>
    <xf numFmtId="0" fontId="217" fillId="18" borderId="300" xfId="0" applyFont="1" applyFill="1" applyBorder="1" applyAlignment="1" applyProtection="1">
      <alignment horizontal="center" vertical="center" wrapText="1"/>
    </xf>
    <xf numFmtId="0" fontId="217" fillId="18" borderId="32" xfId="0" applyFont="1" applyFill="1" applyBorder="1" applyAlignment="1" applyProtection="1">
      <alignment horizontal="center" vertical="center" wrapText="1"/>
    </xf>
    <xf numFmtId="0" fontId="144" fillId="30" borderId="124" xfId="0" applyFont="1" applyFill="1" applyBorder="1" applyAlignment="1" applyProtection="1">
      <alignment horizontal="center" vertical="center"/>
    </xf>
    <xf numFmtId="0" fontId="144" fillId="30" borderId="34" xfId="0" applyFont="1" applyFill="1" applyBorder="1" applyAlignment="1" applyProtection="1">
      <alignment horizontal="center" vertical="center"/>
    </xf>
    <xf numFmtId="0" fontId="144" fillId="30" borderId="133" xfId="0" applyFont="1" applyFill="1" applyBorder="1" applyAlignment="1" applyProtection="1">
      <alignment horizontal="center" vertical="center" wrapText="1"/>
    </xf>
    <xf numFmtId="0" fontId="144" fillId="30" borderId="132" xfId="0" applyFont="1" applyFill="1" applyBorder="1" applyAlignment="1" applyProtection="1">
      <alignment horizontal="center" vertical="center" wrapText="1"/>
    </xf>
    <xf numFmtId="0" fontId="113" fillId="18" borderId="38" xfId="0" applyFont="1" applyFill="1" applyBorder="1" applyAlignment="1" applyProtection="1">
      <alignment horizontal="center" vertical="center" wrapText="1"/>
    </xf>
    <xf numFmtId="0" fontId="113" fillId="18" borderId="32" xfId="0" applyFont="1" applyFill="1" applyBorder="1" applyAlignment="1" applyProtection="1">
      <alignment horizontal="center" vertical="center" wrapText="1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6" fillId="30" borderId="263" xfId="0" applyNumberFormat="1" applyFont="1" applyFill="1" applyBorder="1" applyAlignment="1" applyProtection="1">
      <alignment horizontal="center" vertical="center" wrapText="1"/>
    </xf>
    <xf numFmtId="3" fontId="146" fillId="30" borderId="34" xfId="0" applyNumberFormat="1" applyFont="1" applyFill="1" applyBorder="1" applyAlignment="1" applyProtection="1">
      <alignment horizontal="center" vertical="center" wrapText="1"/>
    </xf>
    <xf numFmtId="0" fontId="146" fillId="30" borderId="124" xfId="0" applyFont="1" applyFill="1" applyBorder="1" applyAlignment="1" applyProtection="1">
      <alignment horizontal="center" vertical="center"/>
    </xf>
    <xf numFmtId="0" fontId="146" fillId="30" borderId="34" xfId="0" applyFont="1" applyFill="1" applyBorder="1" applyAlignment="1" applyProtection="1">
      <alignment horizontal="center" vertical="center"/>
    </xf>
    <xf numFmtId="0" fontId="146" fillId="30" borderId="133" xfId="0" applyFont="1" applyFill="1" applyBorder="1" applyAlignment="1" applyProtection="1">
      <alignment horizontal="center" vertical="center" wrapText="1"/>
    </xf>
    <xf numFmtId="0" fontId="146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7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4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8.emf"/><Relationship Id="rId7" Type="http://schemas.openxmlformats.org/officeDocument/2006/relationships/image" Target="../media/image4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10" Type="http://schemas.openxmlformats.org/officeDocument/2006/relationships/image" Target="../media/image1.emf"/><Relationship Id="rId4" Type="http://schemas.openxmlformats.org/officeDocument/2006/relationships/image" Target="../media/image7.emf"/><Relationship Id="rId9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emf"/><Relationship Id="rId18" Type="http://schemas.openxmlformats.org/officeDocument/2006/relationships/image" Target="../media/image62.emf"/><Relationship Id="rId26" Type="http://schemas.openxmlformats.org/officeDocument/2006/relationships/image" Target="../media/image70.emf"/><Relationship Id="rId39" Type="http://schemas.openxmlformats.org/officeDocument/2006/relationships/image" Target="../media/image83.emf"/><Relationship Id="rId21" Type="http://schemas.openxmlformats.org/officeDocument/2006/relationships/image" Target="../media/image65.emf"/><Relationship Id="rId34" Type="http://schemas.openxmlformats.org/officeDocument/2006/relationships/image" Target="../media/image78.emf"/><Relationship Id="rId42" Type="http://schemas.openxmlformats.org/officeDocument/2006/relationships/image" Target="../media/image86.emf"/><Relationship Id="rId47" Type="http://schemas.openxmlformats.org/officeDocument/2006/relationships/image" Target="../media/image91.emf"/><Relationship Id="rId50" Type="http://schemas.openxmlformats.org/officeDocument/2006/relationships/image" Target="../media/image94.emf"/><Relationship Id="rId55" Type="http://schemas.openxmlformats.org/officeDocument/2006/relationships/image" Target="../media/image99.emf"/><Relationship Id="rId63" Type="http://schemas.openxmlformats.org/officeDocument/2006/relationships/image" Target="../media/image107.emf"/><Relationship Id="rId68" Type="http://schemas.openxmlformats.org/officeDocument/2006/relationships/image" Target="../media/image112.emf"/><Relationship Id="rId76" Type="http://schemas.openxmlformats.org/officeDocument/2006/relationships/image" Target="../media/image120.emf"/><Relationship Id="rId7" Type="http://schemas.openxmlformats.org/officeDocument/2006/relationships/image" Target="../media/image51.emf"/><Relationship Id="rId71" Type="http://schemas.openxmlformats.org/officeDocument/2006/relationships/image" Target="../media/image115.emf"/><Relationship Id="rId2" Type="http://schemas.openxmlformats.org/officeDocument/2006/relationships/image" Target="../media/image46.emf"/><Relationship Id="rId16" Type="http://schemas.openxmlformats.org/officeDocument/2006/relationships/image" Target="../media/image60.emf"/><Relationship Id="rId29" Type="http://schemas.openxmlformats.org/officeDocument/2006/relationships/image" Target="../media/image73.emf"/><Relationship Id="rId11" Type="http://schemas.openxmlformats.org/officeDocument/2006/relationships/image" Target="../media/image55.emf"/><Relationship Id="rId24" Type="http://schemas.openxmlformats.org/officeDocument/2006/relationships/image" Target="../media/image68.emf"/><Relationship Id="rId32" Type="http://schemas.openxmlformats.org/officeDocument/2006/relationships/image" Target="../media/image76.emf"/><Relationship Id="rId37" Type="http://schemas.openxmlformats.org/officeDocument/2006/relationships/image" Target="../media/image81.emf"/><Relationship Id="rId40" Type="http://schemas.openxmlformats.org/officeDocument/2006/relationships/image" Target="../media/image84.emf"/><Relationship Id="rId45" Type="http://schemas.openxmlformats.org/officeDocument/2006/relationships/image" Target="../media/image89.emf"/><Relationship Id="rId53" Type="http://schemas.openxmlformats.org/officeDocument/2006/relationships/image" Target="../media/image97.emf"/><Relationship Id="rId58" Type="http://schemas.openxmlformats.org/officeDocument/2006/relationships/image" Target="../media/image102.emf"/><Relationship Id="rId66" Type="http://schemas.openxmlformats.org/officeDocument/2006/relationships/image" Target="../media/image110.emf"/><Relationship Id="rId74" Type="http://schemas.openxmlformats.org/officeDocument/2006/relationships/image" Target="../media/image118.emf"/><Relationship Id="rId79" Type="http://schemas.openxmlformats.org/officeDocument/2006/relationships/image" Target="../media/image123.emf"/><Relationship Id="rId5" Type="http://schemas.openxmlformats.org/officeDocument/2006/relationships/image" Target="../media/image49.emf"/><Relationship Id="rId61" Type="http://schemas.openxmlformats.org/officeDocument/2006/relationships/image" Target="../media/image105.emf"/><Relationship Id="rId10" Type="http://schemas.openxmlformats.org/officeDocument/2006/relationships/image" Target="../media/image54.emf"/><Relationship Id="rId19" Type="http://schemas.openxmlformats.org/officeDocument/2006/relationships/image" Target="../media/image63.emf"/><Relationship Id="rId31" Type="http://schemas.openxmlformats.org/officeDocument/2006/relationships/image" Target="../media/image75.emf"/><Relationship Id="rId44" Type="http://schemas.openxmlformats.org/officeDocument/2006/relationships/image" Target="../media/image88.emf"/><Relationship Id="rId52" Type="http://schemas.openxmlformats.org/officeDocument/2006/relationships/image" Target="../media/image96.emf"/><Relationship Id="rId60" Type="http://schemas.openxmlformats.org/officeDocument/2006/relationships/image" Target="../media/image104.emf"/><Relationship Id="rId65" Type="http://schemas.openxmlformats.org/officeDocument/2006/relationships/image" Target="../media/image109.emf"/><Relationship Id="rId73" Type="http://schemas.openxmlformats.org/officeDocument/2006/relationships/image" Target="../media/image117.emf"/><Relationship Id="rId78" Type="http://schemas.openxmlformats.org/officeDocument/2006/relationships/image" Target="../media/image122.emf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4" Type="http://schemas.openxmlformats.org/officeDocument/2006/relationships/image" Target="../media/image58.emf"/><Relationship Id="rId22" Type="http://schemas.openxmlformats.org/officeDocument/2006/relationships/image" Target="../media/image66.emf"/><Relationship Id="rId27" Type="http://schemas.openxmlformats.org/officeDocument/2006/relationships/image" Target="../media/image71.emf"/><Relationship Id="rId30" Type="http://schemas.openxmlformats.org/officeDocument/2006/relationships/image" Target="../media/image74.emf"/><Relationship Id="rId35" Type="http://schemas.openxmlformats.org/officeDocument/2006/relationships/image" Target="../media/image79.emf"/><Relationship Id="rId43" Type="http://schemas.openxmlformats.org/officeDocument/2006/relationships/image" Target="../media/image87.emf"/><Relationship Id="rId48" Type="http://schemas.openxmlformats.org/officeDocument/2006/relationships/image" Target="../media/image92.emf"/><Relationship Id="rId56" Type="http://schemas.openxmlformats.org/officeDocument/2006/relationships/image" Target="../media/image100.emf"/><Relationship Id="rId64" Type="http://schemas.openxmlformats.org/officeDocument/2006/relationships/image" Target="../media/image108.emf"/><Relationship Id="rId69" Type="http://schemas.openxmlformats.org/officeDocument/2006/relationships/image" Target="../media/image113.emf"/><Relationship Id="rId77" Type="http://schemas.openxmlformats.org/officeDocument/2006/relationships/image" Target="../media/image121.emf"/><Relationship Id="rId8" Type="http://schemas.openxmlformats.org/officeDocument/2006/relationships/image" Target="../media/image52.emf"/><Relationship Id="rId51" Type="http://schemas.openxmlformats.org/officeDocument/2006/relationships/image" Target="../media/image95.emf"/><Relationship Id="rId72" Type="http://schemas.openxmlformats.org/officeDocument/2006/relationships/image" Target="../media/image116.emf"/><Relationship Id="rId80" Type="http://schemas.openxmlformats.org/officeDocument/2006/relationships/image" Target="../media/image124.emf"/><Relationship Id="rId3" Type="http://schemas.openxmlformats.org/officeDocument/2006/relationships/image" Target="../media/image47.emf"/><Relationship Id="rId12" Type="http://schemas.openxmlformats.org/officeDocument/2006/relationships/image" Target="../media/image56.emf"/><Relationship Id="rId17" Type="http://schemas.openxmlformats.org/officeDocument/2006/relationships/image" Target="../media/image61.emf"/><Relationship Id="rId25" Type="http://schemas.openxmlformats.org/officeDocument/2006/relationships/image" Target="../media/image69.emf"/><Relationship Id="rId33" Type="http://schemas.openxmlformats.org/officeDocument/2006/relationships/image" Target="../media/image77.emf"/><Relationship Id="rId38" Type="http://schemas.openxmlformats.org/officeDocument/2006/relationships/image" Target="../media/image82.emf"/><Relationship Id="rId46" Type="http://schemas.openxmlformats.org/officeDocument/2006/relationships/image" Target="../media/image90.emf"/><Relationship Id="rId59" Type="http://schemas.openxmlformats.org/officeDocument/2006/relationships/image" Target="../media/image103.emf"/><Relationship Id="rId67" Type="http://schemas.openxmlformats.org/officeDocument/2006/relationships/image" Target="../media/image111.emf"/><Relationship Id="rId20" Type="http://schemas.openxmlformats.org/officeDocument/2006/relationships/image" Target="../media/image64.emf"/><Relationship Id="rId41" Type="http://schemas.openxmlformats.org/officeDocument/2006/relationships/image" Target="../media/image85.emf"/><Relationship Id="rId54" Type="http://schemas.openxmlformats.org/officeDocument/2006/relationships/image" Target="../media/image98.emf"/><Relationship Id="rId62" Type="http://schemas.openxmlformats.org/officeDocument/2006/relationships/image" Target="../media/image106.emf"/><Relationship Id="rId70" Type="http://schemas.openxmlformats.org/officeDocument/2006/relationships/image" Target="../media/image114.emf"/><Relationship Id="rId75" Type="http://schemas.openxmlformats.org/officeDocument/2006/relationships/image" Target="../media/image119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15" Type="http://schemas.openxmlformats.org/officeDocument/2006/relationships/image" Target="../media/image59.emf"/><Relationship Id="rId23" Type="http://schemas.openxmlformats.org/officeDocument/2006/relationships/image" Target="../media/image67.emf"/><Relationship Id="rId28" Type="http://schemas.openxmlformats.org/officeDocument/2006/relationships/image" Target="../media/image72.emf"/><Relationship Id="rId36" Type="http://schemas.openxmlformats.org/officeDocument/2006/relationships/image" Target="../media/image80.emf"/><Relationship Id="rId49" Type="http://schemas.openxmlformats.org/officeDocument/2006/relationships/image" Target="../media/image93.emf"/><Relationship Id="rId57" Type="http://schemas.openxmlformats.org/officeDocument/2006/relationships/image" Target="../media/image101.emf"/></Relationships>
</file>

<file path=xl/drawings/_rels/vmlDrawing1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26" Type="http://schemas.openxmlformats.org/officeDocument/2006/relationships/image" Target="../media/image150.emf"/><Relationship Id="rId39" Type="http://schemas.openxmlformats.org/officeDocument/2006/relationships/image" Target="../media/image163.emf"/><Relationship Id="rId21" Type="http://schemas.openxmlformats.org/officeDocument/2006/relationships/image" Target="../media/image145.emf"/><Relationship Id="rId34" Type="http://schemas.openxmlformats.org/officeDocument/2006/relationships/image" Target="../media/image158.emf"/><Relationship Id="rId42" Type="http://schemas.openxmlformats.org/officeDocument/2006/relationships/image" Target="../media/image166.emf"/><Relationship Id="rId47" Type="http://schemas.openxmlformats.org/officeDocument/2006/relationships/image" Target="../media/image171.emf"/><Relationship Id="rId50" Type="http://schemas.openxmlformats.org/officeDocument/2006/relationships/image" Target="../media/image174.emf"/><Relationship Id="rId55" Type="http://schemas.openxmlformats.org/officeDocument/2006/relationships/image" Target="../media/image179.emf"/><Relationship Id="rId63" Type="http://schemas.openxmlformats.org/officeDocument/2006/relationships/image" Target="../media/image187.emf"/><Relationship Id="rId68" Type="http://schemas.openxmlformats.org/officeDocument/2006/relationships/image" Target="../media/image192.emf"/><Relationship Id="rId76" Type="http://schemas.openxmlformats.org/officeDocument/2006/relationships/image" Target="../media/image200.emf"/><Relationship Id="rId7" Type="http://schemas.openxmlformats.org/officeDocument/2006/relationships/image" Target="../media/image131.emf"/><Relationship Id="rId71" Type="http://schemas.openxmlformats.org/officeDocument/2006/relationships/image" Target="../media/image195.emf"/><Relationship Id="rId2" Type="http://schemas.openxmlformats.org/officeDocument/2006/relationships/image" Target="../media/image126.emf"/><Relationship Id="rId16" Type="http://schemas.openxmlformats.org/officeDocument/2006/relationships/image" Target="../media/image140.emf"/><Relationship Id="rId29" Type="http://schemas.openxmlformats.org/officeDocument/2006/relationships/image" Target="../media/image153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45" Type="http://schemas.openxmlformats.org/officeDocument/2006/relationships/image" Target="../media/image169.emf"/><Relationship Id="rId53" Type="http://schemas.openxmlformats.org/officeDocument/2006/relationships/image" Target="../media/image177.emf"/><Relationship Id="rId58" Type="http://schemas.openxmlformats.org/officeDocument/2006/relationships/image" Target="../media/image182.emf"/><Relationship Id="rId66" Type="http://schemas.openxmlformats.org/officeDocument/2006/relationships/image" Target="../media/image190.emf"/><Relationship Id="rId74" Type="http://schemas.openxmlformats.org/officeDocument/2006/relationships/image" Target="../media/image198.emf"/><Relationship Id="rId79" Type="http://schemas.openxmlformats.org/officeDocument/2006/relationships/image" Target="../media/image203.emf"/><Relationship Id="rId5" Type="http://schemas.openxmlformats.org/officeDocument/2006/relationships/image" Target="../media/image129.emf"/><Relationship Id="rId61" Type="http://schemas.openxmlformats.org/officeDocument/2006/relationships/image" Target="../media/image185.emf"/><Relationship Id="rId10" Type="http://schemas.openxmlformats.org/officeDocument/2006/relationships/image" Target="../media/image134.emf"/><Relationship Id="rId19" Type="http://schemas.openxmlformats.org/officeDocument/2006/relationships/image" Target="../media/image143.emf"/><Relationship Id="rId31" Type="http://schemas.openxmlformats.org/officeDocument/2006/relationships/image" Target="../media/image155.emf"/><Relationship Id="rId44" Type="http://schemas.openxmlformats.org/officeDocument/2006/relationships/image" Target="../media/image168.emf"/><Relationship Id="rId52" Type="http://schemas.openxmlformats.org/officeDocument/2006/relationships/image" Target="../media/image176.emf"/><Relationship Id="rId60" Type="http://schemas.openxmlformats.org/officeDocument/2006/relationships/image" Target="../media/image184.emf"/><Relationship Id="rId65" Type="http://schemas.openxmlformats.org/officeDocument/2006/relationships/image" Target="../media/image189.emf"/><Relationship Id="rId73" Type="http://schemas.openxmlformats.org/officeDocument/2006/relationships/image" Target="../media/image197.emf"/><Relationship Id="rId78" Type="http://schemas.openxmlformats.org/officeDocument/2006/relationships/image" Target="../media/image202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43" Type="http://schemas.openxmlformats.org/officeDocument/2006/relationships/image" Target="../media/image167.emf"/><Relationship Id="rId48" Type="http://schemas.openxmlformats.org/officeDocument/2006/relationships/image" Target="../media/image172.emf"/><Relationship Id="rId56" Type="http://schemas.openxmlformats.org/officeDocument/2006/relationships/image" Target="../media/image180.emf"/><Relationship Id="rId64" Type="http://schemas.openxmlformats.org/officeDocument/2006/relationships/image" Target="../media/image188.emf"/><Relationship Id="rId69" Type="http://schemas.openxmlformats.org/officeDocument/2006/relationships/image" Target="../media/image193.emf"/><Relationship Id="rId77" Type="http://schemas.openxmlformats.org/officeDocument/2006/relationships/image" Target="../media/image201.emf"/><Relationship Id="rId8" Type="http://schemas.openxmlformats.org/officeDocument/2006/relationships/image" Target="../media/image132.emf"/><Relationship Id="rId51" Type="http://schemas.openxmlformats.org/officeDocument/2006/relationships/image" Target="../media/image175.emf"/><Relationship Id="rId72" Type="http://schemas.openxmlformats.org/officeDocument/2006/relationships/image" Target="../media/image196.emf"/><Relationship Id="rId80" Type="http://schemas.openxmlformats.org/officeDocument/2006/relationships/image" Target="../media/image204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Relationship Id="rId46" Type="http://schemas.openxmlformats.org/officeDocument/2006/relationships/image" Target="../media/image170.emf"/><Relationship Id="rId59" Type="http://schemas.openxmlformats.org/officeDocument/2006/relationships/image" Target="../media/image183.emf"/><Relationship Id="rId67" Type="http://schemas.openxmlformats.org/officeDocument/2006/relationships/image" Target="../media/image191.emf"/><Relationship Id="rId20" Type="http://schemas.openxmlformats.org/officeDocument/2006/relationships/image" Target="../media/image144.emf"/><Relationship Id="rId41" Type="http://schemas.openxmlformats.org/officeDocument/2006/relationships/image" Target="../media/image165.emf"/><Relationship Id="rId54" Type="http://schemas.openxmlformats.org/officeDocument/2006/relationships/image" Target="../media/image178.emf"/><Relationship Id="rId62" Type="http://schemas.openxmlformats.org/officeDocument/2006/relationships/image" Target="../media/image186.emf"/><Relationship Id="rId70" Type="http://schemas.openxmlformats.org/officeDocument/2006/relationships/image" Target="../media/image194.emf"/><Relationship Id="rId75" Type="http://schemas.openxmlformats.org/officeDocument/2006/relationships/image" Target="../media/image199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49" Type="http://schemas.openxmlformats.org/officeDocument/2006/relationships/image" Target="../media/image173.emf"/><Relationship Id="rId57" Type="http://schemas.openxmlformats.org/officeDocument/2006/relationships/image" Target="../media/image181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18" Type="http://schemas.openxmlformats.org/officeDocument/2006/relationships/image" Target="../media/image28.emf"/><Relationship Id="rId26" Type="http://schemas.openxmlformats.org/officeDocument/2006/relationships/image" Target="../media/image36.emf"/><Relationship Id="rId3" Type="http://schemas.openxmlformats.org/officeDocument/2006/relationships/image" Target="../media/image13.emf"/><Relationship Id="rId21" Type="http://schemas.openxmlformats.org/officeDocument/2006/relationships/image" Target="../media/image31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25" Type="http://schemas.openxmlformats.org/officeDocument/2006/relationships/image" Target="../media/image35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20" Type="http://schemas.openxmlformats.org/officeDocument/2006/relationships/image" Target="../media/image30.emf"/><Relationship Id="rId29" Type="http://schemas.openxmlformats.org/officeDocument/2006/relationships/image" Target="../media/image39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24" Type="http://schemas.openxmlformats.org/officeDocument/2006/relationships/image" Target="../media/image34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10" Type="http://schemas.openxmlformats.org/officeDocument/2006/relationships/image" Target="../media/image20.emf"/><Relationship Id="rId19" Type="http://schemas.openxmlformats.org/officeDocument/2006/relationships/image" Target="../media/image29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30" Type="http://schemas.openxmlformats.org/officeDocument/2006/relationships/image" Target="../media/image4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3.emf"/><Relationship Id="rId1" Type="http://schemas.openxmlformats.org/officeDocument/2006/relationships/image" Target="../media/image44.emf"/><Relationship Id="rId4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11 de mayo de 2020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6.xml"/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47" Type="http://schemas.openxmlformats.org/officeDocument/2006/relationships/image" Target="../media/image66.emf"/><Relationship Id="rId63" Type="http://schemas.openxmlformats.org/officeDocument/2006/relationships/image" Target="../media/image74.emf"/><Relationship Id="rId68" Type="http://schemas.openxmlformats.org/officeDocument/2006/relationships/control" Target="../activeX/activeX77.xml"/><Relationship Id="rId84" Type="http://schemas.openxmlformats.org/officeDocument/2006/relationships/control" Target="../activeX/activeX85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38" Type="http://schemas.openxmlformats.org/officeDocument/2006/relationships/control" Target="../activeX/activeX112.xml"/><Relationship Id="rId154" Type="http://schemas.openxmlformats.org/officeDocument/2006/relationships/control" Target="../activeX/activeX120.xml"/><Relationship Id="rId159" Type="http://schemas.openxmlformats.org/officeDocument/2006/relationships/image" Target="../media/image122.emf"/><Relationship Id="rId16" Type="http://schemas.openxmlformats.org/officeDocument/2006/relationships/control" Target="../activeX/activeX51.xml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37" Type="http://schemas.openxmlformats.org/officeDocument/2006/relationships/image" Target="../media/image61.emf"/><Relationship Id="rId53" Type="http://schemas.openxmlformats.org/officeDocument/2006/relationships/image" Target="../media/image69.emf"/><Relationship Id="rId58" Type="http://schemas.openxmlformats.org/officeDocument/2006/relationships/control" Target="../activeX/activeX72.xml"/><Relationship Id="rId74" Type="http://schemas.openxmlformats.org/officeDocument/2006/relationships/control" Target="../activeX/activeX80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28" Type="http://schemas.openxmlformats.org/officeDocument/2006/relationships/control" Target="../activeX/activeX107.xml"/><Relationship Id="rId144" Type="http://schemas.openxmlformats.org/officeDocument/2006/relationships/control" Target="../activeX/activeX115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0" Type="http://schemas.openxmlformats.org/officeDocument/2006/relationships/control" Target="../activeX/activeX88.xml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27" Type="http://schemas.openxmlformats.org/officeDocument/2006/relationships/image" Target="../media/image56.emf"/><Relationship Id="rId43" Type="http://schemas.openxmlformats.org/officeDocument/2006/relationships/image" Target="../media/image64.emf"/><Relationship Id="rId48" Type="http://schemas.openxmlformats.org/officeDocument/2006/relationships/control" Target="../activeX/activeX67.xml"/><Relationship Id="rId64" Type="http://schemas.openxmlformats.org/officeDocument/2006/relationships/control" Target="../activeX/activeX75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18" Type="http://schemas.openxmlformats.org/officeDocument/2006/relationships/control" Target="../activeX/activeX102.xml"/><Relationship Id="rId134" Type="http://schemas.openxmlformats.org/officeDocument/2006/relationships/control" Target="../activeX/activeX110.xml"/><Relationship Id="rId139" Type="http://schemas.openxmlformats.org/officeDocument/2006/relationships/image" Target="../media/image112.emf"/><Relationship Id="rId80" Type="http://schemas.openxmlformats.org/officeDocument/2006/relationships/control" Target="../activeX/activeX83.xml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55" Type="http://schemas.openxmlformats.org/officeDocument/2006/relationships/image" Target="../media/image120.emf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46.xml"/><Relationship Id="rId15" Type="http://schemas.openxmlformats.org/officeDocument/2006/relationships/image" Target="../media/image50.emf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36" Type="http://schemas.openxmlformats.org/officeDocument/2006/relationships/control" Target="../activeX/activeX61.xml"/><Relationship Id="rId49" Type="http://schemas.openxmlformats.org/officeDocument/2006/relationships/image" Target="../media/image67.emf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44" Type="http://schemas.openxmlformats.org/officeDocument/2006/relationships/control" Target="../activeX/activeX65.xml"/><Relationship Id="rId52" Type="http://schemas.openxmlformats.org/officeDocument/2006/relationships/control" Target="../activeX/activeX69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36.xml"/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47" Type="http://schemas.openxmlformats.org/officeDocument/2006/relationships/image" Target="../media/image146.emf"/><Relationship Id="rId63" Type="http://schemas.openxmlformats.org/officeDocument/2006/relationships/image" Target="../media/image154.emf"/><Relationship Id="rId68" Type="http://schemas.openxmlformats.org/officeDocument/2006/relationships/control" Target="../activeX/activeX157.xml"/><Relationship Id="rId84" Type="http://schemas.openxmlformats.org/officeDocument/2006/relationships/control" Target="../activeX/activeX165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38" Type="http://schemas.openxmlformats.org/officeDocument/2006/relationships/control" Target="../activeX/activeX192.xml"/><Relationship Id="rId154" Type="http://schemas.openxmlformats.org/officeDocument/2006/relationships/control" Target="../activeX/activeX200.xml"/><Relationship Id="rId159" Type="http://schemas.openxmlformats.org/officeDocument/2006/relationships/image" Target="../media/image202.emf"/><Relationship Id="rId16" Type="http://schemas.openxmlformats.org/officeDocument/2006/relationships/control" Target="../activeX/activeX131.xml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37" Type="http://schemas.openxmlformats.org/officeDocument/2006/relationships/image" Target="../media/image141.emf"/><Relationship Id="rId53" Type="http://schemas.openxmlformats.org/officeDocument/2006/relationships/image" Target="../media/image149.emf"/><Relationship Id="rId58" Type="http://schemas.openxmlformats.org/officeDocument/2006/relationships/control" Target="../activeX/activeX152.xml"/><Relationship Id="rId74" Type="http://schemas.openxmlformats.org/officeDocument/2006/relationships/control" Target="../activeX/activeX160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28" Type="http://schemas.openxmlformats.org/officeDocument/2006/relationships/control" Target="../activeX/activeX187.xml"/><Relationship Id="rId144" Type="http://schemas.openxmlformats.org/officeDocument/2006/relationships/control" Target="../activeX/activeX195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0" Type="http://schemas.openxmlformats.org/officeDocument/2006/relationships/control" Target="../activeX/activeX168.xml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27" Type="http://schemas.openxmlformats.org/officeDocument/2006/relationships/image" Target="../media/image136.emf"/><Relationship Id="rId43" Type="http://schemas.openxmlformats.org/officeDocument/2006/relationships/image" Target="../media/image144.emf"/><Relationship Id="rId48" Type="http://schemas.openxmlformats.org/officeDocument/2006/relationships/control" Target="../activeX/activeX147.xml"/><Relationship Id="rId64" Type="http://schemas.openxmlformats.org/officeDocument/2006/relationships/control" Target="../activeX/activeX155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18" Type="http://schemas.openxmlformats.org/officeDocument/2006/relationships/control" Target="../activeX/activeX182.xml"/><Relationship Id="rId134" Type="http://schemas.openxmlformats.org/officeDocument/2006/relationships/control" Target="../activeX/activeX190.xml"/><Relationship Id="rId139" Type="http://schemas.openxmlformats.org/officeDocument/2006/relationships/image" Target="../media/image192.emf"/><Relationship Id="rId80" Type="http://schemas.openxmlformats.org/officeDocument/2006/relationships/control" Target="../activeX/activeX163.xml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55" Type="http://schemas.openxmlformats.org/officeDocument/2006/relationships/image" Target="../media/image200.emf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26.xml"/><Relationship Id="rId15" Type="http://schemas.openxmlformats.org/officeDocument/2006/relationships/image" Target="../media/image130.emf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36" Type="http://schemas.openxmlformats.org/officeDocument/2006/relationships/control" Target="../activeX/activeX141.xml"/><Relationship Id="rId49" Type="http://schemas.openxmlformats.org/officeDocument/2006/relationships/image" Target="../media/image147.emf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44" Type="http://schemas.openxmlformats.org/officeDocument/2006/relationships/control" Target="../activeX/activeX145.xml"/><Relationship Id="rId52" Type="http://schemas.openxmlformats.org/officeDocument/2006/relationships/control" Target="../activeX/activeX149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29" Type="http://schemas.openxmlformats.org/officeDocument/2006/relationships/image" Target="../media/image23.emf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61" Type="http://schemas.openxmlformats.org/officeDocument/2006/relationships/image" Target="../media/image39.emf"/><Relationship Id="rId10" Type="http://schemas.openxmlformats.org/officeDocument/2006/relationships/control" Target="../activeX/activeX14.xml"/><Relationship Id="rId19" Type="http://schemas.openxmlformats.org/officeDocument/2006/relationships/image" Target="../media/image18.emf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D6" sqref="D6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4309</v>
      </c>
    </row>
    <row r="4" spans="2:4" ht="14.25">
      <c r="B4" s="89" t="s">
        <v>627</v>
      </c>
      <c r="C4" s="90" t="s">
        <v>4322</v>
      </c>
    </row>
    <row r="5" spans="2:4" ht="14.25">
      <c r="B5" s="91" t="s">
        <v>626</v>
      </c>
      <c r="C5" s="90" t="s">
        <v>4322</v>
      </c>
      <c r="D5" s="51"/>
    </row>
    <row r="6" spans="2:4" ht="14.25">
      <c r="B6" s="2002" t="s">
        <v>4308</v>
      </c>
      <c r="C6" s="90" t="s">
        <v>4322</v>
      </c>
      <c r="D6" s="2003"/>
    </row>
    <row r="7" spans="2:4" ht="14.25">
      <c r="B7" s="2002" t="s">
        <v>4304</v>
      </c>
      <c r="C7" s="90" t="s">
        <v>4322</v>
      </c>
      <c r="D7" s="51"/>
    </row>
    <row r="8" spans="2:4" ht="14.25">
      <c r="B8" s="2002" t="s">
        <v>4305</v>
      </c>
      <c r="C8" s="90" t="s">
        <v>4322</v>
      </c>
      <c r="D8" s="51"/>
    </row>
    <row r="9" spans="2:4" ht="14.25">
      <c r="B9" s="2002" t="s">
        <v>4306</v>
      </c>
      <c r="C9" s="90" t="s">
        <v>4322</v>
      </c>
      <c r="D9" s="51"/>
    </row>
    <row r="10" spans="2:4" ht="14.25">
      <c r="B10" s="2002" t="s">
        <v>4307</v>
      </c>
      <c r="C10" s="90" t="s">
        <v>4322</v>
      </c>
      <c r="D10" s="51"/>
    </row>
    <row r="11" spans="2:4" ht="14.25">
      <c r="B11" s="2002" t="s">
        <v>4337</v>
      </c>
      <c r="C11" s="90" t="s">
        <v>4322</v>
      </c>
      <c r="D11" s="2109" t="s">
        <v>4339</v>
      </c>
    </row>
    <row r="12" spans="2:4" ht="5.25" customHeight="1">
      <c r="B12" s="92"/>
      <c r="C12" s="93"/>
      <c r="D12" s="2004"/>
    </row>
    <row r="14" spans="2:4" ht="14.25">
      <c r="C14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27" thickTop="1" thickBot="1">
      <c r="B2" s="2195" t="s">
        <v>4273</v>
      </c>
      <c r="C2" s="2196"/>
      <c r="D2" s="2196"/>
      <c r="E2" s="2196"/>
      <c r="F2" s="2197"/>
    </row>
    <row r="3" spans="2:6" ht="51" customHeight="1" thickTop="1" thickBot="1">
      <c r="B3" s="1863" t="s">
        <v>4181</v>
      </c>
      <c r="C3" s="1977" t="s">
        <v>4276</v>
      </c>
      <c r="D3" s="1864" t="s">
        <v>4185</v>
      </c>
      <c r="E3" s="1871" t="s">
        <v>4275</v>
      </c>
      <c r="F3" s="1982" t="s">
        <v>4282</v>
      </c>
    </row>
    <row r="4" spans="2:6" s="51" customFormat="1" ht="38.25" customHeight="1" thickTop="1">
      <c r="B4" s="1853"/>
      <c r="C4" s="1858">
        <v>43593</v>
      </c>
      <c r="D4" s="1979" t="s">
        <v>4274</v>
      </c>
      <c r="E4" s="1910" t="s">
        <v>4285</v>
      </c>
      <c r="F4" s="1988"/>
    </row>
    <row r="5" spans="2:6" s="51" customFormat="1" ht="46.5" customHeight="1">
      <c r="B5" s="1854"/>
      <c r="C5" s="1859">
        <v>43600</v>
      </c>
      <c r="D5" s="1980" t="s">
        <v>4277</v>
      </c>
      <c r="E5" s="1978" t="s">
        <v>4278</v>
      </c>
      <c r="F5" s="1988"/>
    </row>
    <row r="6" spans="2:6" s="51" customFormat="1" ht="46.5" customHeight="1">
      <c r="B6" s="1854"/>
      <c r="C6" s="1859">
        <v>43600</v>
      </c>
      <c r="D6" s="1981" t="s">
        <v>4279</v>
      </c>
      <c r="E6" s="1978" t="s">
        <v>4284</v>
      </c>
      <c r="F6" s="1988"/>
    </row>
    <row r="7" spans="2:6" s="51" customFormat="1" ht="45">
      <c r="B7" s="1855"/>
      <c r="C7" s="1859">
        <v>43602</v>
      </c>
      <c r="D7" s="1981" t="s">
        <v>4281</v>
      </c>
      <c r="E7" s="1874" t="s">
        <v>4280</v>
      </c>
      <c r="F7" s="1988" t="s">
        <v>4283</v>
      </c>
    </row>
    <row r="8" spans="2:6" s="51" customFormat="1" ht="26.25" customHeight="1">
      <c r="B8" s="1855"/>
      <c r="C8" s="1859">
        <v>43643</v>
      </c>
      <c r="D8" s="1980" t="s">
        <v>4286</v>
      </c>
      <c r="E8" s="1875" t="s">
        <v>4288</v>
      </c>
      <c r="F8" s="1988"/>
    </row>
    <row r="9" spans="2:6" s="51" customFormat="1" ht="27" customHeight="1">
      <c r="B9" s="1855"/>
      <c r="C9" s="1859">
        <v>43647</v>
      </c>
      <c r="D9" s="1980" t="s">
        <v>4287</v>
      </c>
      <c r="E9" s="1875" t="s">
        <v>4291</v>
      </c>
      <c r="F9" s="1988"/>
    </row>
    <row r="10" spans="2:6" s="51" customFormat="1" ht="34.5" customHeight="1">
      <c r="B10" s="1855"/>
      <c r="C10" s="1859">
        <v>43647</v>
      </c>
      <c r="D10" s="1980" t="s">
        <v>4298</v>
      </c>
      <c r="E10" s="1875" t="s">
        <v>4299</v>
      </c>
      <c r="F10" s="1988"/>
    </row>
    <row r="11" spans="2:6" s="51" customFormat="1" ht="64.5" customHeight="1">
      <c r="B11" s="1855"/>
      <c r="C11" s="1859">
        <v>43647</v>
      </c>
      <c r="D11" s="1981" t="s">
        <v>4302</v>
      </c>
      <c r="E11" s="1875" t="s">
        <v>4303</v>
      </c>
      <c r="F11" s="1988"/>
    </row>
    <row r="12" spans="2:6" s="51" customFormat="1" ht="42" customHeight="1">
      <c r="B12" s="1855"/>
      <c r="C12" s="1859">
        <v>43647</v>
      </c>
      <c r="D12" s="1981" t="s">
        <v>4310</v>
      </c>
      <c r="E12" s="1875" t="s">
        <v>4312</v>
      </c>
      <c r="F12" s="1988"/>
    </row>
    <row r="13" spans="2:6" s="51" customFormat="1" ht="39.75" customHeight="1">
      <c r="B13" s="2081"/>
      <c r="C13" s="1887">
        <v>43648</v>
      </c>
      <c r="D13" s="2082" t="s">
        <v>4302</v>
      </c>
      <c r="E13" s="1889" t="s">
        <v>4326</v>
      </c>
      <c r="F13" s="2083"/>
    </row>
    <row r="14" spans="2:6" s="51" customFormat="1" ht="36.75" customHeight="1">
      <c r="B14" s="1855"/>
      <c r="C14" s="2084">
        <v>43748</v>
      </c>
      <c r="D14" s="1980" t="s">
        <v>4324</v>
      </c>
      <c r="E14" s="2085" t="s">
        <v>4325</v>
      </c>
      <c r="F14" s="2096"/>
    </row>
    <row r="15" spans="2:6" s="51" customFormat="1" ht="27" customHeight="1">
      <c r="B15" s="1855"/>
      <c r="C15" s="2084">
        <v>43752</v>
      </c>
      <c r="D15" s="1980" t="s">
        <v>4327</v>
      </c>
      <c r="E15" s="2085" t="s">
        <v>4328</v>
      </c>
      <c r="F15" s="2096"/>
    </row>
    <row r="16" spans="2:6" s="51" customFormat="1" ht="27" customHeight="1">
      <c r="B16" s="1855"/>
      <c r="C16" s="2084">
        <v>43752</v>
      </c>
      <c r="D16" s="1980" t="s">
        <v>4330</v>
      </c>
      <c r="E16" s="2085" t="s">
        <v>4331</v>
      </c>
      <c r="F16" s="1988"/>
    </row>
    <row r="17" spans="2:6" s="51" customFormat="1" ht="27" customHeight="1">
      <c r="B17" s="1855"/>
      <c r="C17" s="2084">
        <v>43752</v>
      </c>
      <c r="D17" s="1980" t="s">
        <v>4332</v>
      </c>
      <c r="E17" s="2085" t="s">
        <v>4331</v>
      </c>
      <c r="F17" s="1988"/>
    </row>
    <row r="18" spans="2:6" s="51" customFormat="1" ht="32.25" customHeight="1">
      <c r="B18" s="1855"/>
      <c r="C18" s="2084">
        <v>43754</v>
      </c>
      <c r="D18" s="1980" t="s">
        <v>4335</v>
      </c>
      <c r="E18" s="2085" t="s">
        <v>4336</v>
      </c>
      <c r="F18" s="1988"/>
    </row>
    <row r="19" spans="2:6" s="51" customFormat="1" ht="27" customHeight="1">
      <c r="B19" s="1855"/>
      <c r="C19" s="1859"/>
      <c r="D19" s="1980"/>
      <c r="E19" s="1875"/>
      <c r="F19" s="1988"/>
    </row>
    <row r="20" spans="2:6" s="51" customFormat="1" ht="30" customHeight="1">
      <c r="B20" s="1854"/>
      <c r="C20" s="1859"/>
      <c r="D20" s="1980"/>
      <c r="E20" s="1875"/>
      <c r="F20" s="1988"/>
    </row>
    <row r="21" spans="2:6" s="51" customFormat="1" ht="21" customHeight="1">
      <c r="B21" s="1890"/>
      <c r="C21" s="1891"/>
      <c r="D21" s="1892"/>
      <c r="E21" s="1894"/>
      <c r="F21" s="1985"/>
    </row>
    <row r="22" spans="2:6" s="51" customFormat="1" ht="30" customHeight="1">
      <c r="B22" s="1854"/>
      <c r="C22" s="1866"/>
      <c r="D22" s="1881"/>
      <c r="E22" s="1875"/>
      <c r="F22" s="1983"/>
    </row>
    <row r="23" spans="2:6" s="51" customFormat="1" ht="34.5" customHeight="1">
      <c r="B23" s="1886"/>
      <c r="C23" s="1895"/>
      <c r="D23" s="1888"/>
      <c r="E23" s="1889"/>
      <c r="F23" s="1986"/>
    </row>
    <row r="24" spans="2:6" s="51" customFormat="1" ht="34.5" customHeight="1">
      <c r="B24" s="1890"/>
      <c r="C24" s="1891"/>
      <c r="D24" s="1892"/>
      <c r="E24" s="1893"/>
      <c r="F24" s="1983"/>
    </row>
    <row r="25" spans="2:6" s="51" customFormat="1" ht="34.5" customHeight="1">
      <c r="B25" s="1854"/>
      <c r="C25" s="1866"/>
      <c r="D25" s="1881"/>
      <c r="E25" s="1875"/>
      <c r="F25" s="1983"/>
    </row>
    <row r="26" spans="2:6" s="51" customFormat="1" ht="43.5" customHeight="1">
      <c r="B26" s="1886"/>
      <c r="C26" s="1887"/>
      <c r="D26" s="1888"/>
      <c r="E26" s="1889"/>
      <c r="F26" s="1983"/>
    </row>
    <row r="27" spans="2:6" s="51" customFormat="1" ht="59.25" customHeight="1">
      <c r="B27" s="1896"/>
      <c r="C27" s="1897"/>
      <c r="D27" s="1898"/>
      <c r="E27" s="1899"/>
      <c r="F27" s="1987"/>
    </row>
    <row r="28" spans="2:6" s="51" customFormat="1" ht="30.75" customHeight="1">
      <c r="B28" s="1854"/>
      <c r="C28" s="1859"/>
      <c r="D28" s="1881"/>
      <c r="E28" s="1875"/>
      <c r="F28" s="1983"/>
    </row>
    <row r="29" spans="2:6" s="51" customFormat="1" ht="30.75" customHeight="1">
      <c r="B29" s="1854"/>
      <c r="C29" s="1859"/>
      <c r="D29" s="1881"/>
      <c r="E29" s="1875"/>
      <c r="F29" s="1983"/>
    </row>
    <row r="30" spans="2:6" s="51" customFormat="1" ht="30.75" customHeight="1">
      <c r="B30" s="1854"/>
      <c r="C30" s="1859"/>
      <c r="D30" s="1881"/>
      <c r="E30" s="1875"/>
      <c r="F30" s="1983"/>
    </row>
    <row r="31" spans="2:6" s="51" customFormat="1" ht="15">
      <c r="B31" s="1854"/>
      <c r="C31" s="1860"/>
      <c r="D31" s="1881"/>
      <c r="E31" s="1873"/>
      <c r="F31" s="1983"/>
    </row>
    <row r="32" spans="2:6" s="51" customFormat="1" ht="15">
      <c r="B32" s="1854"/>
      <c r="C32" s="1860"/>
      <c r="D32" s="1881"/>
      <c r="E32" s="1873"/>
      <c r="F32" s="1983"/>
    </row>
    <row r="33" spans="2:6" s="51" customFormat="1" ht="15">
      <c r="B33" s="1854"/>
      <c r="C33" s="1860"/>
      <c r="D33" s="1881"/>
      <c r="E33" s="1876"/>
      <c r="F33" s="1983"/>
    </row>
    <row r="34" spans="2:6" s="51" customFormat="1" ht="15">
      <c r="B34" s="1854"/>
      <c r="C34" s="1860"/>
      <c r="D34" s="1881"/>
      <c r="E34" s="1876"/>
      <c r="F34" s="1983"/>
    </row>
    <row r="35" spans="2:6" s="51" customFormat="1" ht="15">
      <c r="B35" s="1854"/>
      <c r="C35" s="1860"/>
      <c r="D35" s="1881"/>
      <c r="E35" s="1877"/>
      <c r="F35" s="1983"/>
    </row>
    <row r="36" spans="2:6" s="51" customFormat="1" ht="15">
      <c r="B36" s="1854"/>
      <c r="C36" s="1860"/>
      <c r="D36" s="1881"/>
      <c r="E36" s="1877"/>
      <c r="F36" s="1983"/>
    </row>
    <row r="37" spans="2:6" s="51" customFormat="1" ht="15">
      <c r="B37" s="1854"/>
      <c r="C37" s="1860"/>
      <c r="D37" s="1881"/>
      <c r="E37" s="1877"/>
      <c r="F37" s="1983"/>
    </row>
    <row r="38" spans="2:6" s="51" customFormat="1" ht="15">
      <c r="B38" s="1854"/>
      <c r="C38" s="1860"/>
      <c r="D38" s="1881"/>
      <c r="E38" s="1877"/>
      <c r="F38" s="1983"/>
    </row>
    <row r="39" spans="2:6" ht="15">
      <c r="B39" s="1856"/>
      <c r="C39" s="1861"/>
      <c r="D39" s="1882"/>
      <c r="E39" s="1878"/>
      <c r="F39" s="1808"/>
    </row>
    <row r="40" spans="2:6" ht="15.75" thickBot="1">
      <c r="B40" s="1857"/>
      <c r="C40" s="1862"/>
      <c r="D40" s="1883"/>
      <c r="E40" s="1879"/>
      <c r="F40" s="1984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topLeftCell="M4" zoomScale="115" zoomScaleNormal="115" workbookViewId="0">
      <selection activeCell="U2" sqref="U2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98" t="s">
        <v>121</v>
      </c>
      <c r="P1" s="2198"/>
      <c r="Q1" s="2199"/>
      <c r="R1" s="2198" t="s">
        <v>122</v>
      </c>
      <c r="S1" s="2198"/>
      <c r="T1" s="2199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2020</v>
      </c>
      <c r="D3" s="50">
        <v>1</v>
      </c>
      <c r="E3" s="5" t="str">
        <f>IF(D3=1,"MARZO",IF(D3=2,"JUNIO",IF(D3=3,"SETIEMBRE","DICIEMBRE")))</f>
        <v>MARZO</v>
      </c>
      <c r="F3" s="5" t="str">
        <f>IF(D3=1,"DICIEMBRE",IF(D3=2,"MARZO",IF(D3=3,"JUNIO","SETIEMBRE")))</f>
        <v>DICIEMBRE</v>
      </c>
      <c r="G3" s="3" t="str">
        <f>IF(D3=1,CONCATENATE(C3,"01"),IF(D3=2,CONCATENATE(C3,"02"),IF(D3=3,CONCATENATE(C3,"03"),CONCATENATE(C3,"04"))))</f>
        <v>202001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Mar) 2020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2019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099" t="str">
        <f>IF(D3=1,"(ENE - MAR)",IF(D3=2,"(ABR - JUN)",IF(D3=3,"(JUL - SET)","(OCT - DIC)")))</f>
        <v>(ENE - MAR)</v>
      </c>
      <c r="I4" s="6"/>
      <c r="J4" s="3">
        <v>2</v>
      </c>
      <c r="K4" s="1" t="s">
        <v>302</v>
      </c>
      <c r="L4" s="1" t="s">
        <v>464</v>
      </c>
      <c r="N4" s="60">
        <f>VALUE(ANUAL)</f>
        <v>2020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1" zoomScale="70" zoomScaleNormal="70" workbookViewId="0">
      <selection activeCell="H7" sqref="H7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26.2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200" t="str">
        <f>CONCATENATE(Menu!D3,"T",Menu!C3," ",Menu!E4)</f>
        <v>1T2020 (ENE - MAR)</v>
      </c>
      <c r="G4" s="2201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4">
        <v>1</v>
      </c>
      <c r="C6" s="676" t="s">
        <v>234</v>
      </c>
      <c r="D6" s="2202" t="s">
        <v>2002</v>
      </c>
      <c r="E6" s="2202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5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5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4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5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5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4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5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5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4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5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5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4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5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5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4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5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5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4">
        <v>19</v>
      </c>
      <c r="C24" s="676" t="s">
        <v>236</v>
      </c>
      <c r="D24" s="678" t="s">
        <v>233</v>
      </c>
      <c r="E24" s="671"/>
      <c r="F24" s="2102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5">
        <v>20</v>
      </c>
      <c r="C25" s="668"/>
      <c r="D25" s="672" t="s">
        <v>1659</v>
      </c>
      <c r="E25" s="2104" t="s">
        <v>1660</v>
      </c>
      <c r="F25" s="2101">
        <f>SUM(F26:F28)</f>
        <v>0</v>
      </c>
      <c r="G25" s="2105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5">
        <v>21</v>
      </c>
      <c r="C26" s="668"/>
      <c r="D26" s="667"/>
      <c r="E26" s="691" t="s">
        <v>1999</v>
      </c>
      <c r="F26" s="2103"/>
      <c r="G26" s="2100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4">
        <v>22</v>
      </c>
      <c r="C27" s="668"/>
      <c r="D27" s="667"/>
      <c r="E27" s="666" t="s">
        <v>1998</v>
      </c>
      <c r="F27" s="2106"/>
      <c r="G27" s="2100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5">
        <v>23</v>
      </c>
      <c r="C28" s="668"/>
      <c r="D28" s="667"/>
      <c r="E28" s="666" t="s">
        <v>1997</v>
      </c>
      <c r="F28" s="2106"/>
      <c r="G28" s="2100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5">
        <v>24</v>
      </c>
      <c r="C29" s="668"/>
      <c r="D29" s="672" t="s">
        <v>1661</v>
      </c>
      <c r="E29" s="671" t="s">
        <v>1662</v>
      </c>
      <c r="F29" s="2101">
        <f>SUM(F30:F32)</f>
        <v>0</v>
      </c>
      <c r="G29" s="2105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4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5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5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4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5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5">
        <v>30</v>
      </c>
      <c r="C35" s="688"/>
      <c r="D35" s="672" t="s">
        <v>1992</v>
      </c>
      <c r="E35" s="686" t="s">
        <v>4311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4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5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5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4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5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5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4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5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5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4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5">
        <v>41</v>
      </c>
      <c r="C46" s="676" t="s">
        <v>247</v>
      </c>
      <c r="D46" s="2203" t="s">
        <v>1669</v>
      </c>
      <c r="E46" s="2203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5">
        <v>42</v>
      </c>
      <c r="C47" s="676" t="s">
        <v>248</v>
      </c>
      <c r="D47" s="2203" t="s">
        <v>1981</v>
      </c>
      <c r="E47" s="2203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4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5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5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4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5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5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4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5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5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6"/>
      <c r="C57" s="659" t="s">
        <v>169</v>
      </c>
      <c r="D57" s="2218" t="s">
        <v>1673</v>
      </c>
      <c r="E57" s="2219"/>
      <c r="F57" s="2219"/>
      <c r="G57" s="2219"/>
      <c r="H57" s="646"/>
    </row>
    <row r="58" spans="1:25" ht="30" customHeight="1">
      <c r="B58" s="1006"/>
      <c r="C58" s="2220"/>
      <c r="D58" s="2221"/>
      <c r="E58" s="2222"/>
      <c r="F58" s="2210" t="str">
        <f>+F4</f>
        <v>1T2020 (ENE - MAR)</v>
      </c>
      <c r="G58" s="2211"/>
    </row>
    <row r="59" spans="1:25" s="654" customFormat="1" ht="30" customHeight="1">
      <c r="A59" s="653"/>
      <c r="B59" s="1004">
        <f>+B56+1</f>
        <v>52</v>
      </c>
      <c r="C59" s="658"/>
      <c r="D59" s="639" t="s">
        <v>1974</v>
      </c>
      <c r="E59" s="712" t="s">
        <v>1973</v>
      </c>
      <c r="F59" s="2206" t="s">
        <v>1968</v>
      </c>
      <c r="G59" s="2207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4">
        <f>+B59+1</f>
        <v>53</v>
      </c>
      <c r="C60" s="658"/>
      <c r="D60" s="667" t="s">
        <v>1972</v>
      </c>
      <c r="E60" s="713" t="s">
        <v>1971</v>
      </c>
      <c r="F60" s="2204" t="s">
        <v>1968</v>
      </c>
      <c r="G60" s="2205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4">
        <f>+B60+1</f>
        <v>54</v>
      </c>
      <c r="C61" s="658"/>
      <c r="D61" s="667" t="s">
        <v>1970</v>
      </c>
      <c r="E61" s="713" t="s">
        <v>1969</v>
      </c>
      <c r="F61" s="2204" t="s">
        <v>1968</v>
      </c>
      <c r="G61" s="2205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7"/>
      <c r="C62" s="657"/>
      <c r="D62" s="656" t="s">
        <v>1967</v>
      </c>
      <c r="E62" s="655"/>
      <c r="F62" s="2208"/>
      <c r="G62" s="2209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7"/>
      <c r="C63" s="652" t="s">
        <v>170</v>
      </c>
      <c r="D63" s="2223" t="s">
        <v>1672</v>
      </c>
      <c r="E63" s="2223"/>
      <c r="F63" s="2224"/>
      <c r="G63" s="2224"/>
      <c r="H63" s="646"/>
    </row>
    <row r="64" spans="1:25" ht="20.100000000000001" customHeight="1">
      <c r="B64" s="1006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6"/>
      <c r="C65" s="2212"/>
      <c r="D65" s="2213"/>
      <c r="E65" s="2214"/>
      <c r="F65" s="2210" t="str">
        <f>+F4</f>
        <v>1T2020 (ENE - MAR)</v>
      </c>
      <c r="G65" s="2211"/>
      <c r="H65" s="646"/>
    </row>
    <row r="66" spans="2:8" ht="37.5" customHeight="1">
      <c r="B66" s="1006"/>
      <c r="C66" s="2215"/>
      <c r="D66" s="2216"/>
      <c r="E66" s="2217"/>
      <c r="F66" s="644" t="s">
        <v>633</v>
      </c>
      <c r="G66" s="645" t="s">
        <v>634</v>
      </c>
    </row>
    <row r="67" spans="2:8" ht="32.25" customHeight="1">
      <c r="B67" s="1005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5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5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5">
        <f>+B69+1</f>
        <v>58</v>
      </c>
      <c r="C70" s="638"/>
      <c r="D70" s="637" t="s">
        <v>1961</v>
      </c>
      <c r="E70" s="636" t="s">
        <v>1960</v>
      </c>
      <c r="F70" s="2015"/>
      <c r="G70" s="2016"/>
    </row>
    <row r="71" spans="2:8" ht="16.5" thickTop="1"/>
  </sheetData>
  <sheetProtection password="EC0E" sheet="1" objects="1" scenarios="1"/>
  <dataConsolidate/>
  <mergeCells count="14">
    <mergeCell ref="F62:G62"/>
    <mergeCell ref="F65:G65"/>
    <mergeCell ref="C65:E66"/>
    <mergeCell ref="D57:G57"/>
    <mergeCell ref="F58:G58"/>
    <mergeCell ref="C58:E58"/>
    <mergeCell ref="D63:G63"/>
    <mergeCell ref="F61:G61"/>
    <mergeCell ref="F4:G4"/>
    <mergeCell ref="D6:E6"/>
    <mergeCell ref="D46:E46"/>
    <mergeCell ref="D47:E47"/>
    <mergeCell ref="F60:G60"/>
    <mergeCell ref="F59:G59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7" r:id="rId4" name="ComboBox4">
          <controlPr defaultSize="0" autoLine="0" linkedCell="F61" listFillRange="Opciones" r:id="rId5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4" name="ComboBox4"/>
      </mc:Fallback>
    </mc:AlternateContent>
    <mc:AlternateContent xmlns:mc="http://schemas.openxmlformats.org/markup-compatibility/2006">
      <mc:Choice Requires="x14">
        <control shapeId="225296" r:id="rId6" name="ComboBox3">
          <controlPr defaultSize="0" autoLine="0" linkedCell="F60" listFillRange="Opciones" r:id="rId7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6" name="ComboBox3"/>
      </mc:Fallback>
    </mc:AlternateContent>
    <mc:AlternateContent xmlns:mc="http://schemas.openxmlformats.org/markup-compatibility/2006">
      <mc:Choice Requires="x14">
        <control shapeId="225294" r:id="rId8" name="ComboBox1">
          <controlPr defaultSize="0" autoLine="0" linkedCell="F59" listFillRange="Opciones" r:id="rId9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8" name="ComboBox1"/>
      </mc:Fallback>
    </mc:AlternateContent>
    <mc:AlternateContent xmlns:mc="http://schemas.openxmlformats.org/markup-compatibility/2006">
      <mc:Choice Requires="x14">
        <control shapeId="225293" r:id="rId10" name="TextBox1">
          <controlPr defaultSize="0" autoLine="0" linkedCell="Base_Servicios!G37" r:id="rId11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10" name="TextBox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70" zoomScaleNormal="70" workbookViewId="0">
      <pane xSplit="1" ySplit="4" topLeftCell="H7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15.75"/>
  <cols>
    <col min="1" max="1" width="12.5703125" style="1008" hidden="1" customWidth="1"/>
    <col min="2" max="2" width="24.28515625" style="1008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09"/>
    </row>
    <row r="3" spans="1:21" s="1009" customFormat="1" ht="12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</row>
    <row r="4" spans="1:21" s="1009" customFormat="1" ht="35.25">
      <c r="B4" s="1010"/>
      <c r="C4" s="1010"/>
      <c r="D4" s="1010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2"/>
      <c r="K4" s="770"/>
      <c r="L4" s="770"/>
      <c r="M4" s="770"/>
      <c r="N4" s="770"/>
    </row>
    <row r="5" spans="1:21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</row>
    <row r="6" spans="1:21" s="1009" customFormat="1" ht="42" customHeight="1">
      <c r="B6" s="1010"/>
      <c r="C6" s="1010"/>
      <c r="D6" s="1010"/>
      <c r="F6" s="2242" t="s">
        <v>4292</v>
      </c>
      <c r="G6" s="2242"/>
      <c r="H6" s="2242"/>
      <c r="I6" s="2242"/>
      <c r="J6" s="2242"/>
      <c r="K6" s="2242"/>
      <c r="L6" s="2242"/>
      <c r="M6" s="2242"/>
      <c r="N6" s="2242"/>
    </row>
    <row r="7" spans="1:21" s="765" customFormat="1" ht="8.25" customHeight="1">
      <c r="A7" s="766"/>
      <c r="B7" s="766"/>
      <c r="F7" s="1017"/>
      <c r="G7" s="1018"/>
      <c r="H7" s="1019"/>
      <c r="I7" s="1018"/>
      <c r="J7" s="1018"/>
      <c r="K7" s="1018"/>
      <c r="L7" s="1018"/>
      <c r="M7" s="1018"/>
      <c r="N7" s="1018"/>
      <c r="O7" s="1009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0"/>
      <c r="H8" s="1020"/>
      <c r="I8" s="1021"/>
      <c r="J8" s="1021"/>
      <c r="K8" s="1020"/>
      <c r="L8" s="1020"/>
      <c r="M8" s="770"/>
      <c r="N8" s="1020"/>
    </row>
    <row r="9" spans="1:21" s="765" customFormat="1" ht="36" customHeight="1" thickTop="1" thickBot="1">
      <c r="A9" s="766"/>
      <c r="B9" s="766"/>
      <c r="C9" s="1022" t="str">
        <f ca="1">RIGHT(CELL("nombrearchivo",$A$1),LEN(CELL("nombrearchivo",$A$1))-SEARCH("]",CELL("nombrearchivo",$A$1)))</f>
        <v>Tabla II.</v>
      </c>
      <c r="F9" s="2233" t="s">
        <v>1624</v>
      </c>
      <c r="G9" s="2234"/>
      <c r="H9" s="2239" t="s">
        <v>1612</v>
      </c>
      <c r="I9" s="2240"/>
      <c r="J9" s="2240"/>
      <c r="K9" s="2240"/>
      <c r="L9" s="2241"/>
      <c r="M9" s="2239" t="s">
        <v>678</v>
      </c>
      <c r="N9" s="2241"/>
    </row>
    <row r="10" spans="1:21" ht="51" customHeight="1" thickTop="1" thickBot="1">
      <c r="C10" s="2225" t="str">
        <f ca="1">RIGHT(CELL("nombrearchivo",$A$1),LEN(CELL("nombrearchivo",$A$1))-SEARCH("]",CELL("nombrearchivo",$A$1)))</f>
        <v>Tabla II.</v>
      </c>
      <c r="D10" s="2226"/>
      <c r="F10" s="2235"/>
      <c r="G10" s="2236"/>
      <c r="H10" s="2229" t="str">
        <f>CONCATENATE("SALDO A FINES DE"," ",Menu!F3," ",IF(TRIM&gt;1,Menu!C3,Menu!C3-1))</f>
        <v>SALDO A FINES DE DICIEMBRE 2019</v>
      </c>
      <c r="I10" s="2231" t="str">
        <f>CONCATENATE("TRANSACCIONES DEL
 ",Menu!D3,"T",Menu!C3," ",Menu!E4)</f>
        <v>TRANSACCIONES DEL
 1T2020 (ENE - MAR)</v>
      </c>
      <c r="J10" s="2232"/>
      <c r="K10" s="2243" t="str">
        <f>"Variaciones por tipo de cambio ú otros (+ , -)  "&amp;$D$36&amp;"/"</f>
        <v>Variaciones por tipo de cambio ú otros (+ , -)  7/</v>
      </c>
      <c r="L10" s="2247" t="str">
        <f>CONCATENATE("SALDO A FINES DE"," ",Menu!E3," ",Menu!C3)</f>
        <v>SALDO A FINES DE MARZO 2020</v>
      </c>
      <c r="M10" s="2245" t="str">
        <f>CONCATENATE("Transacciones (movimiento) del ",Menu!D3,"T",Menu!C3," ",Menu!E4)</f>
        <v>Transacciones (movimiento) del 1T2020 (ENE - MAR)</v>
      </c>
      <c r="N10" s="2246"/>
    </row>
    <row r="11" spans="1:21" s="779" customFormat="1" ht="91.5" customHeight="1" thickTop="1" thickBot="1">
      <c r="A11" s="1023"/>
      <c r="B11" s="1023"/>
      <c r="C11" s="2227"/>
      <c r="D11" s="2228"/>
      <c r="E11" s="777"/>
      <c r="F11" s="2235"/>
      <c r="G11" s="2236"/>
      <c r="H11" s="2230"/>
      <c r="I11" s="1024" t="s">
        <v>1633</v>
      </c>
      <c r="J11" s="1024" t="s">
        <v>1632</v>
      </c>
      <c r="K11" s="2244"/>
      <c r="L11" s="2248"/>
      <c r="M11" s="1025" t="s">
        <v>663</v>
      </c>
      <c r="N11" s="1026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7" t="s">
        <v>894</v>
      </c>
      <c r="B12" s="1027" t="s">
        <v>895</v>
      </c>
      <c r="C12" s="1028" t="s">
        <v>68</v>
      </c>
      <c r="D12" s="1029" t="s">
        <v>69</v>
      </c>
      <c r="E12" s="777"/>
      <c r="F12" s="2237"/>
      <c r="G12" s="2238"/>
      <c r="H12" s="1030" t="s">
        <v>640</v>
      </c>
      <c r="I12" s="1031" t="s">
        <v>641</v>
      </c>
      <c r="J12" s="1031" t="s">
        <v>642</v>
      </c>
      <c r="K12" s="1032" t="s">
        <v>643</v>
      </c>
      <c r="L12" s="1033" t="s">
        <v>671</v>
      </c>
      <c r="M12" s="1031" t="s">
        <v>645</v>
      </c>
      <c r="N12" s="1034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5">
        <v>1</v>
      </c>
      <c r="B13" s="1036" t="s">
        <v>1777</v>
      </c>
      <c r="C13" s="1037"/>
      <c r="D13" s="1038" t="str">
        <f>CONCATENATE("0",A13,B13)</f>
        <v>01.01.</v>
      </c>
      <c r="E13" s="1039"/>
      <c r="F13" s="1040" t="str">
        <f>+D13</f>
        <v>01.01.</v>
      </c>
      <c r="G13" s="1041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2"/>
    </row>
    <row r="14" spans="1:21" ht="21">
      <c r="A14" s="1043">
        <f t="shared" ref="A14:A25" si="0">+A13</f>
        <v>1</v>
      </c>
      <c r="B14" s="1044" t="s">
        <v>1792</v>
      </c>
      <c r="C14" s="1045" t="s">
        <v>691</v>
      </c>
      <c r="D14" s="1046" t="str">
        <f t="shared" ref="D14:D60" si="1">CONCATENATE("0",A14,B14)</f>
        <v>01.01.00.01.</v>
      </c>
      <c r="E14" s="1039"/>
      <c r="F14" s="1047" t="str">
        <f t="shared" ref="F14:F25" si="2">+D14</f>
        <v>01.01.00.01.</v>
      </c>
      <c r="G14" s="1048" t="str">
        <f>"a. Largo plazo "&amp;$D$32&amp;"/"</f>
        <v>a. Largo plazo 3/</v>
      </c>
      <c r="H14" s="378"/>
      <c r="I14" s="379"/>
      <c r="J14" s="379"/>
      <c r="K14" s="380"/>
      <c r="L14" s="1049">
        <f t="shared" ref="L14:L25" si="3">+H14+I14-J14+K14</f>
        <v>0</v>
      </c>
      <c r="M14" s="379"/>
      <c r="N14" s="381"/>
      <c r="O14" s="1042"/>
    </row>
    <row r="15" spans="1:21" ht="21">
      <c r="A15" s="1043">
        <f t="shared" si="0"/>
        <v>1</v>
      </c>
      <c r="B15" s="1044" t="s">
        <v>1793</v>
      </c>
      <c r="C15" s="1050" t="s">
        <v>702</v>
      </c>
      <c r="D15" s="1051" t="str">
        <f t="shared" si="1"/>
        <v>01.01.00.02.</v>
      </c>
      <c r="E15" s="1039"/>
      <c r="F15" s="1052" t="str">
        <f t="shared" si="2"/>
        <v>01.01.00.02.</v>
      </c>
      <c r="G15" s="1053" t="str">
        <f>"b. Corto plazo "&amp;$D$33&amp;"/"</f>
        <v>b. Corto plazo 4/</v>
      </c>
      <c r="H15" s="382"/>
      <c r="I15" s="383"/>
      <c r="J15" s="383"/>
      <c r="K15" s="384"/>
      <c r="L15" s="1054">
        <f t="shared" si="3"/>
        <v>0</v>
      </c>
      <c r="M15" s="383"/>
      <c r="N15" s="385"/>
      <c r="O15" s="1042"/>
    </row>
    <row r="16" spans="1:21" ht="31.5" customHeight="1">
      <c r="A16" s="1035">
        <f t="shared" si="0"/>
        <v>1</v>
      </c>
      <c r="B16" s="1036" t="s">
        <v>1780</v>
      </c>
      <c r="C16" s="1055"/>
      <c r="D16" s="1056" t="str">
        <f>CONCATENATE("0",A16,B16)</f>
        <v>01.02.</v>
      </c>
      <c r="E16" s="1039"/>
      <c r="F16" s="1057" t="str">
        <f t="shared" si="2"/>
        <v>01.02.</v>
      </c>
      <c r="G16" s="1058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2"/>
    </row>
    <row r="17" spans="1:21" ht="21">
      <c r="A17" s="1043">
        <f t="shared" si="0"/>
        <v>1</v>
      </c>
      <c r="B17" s="1044" t="s">
        <v>1794</v>
      </c>
      <c r="C17" s="1045" t="s">
        <v>690</v>
      </c>
      <c r="D17" s="1046" t="str">
        <f t="shared" si="1"/>
        <v>01.02.00.01.</v>
      </c>
      <c r="E17" s="1039"/>
      <c r="F17" s="1047" t="str">
        <f t="shared" si="2"/>
        <v>01.02.00.01.</v>
      </c>
      <c r="G17" s="1048" t="str">
        <f>"a. Largo plazo "&amp;$D$32&amp;"/"</f>
        <v>a. Largo plazo 3/</v>
      </c>
      <c r="H17" s="378"/>
      <c r="I17" s="379"/>
      <c r="J17" s="379"/>
      <c r="K17" s="380"/>
      <c r="L17" s="1049">
        <f t="shared" si="3"/>
        <v>0</v>
      </c>
      <c r="M17" s="379"/>
      <c r="N17" s="381"/>
      <c r="O17" s="1042"/>
    </row>
    <row r="18" spans="1:21" ht="21">
      <c r="A18" s="1043">
        <f t="shared" si="0"/>
        <v>1</v>
      </c>
      <c r="B18" s="1044" t="s">
        <v>1795</v>
      </c>
      <c r="C18" s="1059" t="s">
        <v>703</v>
      </c>
      <c r="D18" s="1060" t="str">
        <f t="shared" si="1"/>
        <v>01.02.00.02.</v>
      </c>
      <c r="E18" s="1039"/>
      <c r="F18" s="1061" t="str">
        <f t="shared" si="2"/>
        <v>01.02.00.02.</v>
      </c>
      <c r="G18" s="1053" t="str">
        <f>"b. Corto plazo "&amp;$D$33&amp;"/"</f>
        <v>b. Corto plazo 4/</v>
      </c>
      <c r="H18" s="386"/>
      <c r="I18" s="387"/>
      <c r="J18" s="387"/>
      <c r="K18" s="387"/>
      <c r="L18" s="1062">
        <f t="shared" si="3"/>
        <v>0</v>
      </c>
      <c r="M18" s="387"/>
      <c r="N18" s="387"/>
      <c r="O18" s="1042"/>
    </row>
    <row r="19" spans="1:21" ht="31.5">
      <c r="A19" s="1035">
        <f t="shared" si="0"/>
        <v>1</v>
      </c>
      <c r="B19" s="1036" t="s">
        <v>1783</v>
      </c>
      <c r="C19" s="1055"/>
      <c r="D19" s="1056" t="str">
        <f>CONCATENATE("0",A19,B19)</f>
        <v>01.03.</v>
      </c>
      <c r="E19" s="1039"/>
      <c r="F19" s="1057" t="str">
        <f t="shared" si="2"/>
        <v>01.03.</v>
      </c>
      <c r="G19" s="1058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2"/>
    </row>
    <row r="20" spans="1:21" ht="21">
      <c r="A20" s="1043">
        <f t="shared" si="0"/>
        <v>1</v>
      </c>
      <c r="B20" s="1044" t="s">
        <v>1796</v>
      </c>
      <c r="C20" s="1045" t="s">
        <v>690</v>
      </c>
      <c r="D20" s="1046" t="str">
        <f t="shared" si="1"/>
        <v>01.03.00.01.</v>
      </c>
      <c r="E20" s="1039"/>
      <c r="F20" s="1047" t="str">
        <f t="shared" si="2"/>
        <v>01.03.00.01.</v>
      </c>
      <c r="G20" s="1048" t="str">
        <f>"a. Largo plazo "&amp;$D$32&amp;"/"</f>
        <v>a. Largo plazo 3/</v>
      </c>
      <c r="H20" s="378"/>
      <c r="I20" s="379"/>
      <c r="J20" s="379"/>
      <c r="K20" s="380"/>
      <c r="L20" s="1049">
        <f t="shared" si="3"/>
        <v>0</v>
      </c>
      <c r="M20" s="379"/>
      <c r="N20" s="381"/>
      <c r="O20" s="1042"/>
    </row>
    <row r="21" spans="1:21" ht="21">
      <c r="A21" s="1043">
        <f t="shared" si="0"/>
        <v>1</v>
      </c>
      <c r="B21" s="1044" t="s">
        <v>1797</v>
      </c>
      <c r="C21" s="1050" t="s">
        <v>703</v>
      </c>
      <c r="D21" s="1051" t="str">
        <f t="shared" si="1"/>
        <v>01.03.00.02.</v>
      </c>
      <c r="E21" s="1039"/>
      <c r="F21" s="1061" t="str">
        <f t="shared" si="2"/>
        <v>01.03.00.02.</v>
      </c>
      <c r="G21" s="1053" t="str">
        <f>"b. Corto plazo "&amp;$D$33&amp;"/"</f>
        <v>b. Corto plazo 4/</v>
      </c>
      <c r="H21" s="388"/>
      <c r="I21" s="389"/>
      <c r="J21" s="389"/>
      <c r="K21" s="390"/>
      <c r="L21" s="1063">
        <f t="shared" si="3"/>
        <v>0</v>
      </c>
      <c r="M21" s="389"/>
      <c r="N21" s="391"/>
      <c r="O21" s="1042"/>
    </row>
    <row r="22" spans="1:21" ht="31.5">
      <c r="A22" s="1035">
        <f t="shared" si="0"/>
        <v>1</v>
      </c>
      <c r="B22" s="1036" t="s">
        <v>1786</v>
      </c>
      <c r="C22" s="1055"/>
      <c r="D22" s="1056" t="str">
        <f>CONCATENATE("0",A22,B22)</f>
        <v>01.04.</v>
      </c>
      <c r="E22" s="1039"/>
      <c r="F22" s="1057" t="str">
        <f t="shared" si="2"/>
        <v>01.04.</v>
      </c>
      <c r="G22" s="1058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2"/>
    </row>
    <row r="23" spans="1:21" ht="21">
      <c r="A23" s="1043">
        <f t="shared" si="0"/>
        <v>1</v>
      </c>
      <c r="B23" s="1044" t="s">
        <v>1798</v>
      </c>
      <c r="C23" s="1045" t="s">
        <v>690</v>
      </c>
      <c r="D23" s="1046" t="str">
        <f t="shared" si="1"/>
        <v>01.04.00.01.</v>
      </c>
      <c r="E23" s="1039"/>
      <c r="F23" s="1047" t="str">
        <f t="shared" si="2"/>
        <v>01.04.00.01.</v>
      </c>
      <c r="G23" s="1048" t="str">
        <f>"a. Largo plazo "&amp;$D$32&amp;"/"</f>
        <v>a. Largo plazo 3/</v>
      </c>
      <c r="H23" s="378"/>
      <c r="I23" s="379"/>
      <c r="J23" s="379"/>
      <c r="K23" s="380"/>
      <c r="L23" s="1049">
        <f t="shared" si="3"/>
        <v>0</v>
      </c>
      <c r="M23" s="379"/>
      <c r="N23" s="381"/>
      <c r="O23" s="1042"/>
    </row>
    <row r="24" spans="1:21" ht="21.75" thickBot="1">
      <c r="A24" s="1043">
        <f t="shared" si="0"/>
        <v>1</v>
      </c>
      <c r="B24" s="1044" t="s">
        <v>1799</v>
      </c>
      <c r="C24" s="1050" t="s">
        <v>703</v>
      </c>
      <c r="D24" s="1051" t="str">
        <f t="shared" si="1"/>
        <v>01.04.00.02.</v>
      </c>
      <c r="E24" s="1039"/>
      <c r="F24" s="1061" t="str">
        <f t="shared" si="2"/>
        <v>01.04.00.02.</v>
      </c>
      <c r="G24" s="1053" t="str">
        <f>"b. Corto plazo "&amp;$D$33&amp;"/"</f>
        <v>b. Corto plazo 4/</v>
      </c>
      <c r="H24" s="388"/>
      <c r="I24" s="389"/>
      <c r="J24" s="389"/>
      <c r="K24" s="390"/>
      <c r="L24" s="1064">
        <f t="shared" si="3"/>
        <v>0</v>
      </c>
      <c r="M24" s="389"/>
      <c r="N24" s="391"/>
      <c r="O24" s="1042"/>
    </row>
    <row r="25" spans="1:21" s="779" customFormat="1" ht="22.5" thickTop="1" thickBot="1">
      <c r="A25" s="1065">
        <f t="shared" si="0"/>
        <v>1</v>
      </c>
      <c r="B25" s="1066" t="s">
        <v>1787</v>
      </c>
      <c r="C25" s="1067"/>
      <c r="D25" s="1068" t="str">
        <f>CONCATENATE("0",A25,B25)</f>
        <v>01.99.</v>
      </c>
      <c r="E25" s="1039"/>
      <c r="F25" s="1069" t="str">
        <f t="shared" si="2"/>
        <v>01.99.</v>
      </c>
      <c r="G25" s="1070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2"/>
      <c r="P25" s="777"/>
      <c r="Q25" s="777"/>
      <c r="R25" s="777"/>
      <c r="S25" s="777"/>
      <c r="T25" s="777"/>
      <c r="U25" s="777"/>
    </row>
    <row r="26" spans="1:21" ht="13.5" customHeight="1" thickBot="1">
      <c r="A26" s="1071"/>
      <c r="B26" s="1071"/>
      <c r="C26" s="1072"/>
      <c r="D26" s="1073"/>
      <c r="E26" s="1074"/>
      <c r="F26" s="1075"/>
      <c r="G26" s="1053"/>
      <c r="H26" s="1076"/>
      <c r="I26" s="1076"/>
      <c r="J26" s="1076"/>
      <c r="K26" s="1076"/>
      <c r="L26" s="1077"/>
      <c r="M26" s="1076"/>
      <c r="N26" s="1076"/>
    </row>
    <row r="27" spans="1:21" s="765" customFormat="1" ht="27.75" customHeight="1" thickTop="1">
      <c r="A27" s="766"/>
      <c r="B27" s="766"/>
      <c r="E27" s="1078"/>
      <c r="F27" s="817" t="s">
        <v>1604</v>
      </c>
      <c r="G27" s="1079"/>
      <c r="H27" s="1079"/>
      <c r="I27" s="1079"/>
      <c r="J27" s="1080"/>
      <c r="K27" s="1080"/>
      <c r="L27" s="1080"/>
      <c r="M27" s="1080"/>
      <c r="N27" s="1081"/>
    </row>
    <row r="28" spans="1:21" s="765" customFormat="1" ht="18.75" customHeight="1">
      <c r="A28" s="766"/>
      <c r="B28" s="766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5"/>
      <c r="N28" s="1086"/>
    </row>
    <row r="29" spans="1:21" s="765" customFormat="1" ht="25.5">
      <c r="A29" s="766"/>
      <c r="B29" s="766"/>
      <c r="D29" s="793">
        <f>COUNTA($D$28:D28)+1</f>
        <v>2</v>
      </c>
      <c r="F29" s="1083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5"/>
      <c r="N29" s="1086"/>
    </row>
    <row r="30" spans="1:21" s="765" customFormat="1" ht="25.5">
      <c r="A30" s="766"/>
      <c r="B30" s="766"/>
      <c r="D30" s="793"/>
      <c r="F30" s="1087" t="s">
        <v>1695</v>
      </c>
      <c r="G30" s="1084"/>
      <c r="H30" s="1084"/>
      <c r="I30" s="1084"/>
      <c r="J30" s="1085"/>
      <c r="K30" s="1085"/>
      <c r="L30" s="1085"/>
      <c r="M30" s="1085"/>
      <c r="N30" s="1086"/>
    </row>
    <row r="31" spans="1:21" s="765" customFormat="1" ht="25.5">
      <c r="A31" s="766"/>
      <c r="B31" s="766"/>
      <c r="D31" s="793"/>
      <c r="F31" s="1083" t="s">
        <v>1696</v>
      </c>
      <c r="G31" s="1084"/>
      <c r="H31" s="1084"/>
      <c r="I31" s="1084"/>
      <c r="J31" s="1085"/>
      <c r="K31" s="1085"/>
      <c r="L31" s="1085"/>
      <c r="M31" s="1085"/>
      <c r="N31" s="1086"/>
    </row>
    <row r="32" spans="1:21" s="765" customFormat="1" ht="27.75" customHeight="1">
      <c r="A32" s="766"/>
      <c r="B32" s="766"/>
      <c r="D32" s="793">
        <f>COUNTA($D$28:D29)+1</f>
        <v>3</v>
      </c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5"/>
      <c r="N32" s="1086"/>
    </row>
    <row r="33" spans="1:21" s="765" customFormat="1" ht="27.75" customHeight="1">
      <c r="A33" s="766"/>
      <c r="B33" s="766"/>
      <c r="D33" s="793">
        <f>COUNTA($D$28:D32)+1</f>
        <v>4</v>
      </c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5"/>
      <c r="N33" s="1086"/>
    </row>
    <row r="34" spans="1:21" s="765" customFormat="1" ht="27.75" customHeight="1">
      <c r="A34" s="766"/>
      <c r="B34" s="766"/>
      <c r="D34" s="793">
        <f>COUNTA($D$28:D33)+1</f>
        <v>5</v>
      </c>
      <c r="F34" s="1083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5"/>
      <c r="N34" s="1086"/>
    </row>
    <row r="35" spans="1:21" s="765" customFormat="1" ht="27.75" customHeight="1">
      <c r="A35" s="766"/>
      <c r="B35" s="766"/>
      <c r="D35" s="793">
        <f>COUNTA($D$28:D34)+1</f>
        <v>6</v>
      </c>
      <c r="F35" s="1083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5"/>
      <c r="N35" s="1086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8"/>
      <c r="H36" s="1088"/>
      <c r="I36" s="1088"/>
      <c r="J36" s="1089"/>
      <c r="K36" s="1089"/>
      <c r="L36" s="1089"/>
      <c r="M36" s="1089"/>
      <c r="N36" s="1090"/>
    </row>
    <row r="37" spans="1:21" ht="24" thickTop="1">
      <c r="A37" s="1071"/>
      <c r="B37" s="1071"/>
      <c r="C37" s="1072"/>
      <c r="D37" s="766"/>
      <c r="E37" s="1074"/>
      <c r="F37" s="1075"/>
      <c r="G37" s="1053"/>
      <c r="H37" s="1076"/>
      <c r="I37" s="1076"/>
      <c r="J37" s="1076"/>
      <c r="K37" s="1076"/>
      <c r="L37" s="1077"/>
      <c r="M37" s="1076"/>
      <c r="N37" s="1076"/>
    </row>
    <row r="38" spans="1:21" ht="13.5" customHeight="1">
      <c r="A38" s="1071"/>
      <c r="B38" s="1071"/>
      <c r="C38" s="1072"/>
      <c r="D38" s="1073"/>
      <c r="E38" s="1074"/>
      <c r="F38" s="1091"/>
      <c r="G38" s="1092"/>
      <c r="H38" s="1093"/>
      <c r="I38" s="1093"/>
      <c r="J38" s="1093"/>
      <c r="K38" s="1093"/>
      <c r="L38" s="1094"/>
      <c r="M38" s="1093"/>
      <c r="N38" s="1093"/>
    </row>
    <row r="39" spans="1:21" ht="30.75" thickBot="1">
      <c r="A39" s="1071"/>
      <c r="B39" s="1071"/>
      <c r="C39" s="1072"/>
      <c r="D39" s="1073"/>
      <c r="E39" s="1074"/>
      <c r="F39" s="181" t="s">
        <v>1676</v>
      </c>
      <c r="G39" s="1095"/>
      <c r="H39" s="1096"/>
      <c r="I39" s="1096"/>
      <c r="J39" s="1096"/>
      <c r="K39" s="1096"/>
      <c r="L39" s="1097"/>
      <c r="M39" s="1096"/>
      <c r="N39" s="1096"/>
    </row>
    <row r="40" spans="1:21" s="765" customFormat="1" ht="36" customHeight="1" thickTop="1" thickBot="1">
      <c r="A40" s="766"/>
      <c r="B40" s="766"/>
      <c r="C40" s="1098" t="s">
        <v>889</v>
      </c>
      <c r="F40" s="2233" t="s">
        <v>1625</v>
      </c>
      <c r="G40" s="2234"/>
      <c r="H40" s="2239" t="s">
        <v>1612</v>
      </c>
      <c r="I40" s="2240"/>
      <c r="J40" s="2240"/>
      <c r="K40" s="2240"/>
      <c r="L40" s="2241"/>
      <c r="M40" s="2239" t="s">
        <v>678</v>
      </c>
      <c r="N40" s="2241"/>
    </row>
    <row r="41" spans="1:21" ht="52.5" customHeight="1" thickTop="1" thickBot="1">
      <c r="C41" s="2225" t="str">
        <f ca="1">RIGHT(CELL("nombrearchivo",$A$1),LEN(CELL("nombrearchivo",$A$1))-SEARCH("]",CELL("nombrearchivo",$A$1)))</f>
        <v>Tabla II.</v>
      </c>
      <c r="D41" s="2226"/>
      <c r="F41" s="2235"/>
      <c r="G41" s="2236"/>
      <c r="H41" s="2229" t="str">
        <f>+H10</f>
        <v>SALDO A FINES DE DICIEMBRE 2019</v>
      </c>
      <c r="I41" s="2231" t="str">
        <f>+I10</f>
        <v>TRANSACCIONES DEL
 1T2020 (ENE - MAR)</v>
      </c>
      <c r="J41" s="2232"/>
      <c r="K41" s="2243" t="str">
        <f>"Variaciones por tipo de cambio ú otros (+ , -)  "&amp;$D$75&amp;"/"</f>
        <v>Variaciones por tipo de cambio ú otros (+ , -)  7/</v>
      </c>
      <c r="L41" s="2247" t="str">
        <f>+L10</f>
        <v>SALDO A FINES DE MARZO 2020</v>
      </c>
      <c r="M41" s="2245" t="str">
        <f>+M10</f>
        <v>Transacciones (movimiento) del 1T2020 (ENE - MAR)</v>
      </c>
      <c r="N41" s="2246"/>
    </row>
    <row r="42" spans="1:21" s="779" customFormat="1" ht="85.5" thickTop="1" thickBot="1">
      <c r="A42" s="1023"/>
      <c r="B42" s="1023"/>
      <c r="C42" s="2227"/>
      <c r="D42" s="2228"/>
      <c r="E42" s="777"/>
      <c r="F42" s="2235"/>
      <c r="G42" s="2236"/>
      <c r="H42" s="2230"/>
      <c r="I42" s="1024" t="s">
        <v>1633</v>
      </c>
      <c r="J42" s="1024" t="s">
        <v>1632</v>
      </c>
      <c r="K42" s="2244"/>
      <c r="L42" s="2248"/>
      <c r="M42" s="1025" t="str">
        <f>+M11</f>
        <v>COBRADOS</v>
      </c>
      <c r="N42" s="1026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7" t="s">
        <v>894</v>
      </c>
      <c r="B43" s="1027" t="s">
        <v>895</v>
      </c>
      <c r="C43" s="1028" t="s">
        <v>68</v>
      </c>
      <c r="D43" s="1029" t="s">
        <v>69</v>
      </c>
      <c r="E43" s="777"/>
      <c r="F43" s="2237"/>
      <c r="G43" s="2238"/>
      <c r="H43" s="1030" t="s">
        <v>640</v>
      </c>
      <c r="I43" s="1031" t="s">
        <v>641</v>
      </c>
      <c r="J43" s="1031" t="s">
        <v>642</v>
      </c>
      <c r="K43" s="1032" t="s">
        <v>643</v>
      </c>
      <c r="L43" s="1033" t="s">
        <v>671</v>
      </c>
      <c r="M43" s="1031" t="s">
        <v>645</v>
      </c>
      <c r="N43" s="1034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099">
        <f>+A25+1</f>
        <v>2</v>
      </c>
      <c r="B44" s="1100" t="s">
        <v>1777</v>
      </c>
      <c r="C44" s="1101" t="s">
        <v>679</v>
      </c>
      <c r="D44" s="1102" t="str">
        <f t="shared" si="1"/>
        <v>02.01.</v>
      </c>
      <c r="E44" s="1039"/>
      <c r="F44" s="1103" t="str">
        <f>+D44</f>
        <v>02.01.</v>
      </c>
      <c r="G44" s="1104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2"/>
      <c r="P44" s="777"/>
      <c r="Q44" s="777"/>
      <c r="R44" s="777"/>
      <c r="S44" s="777"/>
      <c r="T44" s="777"/>
      <c r="U44" s="777"/>
    </row>
    <row r="45" spans="1:21" ht="21">
      <c r="A45" s="1043">
        <f t="shared" ref="A45:A60" si="5">+A44</f>
        <v>2</v>
      </c>
      <c r="B45" s="1036" t="s">
        <v>1778</v>
      </c>
      <c r="C45" s="1105"/>
      <c r="D45" s="1106" t="str">
        <f t="shared" si="1"/>
        <v>02.01.01.</v>
      </c>
      <c r="E45" s="1039"/>
      <c r="F45" s="1107" t="str">
        <f t="shared" ref="F45:F60" si="6">+D45</f>
        <v>02.01.01.</v>
      </c>
      <c r="G45" s="1108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2"/>
    </row>
    <row r="46" spans="1:21" ht="21">
      <c r="A46" s="1043">
        <f t="shared" si="5"/>
        <v>2</v>
      </c>
      <c r="B46" s="1044" t="s">
        <v>890</v>
      </c>
      <c r="C46" s="1109" t="s">
        <v>693</v>
      </c>
      <c r="D46" s="1110" t="str">
        <f t="shared" si="1"/>
        <v>02.01.01.01.</v>
      </c>
      <c r="E46" s="1039"/>
      <c r="F46" s="1111" t="str">
        <f t="shared" si="6"/>
        <v>02.01.01.01.</v>
      </c>
      <c r="G46" s="1112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2"/>
    </row>
    <row r="47" spans="1:21" ht="21">
      <c r="A47" s="1043">
        <f t="shared" si="5"/>
        <v>2</v>
      </c>
      <c r="B47" s="1044" t="s">
        <v>896</v>
      </c>
      <c r="C47" s="1113" t="s">
        <v>695</v>
      </c>
      <c r="D47" s="1051" t="str">
        <f t="shared" si="1"/>
        <v>02.01.01.02.</v>
      </c>
      <c r="E47" s="1039"/>
      <c r="F47" s="1111" t="str">
        <f t="shared" si="6"/>
        <v>02.01.01.02.</v>
      </c>
      <c r="G47" s="1112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2"/>
    </row>
    <row r="48" spans="1:21" ht="21">
      <c r="A48" s="1043">
        <f t="shared" si="5"/>
        <v>2</v>
      </c>
      <c r="B48" s="1036" t="s">
        <v>1779</v>
      </c>
      <c r="C48" s="1105"/>
      <c r="D48" s="1114" t="str">
        <f t="shared" si="1"/>
        <v>02.01.02.</v>
      </c>
      <c r="E48" s="1039"/>
      <c r="F48" s="1107" t="str">
        <f t="shared" si="6"/>
        <v>02.01.02.</v>
      </c>
      <c r="G48" s="1108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2"/>
    </row>
    <row r="49" spans="1:21" ht="21">
      <c r="A49" s="1043">
        <f t="shared" si="5"/>
        <v>2</v>
      </c>
      <c r="B49" s="1044" t="s">
        <v>899</v>
      </c>
      <c r="C49" s="1109" t="s">
        <v>694</v>
      </c>
      <c r="D49" s="1110" t="str">
        <f t="shared" si="1"/>
        <v>02.01.02.01.</v>
      </c>
      <c r="E49" s="1039"/>
      <c r="F49" s="1115" t="str">
        <f t="shared" si="6"/>
        <v>02.01.02.01.</v>
      </c>
      <c r="G49" s="1112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2"/>
    </row>
    <row r="50" spans="1:21" ht="21">
      <c r="A50" s="1043">
        <f t="shared" si="5"/>
        <v>2</v>
      </c>
      <c r="B50" s="1044" t="s">
        <v>891</v>
      </c>
      <c r="C50" s="1113" t="s">
        <v>696</v>
      </c>
      <c r="D50" s="1051" t="str">
        <f t="shared" si="1"/>
        <v>02.01.02.02.</v>
      </c>
      <c r="E50" s="1039"/>
      <c r="F50" s="1115" t="str">
        <f t="shared" si="6"/>
        <v>02.01.02.02.</v>
      </c>
      <c r="G50" s="1112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2"/>
    </row>
    <row r="51" spans="1:21" ht="21">
      <c r="A51" s="1043">
        <f>+A50</f>
        <v>2</v>
      </c>
      <c r="B51" s="1036" t="s">
        <v>1788</v>
      </c>
      <c r="C51" s="1105"/>
      <c r="D51" s="1114" t="str">
        <f t="shared" si="1"/>
        <v>02.01.03.</v>
      </c>
      <c r="E51" s="1039"/>
      <c r="F51" s="1107" t="str">
        <f t="shared" si="6"/>
        <v>02.01.03.</v>
      </c>
      <c r="G51" s="1108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2"/>
    </row>
    <row r="52" spans="1:21" ht="21">
      <c r="A52" s="1043">
        <f t="shared" si="5"/>
        <v>2</v>
      </c>
      <c r="B52" s="1044" t="s">
        <v>1774</v>
      </c>
      <c r="C52" s="1109" t="s">
        <v>694</v>
      </c>
      <c r="D52" s="1110" t="str">
        <f t="shared" si="1"/>
        <v>02.01.03.01.</v>
      </c>
      <c r="E52" s="1039"/>
      <c r="F52" s="1111" t="str">
        <f t="shared" si="6"/>
        <v>02.01.03.01.</v>
      </c>
      <c r="G52" s="1112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2"/>
    </row>
    <row r="53" spans="1:21" ht="21">
      <c r="A53" s="1043">
        <f t="shared" si="5"/>
        <v>2</v>
      </c>
      <c r="B53" s="1044" t="s">
        <v>1775</v>
      </c>
      <c r="C53" s="1116" t="s">
        <v>696</v>
      </c>
      <c r="D53" s="1110" t="str">
        <f t="shared" si="1"/>
        <v>02.01.03.02.</v>
      </c>
      <c r="E53" s="1039"/>
      <c r="F53" s="1111" t="str">
        <f t="shared" si="6"/>
        <v>02.01.03.02.</v>
      </c>
      <c r="G53" s="1112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2"/>
    </row>
    <row r="54" spans="1:21" s="779" customFormat="1" ht="26.25" customHeight="1">
      <c r="A54" s="1099">
        <f t="shared" si="5"/>
        <v>2</v>
      </c>
      <c r="B54" s="1100" t="s">
        <v>1781</v>
      </c>
      <c r="C54" s="1101" t="s">
        <v>680</v>
      </c>
      <c r="D54" s="1117" t="str">
        <f t="shared" si="1"/>
        <v>02.02.01.</v>
      </c>
      <c r="E54" s="1039"/>
      <c r="F54" s="1118" t="str">
        <f t="shared" si="6"/>
        <v>02.02.01.</v>
      </c>
      <c r="G54" s="1119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2"/>
      <c r="P54" s="777"/>
      <c r="Q54" s="777"/>
      <c r="R54" s="777"/>
      <c r="S54" s="777"/>
      <c r="T54" s="777"/>
      <c r="U54" s="777"/>
    </row>
    <row r="55" spans="1:21" ht="21">
      <c r="A55" s="1043">
        <f t="shared" si="5"/>
        <v>2</v>
      </c>
      <c r="B55" s="1044" t="s">
        <v>892</v>
      </c>
      <c r="C55" s="1120" t="s">
        <v>697</v>
      </c>
      <c r="D55" s="1110" t="str">
        <f t="shared" si="1"/>
        <v>02.02.01.01.</v>
      </c>
      <c r="E55" s="1039"/>
      <c r="F55" s="1111" t="str">
        <f t="shared" si="6"/>
        <v>02.02.01.01.</v>
      </c>
      <c r="G55" s="1112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2"/>
    </row>
    <row r="56" spans="1:21" ht="21">
      <c r="A56" s="1043">
        <f t="shared" si="5"/>
        <v>2</v>
      </c>
      <c r="B56" s="1044" t="s">
        <v>897</v>
      </c>
      <c r="C56" s="1120" t="s">
        <v>698</v>
      </c>
      <c r="D56" s="1110" t="str">
        <f t="shared" si="1"/>
        <v>02.02.01.02.</v>
      </c>
      <c r="E56" s="1039"/>
      <c r="F56" s="1121" t="str">
        <f t="shared" si="6"/>
        <v>02.02.01.02.</v>
      </c>
      <c r="G56" s="1112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2"/>
    </row>
    <row r="57" spans="1:21" s="779" customFormat="1" ht="26.25" customHeight="1">
      <c r="A57" s="1099">
        <f t="shared" si="5"/>
        <v>2</v>
      </c>
      <c r="B57" s="1100" t="s">
        <v>1784</v>
      </c>
      <c r="C57" s="1101" t="s">
        <v>681</v>
      </c>
      <c r="D57" s="1117" t="str">
        <f t="shared" si="1"/>
        <v>02.03.01.</v>
      </c>
      <c r="E57" s="1039"/>
      <c r="F57" s="1118" t="str">
        <f t="shared" si="6"/>
        <v>02.03.01.</v>
      </c>
      <c r="G57" s="1119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2"/>
      <c r="P57" s="777"/>
      <c r="Q57" s="777"/>
      <c r="R57" s="777"/>
      <c r="S57" s="777"/>
      <c r="T57" s="777"/>
      <c r="U57" s="777"/>
    </row>
    <row r="58" spans="1:21" ht="21">
      <c r="A58" s="1043">
        <f t="shared" si="5"/>
        <v>2</v>
      </c>
      <c r="B58" s="1044" t="s">
        <v>893</v>
      </c>
      <c r="C58" s="1120" t="s">
        <v>699</v>
      </c>
      <c r="D58" s="1110" t="str">
        <f t="shared" si="1"/>
        <v>02.03.01.01.</v>
      </c>
      <c r="E58" s="1039"/>
      <c r="F58" s="1111" t="str">
        <f t="shared" si="6"/>
        <v>02.03.01.01.</v>
      </c>
      <c r="G58" s="1122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2"/>
    </row>
    <row r="59" spans="1:21" ht="21.75" thickBot="1">
      <c r="A59" s="1043">
        <f t="shared" si="5"/>
        <v>2</v>
      </c>
      <c r="B59" s="1044" t="s">
        <v>898</v>
      </c>
      <c r="C59" s="1123" t="s">
        <v>700</v>
      </c>
      <c r="D59" s="1051" t="str">
        <f t="shared" si="1"/>
        <v>02.03.01.02.</v>
      </c>
      <c r="E59" s="1039"/>
      <c r="F59" s="1121" t="str">
        <f t="shared" si="6"/>
        <v>02.03.01.02.</v>
      </c>
      <c r="G59" s="1124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2"/>
    </row>
    <row r="60" spans="1:21" s="779" customFormat="1" ht="22.5" thickTop="1" thickBot="1">
      <c r="A60" s="1125">
        <f t="shared" si="5"/>
        <v>2</v>
      </c>
      <c r="B60" s="1126" t="s">
        <v>1787</v>
      </c>
      <c r="C60" s="1127" t="s">
        <v>701</v>
      </c>
      <c r="D60" s="1128" t="str">
        <f t="shared" si="1"/>
        <v>02.99.</v>
      </c>
      <c r="E60" s="1039"/>
      <c r="F60" s="1129" t="str">
        <f t="shared" si="6"/>
        <v>02.99.</v>
      </c>
      <c r="G60" s="1070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2"/>
      <c r="P60" s="777"/>
      <c r="Q60" s="777"/>
      <c r="R60" s="777"/>
      <c r="S60" s="777"/>
      <c r="T60" s="777"/>
      <c r="U60" s="777"/>
    </row>
    <row r="61" spans="1:21" ht="17.25" customHeight="1">
      <c r="F61" s="1130" t="s">
        <v>884</v>
      </c>
      <c r="G61" s="1084"/>
      <c r="H61" s="1084"/>
      <c r="I61" s="1084"/>
      <c r="J61" s="1082"/>
      <c r="K61" s="1082"/>
      <c r="L61" s="1082"/>
      <c r="M61" s="1082"/>
      <c r="N61" s="1082"/>
    </row>
    <row r="62" spans="1:21" ht="26.25" thickBot="1">
      <c r="F62" s="1131" t="s">
        <v>4261</v>
      </c>
      <c r="G62" s="1084"/>
      <c r="H62" s="1084"/>
      <c r="I62" s="1084"/>
      <c r="J62" s="1082"/>
      <c r="K62" s="1082"/>
      <c r="L62" s="1082"/>
      <c r="M62" s="1082"/>
      <c r="N62" s="1082"/>
    </row>
    <row r="63" spans="1:21" ht="27" customHeight="1" thickTop="1">
      <c r="A63" s="1043">
        <v>2</v>
      </c>
      <c r="B63" s="1132" t="s">
        <v>1789</v>
      </c>
      <c r="C63" s="1133"/>
      <c r="D63" s="1134" t="str">
        <f>CONCATENATE("0",A63,B63)</f>
        <v>02.01.03..</v>
      </c>
      <c r="E63" s="1039"/>
      <c r="F63" s="1135" t="str">
        <f>+D63</f>
        <v>02.01.03..</v>
      </c>
      <c r="G63" s="1136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7">
        <f>SUM(N64,N65)</f>
        <v>0</v>
      </c>
      <c r="O63" s="1042"/>
    </row>
    <row r="64" spans="1:21" ht="21">
      <c r="A64" s="1043">
        <v>2</v>
      </c>
      <c r="B64" s="1132" t="s">
        <v>1790</v>
      </c>
      <c r="C64" s="1109"/>
      <c r="D64" s="1110" t="str">
        <f>CONCATENATE("0",A64,B64)</f>
        <v>02.01.03..01</v>
      </c>
      <c r="E64" s="1039"/>
      <c r="F64" s="1047" t="str">
        <f>+D64</f>
        <v>02.01.03..01</v>
      </c>
      <c r="G64" s="1048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2"/>
    </row>
    <row r="65" spans="1:15" ht="21.75" thickBot="1">
      <c r="A65" s="1043">
        <v>2</v>
      </c>
      <c r="B65" s="1132" t="s">
        <v>1791</v>
      </c>
      <c r="C65" s="1138"/>
      <c r="D65" s="1139" t="str">
        <f>CONCATENATE("0",A65,B65)</f>
        <v>02.01.03..02</v>
      </c>
      <c r="E65" s="1039"/>
      <c r="F65" s="1140" t="str">
        <f>+D65</f>
        <v>02.01.03..02</v>
      </c>
      <c r="G65" s="1141" t="str">
        <f>"b. Corto plazo "&amp;$D$71&amp;"/"</f>
        <v>b. Corto plazo 3/</v>
      </c>
      <c r="H65" s="371"/>
      <c r="I65" s="372"/>
      <c r="J65" s="372"/>
      <c r="K65" s="373"/>
      <c r="L65" s="1142">
        <f>+H65+I65-J65+K65</f>
        <v>0</v>
      </c>
      <c r="M65" s="372"/>
      <c r="N65" s="374"/>
      <c r="O65" s="1042"/>
    </row>
    <row r="66" spans="1:15" ht="11.25" customHeight="1" thickTop="1" thickBot="1">
      <c r="A66" s="766"/>
      <c r="B66" s="766"/>
      <c r="C66" s="1143"/>
      <c r="D66" s="1073"/>
      <c r="E66" s="1039"/>
      <c r="F66" s="1144"/>
      <c r="G66" s="1145"/>
      <c r="H66" s="1146"/>
      <c r="I66" s="1146"/>
      <c r="J66" s="1146"/>
      <c r="K66" s="1146"/>
      <c r="L66" s="1146"/>
      <c r="M66" s="1146"/>
      <c r="N66" s="1146"/>
    </row>
    <row r="67" spans="1:15" s="765" customFormat="1" ht="27.75" customHeight="1" thickTop="1">
      <c r="A67" s="766"/>
      <c r="B67" s="766"/>
      <c r="E67" s="1078"/>
      <c r="F67" s="817" t="s">
        <v>1604</v>
      </c>
      <c r="G67" s="1079"/>
      <c r="H67" s="1079"/>
      <c r="I67" s="1079"/>
      <c r="J67" s="1080"/>
      <c r="K67" s="1080"/>
      <c r="L67" s="1080"/>
      <c r="M67" s="1080"/>
      <c r="N67" s="1081"/>
    </row>
    <row r="68" spans="1:15" s="765" customFormat="1" ht="20.25" customHeight="1">
      <c r="A68" s="766"/>
      <c r="B68" s="766"/>
      <c r="D68" s="831">
        <v>1</v>
      </c>
      <c r="F68" s="1083" t="str">
        <f>D68&amp;"/"&amp; " Créditos comerciales, como la venta al crédito de bienes (exportaciones)."</f>
        <v>1/ Créditos comerciales, como la venta al crédito de bienes (exportaciones).</v>
      </c>
      <c r="G68" s="1084"/>
      <c r="H68" s="1084"/>
      <c r="I68" s="1084"/>
      <c r="J68" s="1085"/>
      <c r="K68" s="1085"/>
      <c r="L68" s="1085"/>
      <c r="M68" s="1085"/>
      <c r="N68" s="1086"/>
    </row>
    <row r="69" spans="1:15" s="765" customFormat="1" ht="20.25" customHeight="1">
      <c r="A69" s="766"/>
      <c r="B69" s="766"/>
      <c r="D69" s="831"/>
      <c r="F69" s="1083" t="s">
        <v>1680</v>
      </c>
      <c r="G69" s="1084"/>
      <c r="H69" s="1084"/>
      <c r="I69" s="1084"/>
      <c r="J69" s="1085"/>
      <c r="K69" s="1085"/>
      <c r="L69" s="1085"/>
      <c r="M69" s="1085"/>
      <c r="N69" s="1086"/>
    </row>
    <row r="70" spans="1:15" s="765" customFormat="1" ht="27.75" customHeight="1">
      <c r="A70" s="766"/>
      <c r="B70" s="766"/>
      <c r="D70" s="831">
        <f>COUNTA($D$68:D68)+1</f>
        <v>2</v>
      </c>
      <c r="F70" s="1083" t="str">
        <f>D70&amp;"/"&amp; " Cuyo plazo de vencimiento original es mayor de un año o no está determinado."</f>
        <v>2/ Cuyo plazo de vencimiento original es mayor de un año o no está determinado.</v>
      </c>
      <c r="G70" s="1084"/>
      <c r="H70" s="1084"/>
      <c r="I70" s="1084"/>
      <c r="J70" s="1085"/>
      <c r="K70" s="1085"/>
      <c r="L70" s="1085"/>
      <c r="M70" s="1085"/>
      <c r="N70" s="1086"/>
    </row>
    <row r="71" spans="1:15" s="765" customFormat="1" ht="27.75" customHeight="1">
      <c r="A71" s="766"/>
      <c r="B71" s="766"/>
      <c r="D71" s="831">
        <f>COUNTA($D$68:D70)+1</f>
        <v>3</v>
      </c>
      <c r="F71" s="1083" t="str">
        <f>D71&amp;"/"&amp; " Cuyo plazo de vencimiento original es igual o menor a un año."</f>
        <v>3/ Cuyo plazo de vencimiento original es igual o menor a un año.</v>
      </c>
      <c r="G71" s="1084"/>
      <c r="H71" s="1084"/>
      <c r="I71" s="1084"/>
      <c r="J71" s="1085"/>
      <c r="K71" s="1085"/>
      <c r="L71" s="1085"/>
      <c r="M71" s="1085"/>
      <c r="N71" s="1086"/>
    </row>
    <row r="72" spans="1:15" s="765" customFormat="1" ht="27.75" customHeight="1">
      <c r="A72" s="766"/>
      <c r="B72" s="766"/>
      <c r="D72" s="831">
        <f>COUNTA($D$68:D71)+1</f>
        <v>4</v>
      </c>
      <c r="F72" s="1083" t="str">
        <f>D72&amp;"/"&amp; " Préstamos que la empresa declarante otorga a no residentes."</f>
        <v>4/ Préstamos que la empresa declarante otorga a no residentes.</v>
      </c>
      <c r="G72" s="1084"/>
      <c r="H72" s="1084"/>
      <c r="I72" s="1084"/>
      <c r="J72" s="1085"/>
      <c r="K72" s="1085"/>
      <c r="L72" s="1085"/>
      <c r="M72" s="1085"/>
      <c r="N72" s="1086"/>
    </row>
    <row r="73" spans="1:15" s="765" customFormat="1" ht="27.75" customHeight="1">
      <c r="A73" s="766"/>
      <c r="B73" s="766"/>
      <c r="D73" s="831">
        <f>COUNTA($D$68:D72)+1</f>
        <v>5</v>
      </c>
      <c r="F73" s="1083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4"/>
      <c r="H73" s="1084"/>
      <c r="I73" s="1084"/>
      <c r="J73" s="1085"/>
      <c r="K73" s="1085"/>
      <c r="L73" s="1085"/>
      <c r="M73" s="1085"/>
      <c r="N73" s="1086"/>
    </row>
    <row r="74" spans="1:15" s="765" customFormat="1" ht="27.75" customHeight="1">
      <c r="A74" s="766"/>
      <c r="B74" s="766"/>
      <c r="D74" s="831">
        <f>COUNTA($D$68:D73)+1</f>
        <v>6</v>
      </c>
      <c r="F74" s="1083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4"/>
      <c r="H74" s="1084"/>
      <c r="I74" s="1084"/>
      <c r="J74" s="1085"/>
      <c r="K74" s="1085"/>
      <c r="L74" s="1085"/>
      <c r="M74" s="1085"/>
      <c r="N74" s="1086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8"/>
      <c r="H75" s="1088"/>
      <c r="I75" s="1088"/>
      <c r="J75" s="1089"/>
      <c r="K75" s="1089"/>
      <c r="L75" s="1089"/>
      <c r="M75" s="1089"/>
      <c r="N75" s="1090"/>
    </row>
    <row r="76" spans="1:15" s="765" customFormat="1" ht="39" customHeight="1" thickTop="1">
      <c r="A76" s="766"/>
      <c r="B76" s="766"/>
      <c r="F76" s="1130" t="s">
        <v>884</v>
      </c>
      <c r="G76" s="1084"/>
      <c r="H76" s="1084"/>
      <c r="I76" s="1084"/>
      <c r="J76" s="1082"/>
      <c r="K76" s="1082"/>
      <c r="L76" s="1082"/>
      <c r="M76" s="1082"/>
      <c r="N76" s="1082"/>
    </row>
    <row r="77" spans="1:15" s="765" customFormat="1" ht="39" customHeight="1">
      <c r="A77" s="766"/>
      <c r="B77" s="766"/>
      <c r="F77" s="1131"/>
      <c r="G77" s="1084"/>
      <c r="H77" s="1084"/>
      <c r="I77" s="1084"/>
      <c r="J77" s="1082"/>
      <c r="K77" s="1082"/>
      <c r="L77" s="1082"/>
      <c r="M77" s="1082"/>
      <c r="N77" s="1082"/>
    </row>
    <row r="78" spans="1:15" ht="67.5" customHeight="1">
      <c r="F78" s="1147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8"/>
      <c r="G85" s="1020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0" customFormat="1" hidden="1">
      <c r="A90" s="1149"/>
      <c r="B90" s="1149"/>
    </row>
    <row r="91" spans="1:14" s="1150" customFormat="1" hidden="1">
      <c r="A91" s="1149"/>
      <c r="B91" s="1149"/>
    </row>
    <row r="92" spans="1:14" s="1150" customFormat="1" ht="27.75" hidden="1" customHeight="1">
      <c r="A92" s="1149"/>
      <c r="B92" s="1149"/>
    </row>
    <row r="93" spans="1:14" s="1150" customFormat="1" ht="27.75" hidden="1" customHeight="1" thickBot="1">
      <c r="A93" s="1149"/>
      <c r="B93" s="1149"/>
    </row>
    <row r="94" spans="1:14" s="1150" customFormat="1" ht="45.75" hidden="1" customHeight="1">
      <c r="A94" s="1149"/>
      <c r="B94" s="1149"/>
      <c r="I94" s="1151" t="s">
        <v>223</v>
      </c>
      <c r="J94" s="1152" t="s">
        <v>224</v>
      </c>
    </row>
    <row r="95" spans="1:14" s="1150" customFormat="1" ht="27.75" hidden="1" customHeight="1">
      <c r="A95" s="1149"/>
      <c r="B95" s="1149"/>
      <c r="I95" s="1153" t="s">
        <v>185</v>
      </c>
      <c r="J95" s="1154"/>
    </row>
    <row r="96" spans="1:14" s="1150" customFormat="1" ht="27.75" hidden="1" customHeight="1" thickBot="1">
      <c r="A96" s="1149"/>
      <c r="B96" s="1149"/>
      <c r="I96" s="1155" t="s">
        <v>630</v>
      </c>
      <c r="J96" s="1156"/>
    </row>
    <row r="97" spans="1:14" s="1150" customFormat="1" ht="27.75" hidden="1" customHeight="1">
      <c r="A97" s="1149"/>
      <c r="B97" s="1149"/>
    </row>
    <row r="98" spans="1:14" s="1150" customFormat="1" ht="27.75" customHeight="1">
      <c r="A98" s="1149"/>
      <c r="B98" s="1149"/>
    </row>
    <row r="99" spans="1:14" s="1150" customFormat="1" ht="27.75" customHeight="1">
      <c r="A99" s="1149"/>
      <c r="B99" s="1149"/>
    </row>
    <row r="100" spans="1:14" s="1150" customFormat="1" ht="27.75" customHeight="1">
      <c r="A100" s="1149"/>
      <c r="B100" s="1149"/>
    </row>
    <row r="101" spans="1:14" s="1150" customFormat="1" ht="27.75" customHeight="1">
      <c r="A101" s="1149"/>
      <c r="B101" s="1149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password="EC0E" sheet="1" objects="1" scenarios="1"/>
  <mergeCells count="19"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70" zoomScaleNormal="70" workbookViewId="0">
      <pane xSplit="1" ySplit="5" topLeftCell="H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7" hidden="1" customWidth="1"/>
    <col min="2" max="2" width="21.7109375" style="1157" hidden="1" customWidth="1"/>
    <col min="3" max="3" width="22.28515625" style="1009" hidden="1" customWidth="1"/>
    <col min="4" max="4" width="24.28515625" style="1009" hidden="1" customWidth="1"/>
    <col min="5" max="5" width="7.7109375" style="1158" customWidth="1"/>
    <col min="6" max="6" width="22.140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14" width="7.140625" style="1009" customWidth="1"/>
    <col min="15" max="16" width="11.42578125" style="1009"/>
    <col min="17" max="16384" width="11.42578125" style="1159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09" customFormat="1" ht="18.75" customHeight="1">
      <c r="B3" s="1010"/>
      <c r="C3" s="1010"/>
      <c r="D3" s="1010"/>
      <c r="F3" s="767"/>
      <c r="G3" s="767"/>
      <c r="H3" s="1014"/>
      <c r="I3" s="1015"/>
      <c r="J3" s="1015"/>
      <c r="K3" s="1016"/>
      <c r="L3" s="1011"/>
      <c r="M3" s="1011"/>
      <c r="N3" s="1011"/>
    </row>
    <row r="4" spans="1:16" s="1009" customFormat="1" ht="35.25">
      <c r="B4" s="1010"/>
      <c r="C4" s="1010"/>
      <c r="D4" s="1010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16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</row>
    <row r="6" spans="1:16" s="1009" customFormat="1" ht="35.25" customHeight="1">
      <c r="B6" s="1010"/>
      <c r="C6" s="1010"/>
      <c r="D6" s="1010"/>
      <c r="F6" s="2242" t="s">
        <v>4293</v>
      </c>
      <c r="G6" s="2242"/>
      <c r="H6" s="2242"/>
      <c r="I6" s="2242"/>
      <c r="J6" s="2242"/>
      <c r="K6" s="2242"/>
      <c r="L6" s="2242"/>
      <c r="M6" s="2242"/>
      <c r="N6" s="2242"/>
    </row>
    <row r="7" spans="1:16" ht="6.75" customHeight="1"/>
    <row r="8" spans="1:16" s="1009" customFormat="1" ht="33" customHeight="1" thickBot="1">
      <c r="A8" s="1160"/>
      <c r="B8" s="1160"/>
      <c r="E8" s="1158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09" customFormat="1" ht="43.5" thickTop="1" thickBot="1">
      <c r="A9" s="1160"/>
      <c r="B9" s="1160"/>
      <c r="C9" s="1022" t="str">
        <f ca="1">RIGHT(CELL("nombrearchivo",$A$1),LEN(CELL("nombrearchivo",$A$1))-SEARCH("]",CELL("nombrearchivo",$A$1)))</f>
        <v>Tabla III.1.</v>
      </c>
      <c r="E9" s="1158"/>
      <c r="F9" s="2250" t="s">
        <v>1773</v>
      </c>
      <c r="G9" s="2251"/>
      <c r="H9" s="2239" t="s">
        <v>1612</v>
      </c>
      <c r="I9" s="2240"/>
      <c r="J9" s="2240"/>
      <c r="K9" s="2240"/>
      <c r="L9" s="2241"/>
      <c r="M9" s="1161" t="s">
        <v>1618</v>
      </c>
    </row>
    <row r="10" spans="1:16" ht="51.75" customHeight="1" thickTop="1">
      <c r="C10" s="2225" t="str">
        <f ca="1">RIGHT(CELL("nombrearchivo",$A$1),LEN(CELL("nombrearchivo",$A$1))-SEARCH("]",CELL("nombrearchivo",$A$1)))</f>
        <v>Tabla III.1.</v>
      </c>
      <c r="D10" s="2226"/>
      <c r="F10" s="2252"/>
      <c r="G10" s="2253"/>
      <c r="H10" s="2256" t="str">
        <f>+'Tabla II.'!H10</f>
        <v>SALDO A FINES DE DICIEMBRE 2019</v>
      </c>
      <c r="I10" s="2257" t="str">
        <f>+'Tabla II.'!I10</f>
        <v>TRANSACCIONES DEL
 1T2020 (ENE - MAR)</v>
      </c>
      <c r="J10" s="2258"/>
      <c r="K10" s="2243" t="str">
        <f>"Variaciones por tipo de cambio ú otros (+ , -) 
"&amp;$D$37&amp;"/"</f>
        <v>Variaciones por tipo de cambio ú otros (+ , -) 
8/</v>
      </c>
      <c r="L10" s="2259" t="str">
        <f>+'Tabla II.'!L10</f>
        <v>SALDO A FINES DE MARZO 2020</v>
      </c>
      <c r="M10" s="1162" t="str">
        <f>CONCATENATE("SALDO DE ATRASOS A FINES DEL ",Menu!D3,"T",Menu!C3," ")</f>
        <v xml:space="preserve">SALDO DE ATRASOS A FINES DEL 1T2020 </v>
      </c>
    </row>
    <row r="11" spans="1:16" ht="84" customHeight="1" thickBot="1">
      <c r="C11" s="2227"/>
      <c r="D11" s="2228"/>
      <c r="F11" s="2252"/>
      <c r="G11" s="2253"/>
      <c r="H11" s="2230"/>
      <c r="I11" s="1024" t="s">
        <v>1634</v>
      </c>
      <c r="J11" s="1024" t="str">
        <f>"Disminución del saldo
(amortización) "&amp;$D$36&amp;"/"</f>
        <v>Disminución del saldo
(amortización) 7/</v>
      </c>
      <c r="K11" s="2244"/>
      <c r="L11" s="2248"/>
      <c r="M11" s="1163" t="s">
        <v>1619</v>
      </c>
    </row>
    <row r="12" spans="1:16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54"/>
      <c r="G12" s="2255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169" t="s">
        <v>901</v>
      </c>
      <c r="N12" s="1170"/>
      <c r="O12" s="1170"/>
      <c r="P12" s="1170"/>
    </row>
    <row r="13" spans="1:16" s="1171" customFormat="1" ht="36" customHeight="1" thickTop="1">
      <c r="A13" s="1172">
        <f>+'Tabla II.'!A60+1</f>
        <v>3</v>
      </c>
      <c r="B13" s="1173" t="s">
        <v>1777</v>
      </c>
      <c r="C13" s="1174"/>
      <c r="D13" s="1175" t="str">
        <f t="shared" ref="D13:D24" si="0">CONCATENATE("0",A13,B13)</f>
        <v>03.01.</v>
      </c>
      <c r="E13" s="1039"/>
      <c r="F13" s="1176" t="str">
        <f>+D13</f>
        <v>03.01.</v>
      </c>
      <c r="G13" s="1041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2"/>
      <c r="O13" s="1170"/>
      <c r="P13" s="1170"/>
    </row>
    <row r="14" spans="1:16" s="1171" customFormat="1" ht="23.1" customHeight="1">
      <c r="A14" s="1172">
        <f t="shared" ref="A14:A25" si="1">+A13</f>
        <v>3</v>
      </c>
      <c r="B14" s="1177" t="s">
        <v>1792</v>
      </c>
      <c r="C14" s="1178">
        <v>101</v>
      </c>
      <c r="D14" s="1179" t="str">
        <f t="shared" si="0"/>
        <v>03.01.00.01.</v>
      </c>
      <c r="E14" s="1039"/>
      <c r="F14" s="1180" t="str">
        <f t="shared" ref="F14:F25" si="2">+D14</f>
        <v>03.01.00.01.</v>
      </c>
      <c r="G14" s="1181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2"/>
      <c r="O14" s="1170"/>
      <c r="P14" s="1170"/>
    </row>
    <row r="15" spans="1:16" s="1171" customFormat="1" ht="23.1" customHeight="1">
      <c r="A15" s="1172">
        <f t="shared" si="1"/>
        <v>3</v>
      </c>
      <c r="B15" s="1177" t="s">
        <v>1793</v>
      </c>
      <c r="C15" s="1178">
        <v>111</v>
      </c>
      <c r="D15" s="1179" t="str">
        <f t="shared" si="0"/>
        <v>03.01.00.02.</v>
      </c>
      <c r="E15" s="1039"/>
      <c r="F15" s="1183" t="str">
        <f t="shared" si="2"/>
        <v>03.01.00.02.</v>
      </c>
      <c r="G15" s="1184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2"/>
      <c r="O15" s="1170"/>
      <c r="P15" s="1170"/>
    </row>
    <row r="16" spans="1:16" s="1171" customFormat="1" ht="36" customHeight="1">
      <c r="A16" s="1172">
        <f t="shared" si="1"/>
        <v>3</v>
      </c>
      <c r="B16" s="1173" t="s">
        <v>1780</v>
      </c>
      <c r="C16" s="1185"/>
      <c r="D16" s="1186" t="str">
        <f t="shared" si="0"/>
        <v>03.02.</v>
      </c>
      <c r="E16" s="1039"/>
      <c r="F16" s="1187" t="str">
        <f>+D16</f>
        <v>03.02.</v>
      </c>
      <c r="G16" s="1058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2"/>
      <c r="O16" s="1170"/>
      <c r="P16" s="1170"/>
    </row>
    <row r="17" spans="1:16" s="1171" customFormat="1" ht="23.1" customHeight="1">
      <c r="A17" s="1172">
        <f t="shared" si="1"/>
        <v>3</v>
      </c>
      <c r="B17" s="1177" t="s">
        <v>1794</v>
      </c>
      <c r="C17" s="1188">
        <v>102</v>
      </c>
      <c r="D17" s="1179" t="str">
        <f t="shared" si="0"/>
        <v>03.02.00.01.</v>
      </c>
      <c r="E17" s="1039"/>
      <c r="F17" s="1180" t="str">
        <f t="shared" si="2"/>
        <v>03.02.00.01.</v>
      </c>
      <c r="G17" s="1181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</row>
    <row r="18" spans="1:16" s="1171" customFormat="1" ht="23.1" customHeight="1">
      <c r="A18" s="1172">
        <f t="shared" si="1"/>
        <v>3</v>
      </c>
      <c r="B18" s="1177" t="s">
        <v>1795</v>
      </c>
      <c r="C18" s="1178">
        <v>112</v>
      </c>
      <c r="D18" s="1179" t="str">
        <f t="shared" si="0"/>
        <v>03.02.00.02.</v>
      </c>
      <c r="E18" s="1039"/>
      <c r="F18" s="1183" t="str">
        <f t="shared" si="2"/>
        <v>03.02.00.02.</v>
      </c>
      <c r="G18" s="1184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</row>
    <row r="19" spans="1:16" s="1171" customFormat="1" ht="36" customHeight="1">
      <c r="A19" s="1172">
        <f t="shared" si="1"/>
        <v>3</v>
      </c>
      <c r="B19" s="1177" t="s">
        <v>1783</v>
      </c>
      <c r="C19" s="1185"/>
      <c r="D19" s="1186" t="str">
        <f t="shared" si="0"/>
        <v>03.03.</v>
      </c>
      <c r="E19" s="1039"/>
      <c r="F19" s="1187" t="str">
        <f t="shared" si="2"/>
        <v>03.03.</v>
      </c>
      <c r="G19" s="1058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2"/>
      <c r="O19" s="1170"/>
      <c r="P19" s="1170"/>
    </row>
    <row r="20" spans="1:16" s="1171" customFormat="1" ht="23.1" customHeight="1">
      <c r="A20" s="1172">
        <f t="shared" si="1"/>
        <v>3</v>
      </c>
      <c r="B20" s="1177" t="s">
        <v>1796</v>
      </c>
      <c r="C20" s="1188">
        <v>102</v>
      </c>
      <c r="D20" s="1179" t="str">
        <f t="shared" si="0"/>
        <v>03.03.00.01.</v>
      </c>
      <c r="E20" s="1039"/>
      <c r="F20" s="1180" t="str">
        <f t="shared" si="2"/>
        <v>03.03.00.01.</v>
      </c>
      <c r="G20" s="1181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</row>
    <row r="21" spans="1:16" s="1171" customFormat="1" ht="23.1" customHeight="1">
      <c r="A21" s="1172">
        <f t="shared" si="1"/>
        <v>3</v>
      </c>
      <c r="B21" s="1177" t="s">
        <v>1797</v>
      </c>
      <c r="C21" s="1178">
        <v>112</v>
      </c>
      <c r="D21" s="1179" t="str">
        <f t="shared" si="0"/>
        <v>03.03.00.02.</v>
      </c>
      <c r="E21" s="1039"/>
      <c r="F21" s="1183" t="str">
        <f t="shared" si="2"/>
        <v>03.03.00.02.</v>
      </c>
      <c r="G21" s="1184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</row>
    <row r="22" spans="1:16" s="1171" customFormat="1" ht="36" customHeight="1">
      <c r="A22" s="1172">
        <f t="shared" si="1"/>
        <v>3</v>
      </c>
      <c r="B22" s="1177" t="s">
        <v>1786</v>
      </c>
      <c r="C22" s="1185"/>
      <c r="D22" s="1186" t="str">
        <f t="shared" si="0"/>
        <v>03.04.</v>
      </c>
      <c r="E22" s="1039"/>
      <c r="F22" s="1187" t="str">
        <f t="shared" si="2"/>
        <v>03.04.</v>
      </c>
      <c r="G22" s="1058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2"/>
      <c r="O22" s="1170"/>
      <c r="P22" s="1170"/>
    </row>
    <row r="23" spans="1:16" s="1171" customFormat="1" ht="23.1" customHeight="1">
      <c r="A23" s="1172">
        <f t="shared" si="1"/>
        <v>3</v>
      </c>
      <c r="B23" s="1177" t="s">
        <v>1798</v>
      </c>
      <c r="C23" s="1188">
        <v>102</v>
      </c>
      <c r="D23" s="1179" t="str">
        <f t="shared" si="0"/>
        <v>03.04.00.01.</v>
      </c>
      <c r="E23" s="1039"/>
      <c r="F23" s="1180" t="str">
        <f t="shared" si="2"/>
        <v>03.04.00.01.</v>
      </c>
      <c r="G23" s="1181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2"/>
      <c r="O23" s="1170"/>
      <c r="P23" s="1170"/>
    </row>
    <row r="24" spans="1:16" s="1171" customFormat="1" ht="23.1" customHeight="1" thickBot="1">
      <c r="A24" s="1172">
        <f t="shared" si="1"/>
        <v>3</v>
      </c>
      <c r="B24" s="1177" t="s">
        <v>1799</v>
      </c>
      <c r="C24" s="1178">
        <v>112</v>
      </c>
      <c r="D24" s="1179" t="str">
        <f t="shared" si="0"/>
        <v>03.04.00.02.</v>
      </c>
      <c r="E24" s="1039"/>
      <c r="F24" s="1183" t="str">
        <f t="shared" si="2"/>
        <v>03.04.00.02.</v>
      </c>
      <c r="G24" s="1184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2"/>
      <c r="O24" s="1170"/>
      <c r="P24" s="1170"/>
    </row>
    <row r="25" spans="1:16" s="1171" customFormat="1" ht="28.5" customHeight="1" thickTop="1" thickBot="1">
      <c r="A25" s="1065">
        <f t="shared" si="1"/>
        <v>3</v>
      </c>
      <c r="B25" s="1066" t="s">
        <v>1787</v>
      </c>
      <c r="C25" s="1189"/>
      <c r="D25" s="1190" t="str">
        <f>CONCATENATE("0",A25,B25)</f>
        <v>03.99.</v>
      </c>
      <c r="E25" s="1167"/>
      <c r="F25" s="1129" t="str">
        <f t="shared" si="2"/>
        <v>03.99.</v>
      </c>
      <c r="G25" s="1191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2"/>
      <c r="O25" s="1170"/>
      <c r="P25" s="1170"/>
    </row>
    <row r="26" spans="1:16" s="1196" customFormat="1" ht="9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  <c r="N26" s="1042"/>
    </row>
    <row r="27" spans="1:16" s="1196" customFormat="1" ht="26.25" thickTop="1">
      <c r="A27" s="1192"/>
      <c r="B27" s="1192"/>
      <c r="C27" s="1193"/>
      <c r="D27" s="765"/>
      <c r="E27" s="1078"/>
      <c r="F27" s="1197" t="s">
        <v>1604</v>
      </c>
      <c r="G27" s="1079"/>
      <c r="H27" s="1079"/>
      <c r="I27" s="1079"/>
      <c r="J27" s="1080"/>
      <c r="K27" s="1080"/>
      <c r="L27" s="1080"/>
      <c r="M27" s="1081"/>
      <c r="N27" s="1042"/>
    </row>
    <row r="28" spans="1:16" s="1196" customFormat="1" ht="25.5">
      <c r="A28" s="1192"/>
      <c r="B28" s="1192"/>
      <c r="C28" s="1193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6"/>
    </row>
    <row r="29" spans="1:16" s="1196" customFormat="1" ht="25.5">
      <c r="A29" s="1192"/>
      <c r="B29" s="1192"/>
      <c r="C29" s="1193"/>
      <c r="D29" s="793">
        <f>COUNTA($D$28:D28)+1</f>
        <v>2</v>
      </c>
      <c r="E29" s="765"/>
      <c r="F29" s="1083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6"/>
    </row>
    <row r="30" spans="1:16" s="1196" customFormat="1" ht="25.5">
      <c r="A30" s="1192"/>
      <c r="B30" s="1192"/>
      <c r="C30" s="1193"/>
      <c r="D30" s="793"/>
      <c r="E30" s="765"/>
      <c r="F30" s="1087" t="s">
        <v>1910</v>
      </c>
      <c r="G30" s="1084"/>
      <c r="H30" s="1084"/>
      <c r="I30" s="1084"/>
      <c r="J30" s="1085"/>
      <c r="K30" s="1085"/>
      <c r="L30" s="1085"/>
      <c r="M30" s="1086"/>
    </row>
    <row r="31" spans="1:16" s="1196" customFormat="1" ht="25.5">
      <c r="A31" s="1192"/>
      <c r="B31" s="1192"/>
      <c r="C31" s="1193"/>
      <c r="D31" s="793"/>
      <c r="E31" s="765"/>
      <c r="F31" s="1083" t="s">
        <v>1909</v>
      </c>
      <c r="G31" s="1084"/>
      <c r="H31" s="1084"/>
      <c r="I31" s="1084"/>
      <c r="J31" s="1085"/>
      <c r="K31" s="1085"/>
      <c r="L31" s="1085"/>
      <c r="M31" s="1086"/>
    </row>
    <row r="32" spans="1:16" s="1196" customFormat="1" ht="25.5">
      <c r="A32" s="1192"/>
      <c r="B32" s="1192"/>
      <c r="C32" s="1193"/>
      <c r="D32" s="793">
        <f>COUNTA($D$28:D29)+1</f>
        <v>3</v>
      </c>
      <c r="E32" s="765"/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6"/>
    </row>
    <row r="33" spans="1:16" s="1196" customFormat="1" ht="25.5">
      <c r="A33" s="1192"/>
      <c r="B33" s="1192"/>
      <c r="C33" s="1193"/>
      <c r="D33" s="793">
        <f>COUNTA($D$28:D32)+1</f>
        <v>4</v>
      </c>
      <c r="E33" s="765"/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6"/>
    </row>
    <row r="34" spans="1:16" s="1196" customFormat="1" ht="25.5">
      <c r="A34" s="1192"/>
      <c r="B34" s="1192"/>
      <c r="C34" s="1193"/>
      <c r="D34" s="793">
        <f>COUNTA($D$28:D33)+1</f>
        <v>5</v>
      </c>
      <c r="E34" s="765"/>
      <c r="F34" s="1083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6"/>
    </row>
    <row r="35" spans="1:16" s="1196" customFormat="1" ht="25.5">
      <c r="A35" s="1192"/>
      <c r="B35" s="1192"/>
      <c r="C35" s="1193"/>
      <c r="D35" s="793">
        <f>COUNTA($D$28:D34)+1</f>
        <v>6</v>
      </c>
      <c r="E35" s="765"/>
      <c r="F35" s="1198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6"/>
    </row>
    <row r="36" spans="1:16" s="1196" customFormat="1" ht="25.5">
      <c r="A36" s="1192"/>
      <c r="B36" s="1192"/>
      <c r="C36" s="1193"/>
      <c r="D36" s="793">
        <f>COUNTA($D$28:D35)+1</f>
        <v>7</v>
      </c>
      <c r="E36" s="765"/>
      <c r="F36" s="1083" t="str">
        <f>D36&amp;"/"&amp;" Incluye el pago de atrasos del principal (regularización de atrasos)."</f>
        <v>7/ Incluye el pago de atrasos del principal (regularización de atrasos).</v>
      </c>
      <c r="G36" s="1084"/>
      <c r="H36" s="1084"/>
      <c r="I36" s="1084"/>
      <c r="J36" s="1085"/>
      <c r="K36" s="1085"/>
      <c r="L36" s="1085"/>
      <c r="M36" s="1086"/>
    </row>
    <row r="37" spans="1:16" s="1196" customFormat="1" ht="26.25" thickBot="1">
      <c r="A37" s="1192"/>
      <c r="B37" s="1192"/>
      <c r="C37" s="1193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8"/>
      <c r="H37" s="1088"/>
      <c r="I37" s="1088"/>
      <c r="J37" s="1089"/>
      <c r="K37" s="1089"/>
      <c r="L37" s="1089"/>
      <c r="M37" s="1090"/>
    </row>
    <row r="38" spans="1:16" s="1196" customFormat="1" ht="24" thickTop="1">
      <c r="A38" s="1192"/>
      <c r="B38" s="1192"/>
      <c r="C38" s="1193"/>
      <c r="D38" s="1143"/>
      <c r="E38" s="1193"/>
      <c r="F38" s="1194"/>
      <c r="G38" s="1195"/>
      <c r="H38" s="1076"/>
      <c r="I38" s="1076"/>
      <c r="J38" s="1076"/>
      <c r="K38" s="1076"/>
      <c r="L38" s="1077"/>
      <c r="M38" s="1077"/>
    </row>
    <row r="39" spans="1:16" s="1196" customFormat="1" ht="23.25">
      <c r="A39" s="1192"/>
      <c r="B39" s="1192"/>
      <c r="C39" s="1193"/>
      <c r="D39" s="1143"/>
      <c r="E39" s="1193"/>
      <c r="F39" s="1199"/>
      <c r="G39" s="1200"/>
      <c r="H39" s="1201"/>
      <c r="I39" s="1201"/>
      <c r="J39" s="1201"/>
      <c r="K39" s="1201"/>
      <c r="L39" s="1202"/>
      <c r="M39" s="1202"/>
    </row>
    <row r="40" spans="1:16" s="1196" customFormat="1" ht="23.25">
      <c r="A40" s="1192"/>
      <c r="B40" s="1192"/>
      <c r="C40" s="1193"/>
      <c r="D40" s="1143"/>
      <c r="E40" s="1193"/>
      <c r="F40" s="1194"/>
      <c r="G40" s="1195"/>
      <c r="H40" s="1076"/>
      <c r="I40" s="1076"/>
      <c r="J40" s="1076"/>
      <c r="K40" s="1076"/>
      <c r="L40" s="1077"/>
      <c r="M40" s="1077"/>
    </row>
    <row r="41" spans="1:16" s="1009" customFormat="1" ht="33" customHeight="1" thickBot="1">
      <c r="A41" s="1160"/>
      <c r="B41" s="1160"/>
      <c r="E41" s="1158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09" customFormat="1" ht="48" thickTop="1" thickBot="1">
      <c r="A42" s="1160"/>
      <c r="B42" s="1160"/>
      <c r="E42" s="1158"/>
      <c r="F42" s="2250" t="s">
        <v>1772</v>
      </c>
      <c r="G42" s="2251"/>
      <c r="H42" s="2239" t="s">
        <v>1612</v>
      </c>
      <c r="I42" s="2240"/>
      <c r="J42" s="2240"/>
      <c r="K42" s="2240"/>
      <c r="L42" s="2241"/>
      <c r="M42" s="1203" t="s">
        <v>1618</v>
      </c>
    </row>
    <row r="43" spans="1:16" ht="57" customHeight="1" thickTop="1">
      <c r="C43" s="2225" t="str">
        <f ca="1">RIGHT(CELL("nombrearchivo",$A$14),LEN(CELL("nombrearchivo",$A$14))-SEARCH("]",CELL("nombrearchivo",$A$14)))</f>
        <v>Tabla III.1.</v>
      </c>
      <c r="D43" s="2226"/>
      <c r="F43" s="2252"/>
      <c r="G43" s="2253"/>
      <c r="H43" s="2256" t="str">
        <f>+H10</f>
        <v>SALDO A FINES DE DICIEMBRE 2019</v>
      </c>
      <c r="I43" s="2257" t="str">
        <f>+I10</f>
        <v>TRANSACCIONES DEL
 1T2020 (ENE - MAR)</v>
      </c>
      <c r="J43" s="2258"/>
      <c r="K43" s="2243" t="str">
        <f>"Variaciones por tipo de cambio ú otros (+ , -)  
"&amp;$D$90&amp;"/"</f>
        <v>Variaciones por tipo de cambio ú otros (+ , -)  
10/</v>
      </c>
      <c r="L43" s="2259" t="str">
        <f>+L10</f>
        <v>SALDO A FINES DE MARZO 2020</v>
      </c>
      <c r="M43" s="1204" t="str">
        <f>+M10</f>
        <v xml:space="preserve">SALDO DE ATRASOS A FINES DEL 1T2020 </v>
      </c>
    </row>
    <row r="44" spans="1:16" ht="105" customHeight="1" thickBot="1">
      <c r="C44" s="2227"/>
      <c r="D44" s="2228"/>
      <c r="F44" s="2252"/>
      <c r="G44" s="2253"/>
      <c r="H44" s="2230"/>
      <c r="I44" s="1024" t="s">
        <v>1634</v>
      </c>
      <c r="J44" s="1024" t="str">
        <f>"Disminución del saldo
(amortización) "&amp;$D$89&amp;"/"</f>
        <v>Disminución del saldo
(amortización) 9/</v>
      </c>
      <c r="K44" s="2244"/>
      <c r="L44" s="2248"/>
      <c r="M44" s="1163" t="s">
        <v>1619</v>
      </c>
    </row>
    <row r="45" spans="1:16" s="1171" customFormat="1" ht="36" customHeight="1" thickBot="1">
      <c r="A45" s="1164" t="s">
        <v>894</v>
      </c>
      <c r="B45" s="1164" t="s">
        <v>895</v>
      </c>
      <c r="C45" s="1165" t="s">
        <v>68</v>
      </c>
      <c r="D45" s="1166" t="s">
        <v>69</v>
      </c>
      <c r="E45" s="1167"/>
      <c r="F45" s="2254"/>
      <c r="G45" s="2255"/>
      <c r="H45" s="1030" t="s">
        <v>640</v>
      </c>
      <c r="I45" s="1031" t="s">
        <v>641</v>
      </c>
      <c r="J45" s="1031" t="s">
        <v>642</v>
      </c>
      <c r="K45" s="1032" t="s">
        <v>643</v>
      </c>
      <c r="L45" s="1168" t="s">
        <v>45</v>
      </c>
      <c r="M45" s="1169" t="s">
        <v>901</v>
      </c>
      <c r="N45" s="1170"/>
      <c r="O45" s="1170"/>
      <c r="P45" s="1170"/>
    </row>
    <row r="46" spans="1:16" s="1171" customFormat="1" ht="77.25" customHeight="1">
      <c r="A46" s="1172">
        <f>+A25+1</f>
        <v>4</v>
      </c>
      <c r="B46" s="1205" t="s">
        <v>1777</v>
      </c>
      <c r="C46" s="1206"/>
      <c r="D46" s="1207" t="str">
        <f>CONCATENATE("0",A46,B46)</f>
        <v>04.01.</v>
      </c>
      <c r="E46" s="1039"/>
      <c r="F46" s="1208" t="str">
        <f>+D46</f>
        <v>04.01.</v>
      </c>
      <c r="G46" s="1998" t="s">
        <v>4313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2"/>
      <c r="O46" s="1170"/>
      <c r="P46" s="1170"/>
    </row>
    <row r="47" spans="1:16" s="1171" customFormat="1" ht="23.1" customHeight="1">
      <c r="A47" s="1172">
        <f t="shared" ref="A47:A63" si="4">+A46</f>
        <v>4</v>
      </c>
      <c r="B47" s="1173" t="s">
        <v>1778</v>
      </c>
      <c r="C47" s="1174"/>
      <c r="D47" s="1210" t="str">
        <f t="shared" ref="D47:D63" si="5">CONCATENATE("0",A47,B47)</f>
        <v>04.01.01.</v>
      </c>
      <c r="E47" s="1039"/>
      <c r="F47" s="1211" t="str">
        <f t="shared" ref="F47:F63" si="6">+D47</f>
        <v>04.01.01.</v>
      </c>
      <c r="G47" s="1212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2"/>
      <c r="O47" s="1170"/>
      <c r="P47" s="1170"/>
    </row>
    <row r="48" spans="1:16" s="1171" customFormat="1" ht="23.1" customHeight="1">
      <c r="A48" s="1172">
        <f t="shared" si="4"/>
        <v>4</v>
      </c>
      <c r="B48" s="1213" t="s">
        <v>890</v>
      </c>
      <c r="C48" s="1178" t="s">
        <v>650</v>
      </c>
      <c r="D48" s="1179" t="str">
        <f t="shared" si="5"/>
        <v>04.01.01.01.</v>
      </c>
      <c r="E48" s="1039"/>
      <c r="F48" s="1183" t="str">
        <f t="shared" si="6"/>
        <v>04.01.01.01.</v>
      </c>
      <c r="G48" s="1214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2"/>
      <c r="O48" s="1170"/>
      <c r="P48" s="1170"/>
    </row>
    <row r="49" spans="1:16" s="1171" customFormat="1" ht="23.1" customHeight="1">
      <c r="A49" s="1172">
        <f t="shared" si="4"/>
        <v>4</v>
      </c>
      <c r="B49" s="1213" t="s">
        <v>896</v>
      </c>
      <c r="C49" s="1178">
        <v>113</v>
      </c>
      <c r="D49" s="1179" t="str">
        <f t="shared" si="5"/>
        <v>04.01.01.02.</v>
      </c>
      <c r="E49" s="1039"/>
      <c r="F49" s="1183" t="str">
        <f t="shared" si="6"/>
        <v>04.01.01.02.</v>
      </c>
      <c r="G49" s="1214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2"/>
      <c r="O49" s="1170"/>
      <c r="P49" s="1170"/>
    </row>
    <row r="50" spans="1:16" s="1171" customFormat="1" ht="23.1" customHeight="1">
      <c r="A50" s="1172">
        <f t="shared" si="4"/>
        <v>4</v>
      </c>
      <c r="B50" s="1173" t="s">
        <v>1779</v>
      </c>
      <c r="C50" s="1185"/>
      <c r="D50" s="1215" t="str">
        <f t="shared" si="5"/>
        <v>04.01.02.</v>
      </c>
      <c r="E50" s="1039"/>
      <c r="F50" s="1216" t="str">
        <f t="shared" si="6"/>
        <v>04.01.02.</v>
      </c>
      <c r="G50" s="1217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2"/>
      <c r="O50" s="1170"/>
      <c r="P50" s="1170"/>
    </row>
    <row r="51" spans="1:16" s="1171" customFormat="1" ht="23.1" customHeight="1">
      <c r="A51" s="1172">
        <f t="shared" si="4"/>
        <v>4</v>
      </c>
      <c r="B51" s="1213" t="s">
        <v>899</v>
      </c>
      <c r="C51" s="1188">
        <v>104</v>
      </c>
      <c r="D51" s="1218" t="str">
        <f t="shared" si="5"/>
        <v>04.01.02.01.</v>
      </c>
      <c r="E51" s="1039"/>
      <c r="F51" s="1219" t="str">
        <f t="shared" si="6"/>
        <v>04.01.02.01.</v>
      </c>
      <c r="G51" s="1214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2"/>
      <c r="O51" s="1170"/>
      <c r="P51" s="1170"/>
    </row>
    <row r="52" spans="1:16" s="1171" customFormat="1" ht="23.1" customHeight="1">
      <c r="A52" s="1172">
        <f t="shared" si="4"/>
        <v>4</v>
      </c>
      <c r="B52" s="1213" t="s">
        <v>891</v>
      </c>
      <c r="C52" s="1178">
        <v>114</v>
      </c>
      <c r="D52" s="1220" t="str">
        <f t="shared" si="5"/>
        <v>04.01.02.02.</v>
      </c>
      <c r="E52" s="1039"/>
      <c r="F52" s="1183" t="str">
        <f t="shared" si="6"/>
        <v>04.01.02.02.</v>
      </c>
      <c r="G52" s="1214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2"/>
      <c r="O52" s="1170"/>
      <c r="P52" s="1170"/>
    </row>
    <row r="53" spans="1:16" s="1171" customFormat="1" ht="23.1" customHeight="1">
      <c r="A53" s="1172">
        <f t="shared" si="4"/>
        <v>4</v>
      </c>
      <c r="B53" s="1173" t="s">
        <v>1788</v>
      </c>
      <c r="C53" s="1185"/>
      <c r="D53" s="1215" t="str">
        <f t="shared" si="5"/>
        <v>04.01.03.</v>
      </c>
      <c r="E53" s="1039"/>
      <c r="F53" s="1216" t="str">
        <f t="shared" si="6"/>
        <v>04.01.03.</v>
      </c>
      <c r="G53" s="1217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2"/>
      <c r="O53" s="1170"/>
      <c r="P53" s="1170"/>
    </row>
    <row r="54" spans="1:16" s="1171" customFormat="1" ht="23.1" customHeight="1">
      <c r="A54" s="1172">
        <f t="shared" si="4"/>
        <v>4</v>
      </c>
      <c r="B54" s="1213" t="s">
        <v>1774</v>
      </c>
      <c r="C54" s="1188">
        <v>106</v>
      </c>
      <c r="D54" s="1218" t="str">
        <f t="shared" si="5"/>
        <v>04.01.03.01.</v>
      </c>
      <c r="E54" s="1039"/>
      <c r="F54" s="1219" t="str">
        <f t="shared" si="6"/>
        <v>04.01.03.01.</v>
      </c>
      <c r="G54" s="1214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2"/>
      <c r="O54" s="1170"/>
      <c r="P54" s="1170"/>
    </row>
    <row r="55" spans="1:16" s="1171" customFormat="1" ht="23.1" customHeight="1">
      <c r="A55" s="1172">
        <f t="shared" si="4"/>
        <v>4</v>
      </c>
      <c r="B55" s="1213" t="s">
        <v>1775</v>
      </c>
      <c r="C55" s="1178">
        <v>116</v>
      </c>
      <c r="D55" s="1218" t="str">
        <f t="shared" si="5"/>
        <v>04.01.03.02.</v>
      </c>
      <c r="E55" s="1039"/>
      <c r="F55" s="1219" t="str">
        <f t="shared" si="6"/>
        <v>04.01.03.02.</v>
      </c>
      <c r="G55" s="1214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2"/>
      <c r="O55" s="1170"/>
      <c r="P55" s="1170"/>
    </row>
    <row r="56" spans="1:16" s="1171" customFormat="1" ht="40.5" customHeight="1">
      <c r="A56" s="1172">
        <f t="shared" si="4"/>
        <v>4</v>
      </c>
      <c r="B56" s="1221" t="s">
        <v>1781</v>
      </c>
      <c r="C56" s="1222">
        <v>120</v>
      </c>
      <c r="D56" s="1223" t="str">
        <f t="shared" si="5"/>
        <v>04.02.01.</v>
      </c>
      <c r="E56" s="1039"/>
      <c r="F56" s="1187" t="str">
        <f t="shared" si="6"/>
        <v>04.02.01.</v>
      </c>
      <c r="G56" s="1224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2"/>
      <c r="O56" s="1170"/>
      <c r="P56" s="1170"/>
    </row>
    <row r="57" spans="1:16" s="1171" customFormat="1" ht="23.1" customHeight="1">
      <c r="A57" s="1172">
        <f t="shared" si="4"/>
        <v>4</v>
      </c>
      <c r="B57" s="1213" t="s">
        <v>892</v>
      </c>
      <c r="C57" s="1188">
        <v>121</v>
      </c>
      <c r="D57" s="1218" t="str">
        <f t="shared" si="5"/>
        <v>04.02.01.01.</v>
      </c>
      <c r="E57" s="1039"/>
      <c r="F57" s="1225" t="str">
        <f t="shared" si="6"/>
        <v>04.02.01.01.</v>
      </c>
      <c r="G57" s="1214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2"/>
      <c r="O57" s="1170"/>
      <c r="P57" s="1170"/>
    </row>
    <row r="58" spans="1:16" s="1171" customFormat="1" ht="23.1" customHeight="1">
      <c r="A58" s="1172">
        <f t="shared" si="4"/>
        <v>4</v>
      </c>
      <c r="B58" s="1213" t="s">
        <v>897</v>
      </c>
      <c r="C58" s="1178">
        <v>122</v>
      </c>
      <c r="D58" s="1218" t="str">
        <f t="shared" si="5"/>
        <v>04.02.01.02.</v>
      </c>
      <c r="E58" s="1039"/>
      <c r="F58" s="1180" t="str">
        <f t="shared" si="6"/>
        <v>04.02.01.02.</v>
      </c>
      <c r="G58" s="1214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2"/>
      <c r="O58" s="1170"/>
      <c r="P58" s="1170"/>
    </row>
    <row r="59" spans="1:16" s="1171" customFormat="1" ht="31.5">
      <c r="A59" s="1172">
        <f t="shared" si="4"/>
        <v>4</v>
      </c>
      <c r="B59" s="1221" t="s">
        <v>1783</v>
      </c>
      <c r="C59" s="1222">
        <v>120</v>
      </c>
      <c r="D59" s="1223" t="str">
        <f t="shared" si="5"/>
        <v>04.03.</v>
      </c>
      <c r="E59" s="1039"/>
      <c r="F59" s="1187" t="str">
        <f t="shared" si="6"/>
        <v>04.03.</v>
      </c>
      <c r="G59" s="1224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2"/>
      <c r="O59" s="1170"/>
      <c r="P59" s="1170"/>
    </row>
    <row r="60" spans="1:16" s="1171" customFormat="1" ht="23.1" customHeight="1">
      <c r="A60" s="1172">
        <f t="shared" si="4"/>
        <v>4</v>
      </c>
      <c r="B60" s="1213" t="s">
        <v>1784</v>
      </c>
      <c r="C60" s="1188">
        <v>121</v>
      </c>
      <c r="D60" s="1218" t="str">
        <f t="shared" si="5"/>
        <v>04.03.01.</v>
      </c>
      <c r="E60" s="1039"/>
      <c r="F60" s="1226" t="str">
        <f t="shared" si="6"/>
        <v>04.03.01.</v>
      </c>
      <c r="G60" s="1214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2"/>
      <c r="O60" s="1170"/>
      <c r="P60" s="1170"/>
    </row>
    <row r="61" spans="1:16" s="1171" customFormat="1" ht="23.1" customHeight="1">
      <c r="A61" s="1172">
        <f t="shared" si="4"/>
        <v>4</v>
      </c>
      <c r="B61" s="1213" t="s">
        <v>1785</v>
      </c>
      <c r="C61" s="1178">
        <v>122</v>
      </c>
      <c r="D61" s="1218" t="str">
        <f t="shared" si="5"/>
        <v>04.03.02.</v>
      </c>
      <c r="E61" s="1039"/>
      <c r="F61" s="1227" t="str">
        <f t="shared" si="6"/>
        <v>04.03.02.</v>
      </c>
      <c r="G61" s="1214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2"/>
      <c r="O61" s="1170"/>
      <c r="P61" s="1170"/>
    </row>
    <row r="62" spans="1:16" s="1232" customFormat="1" ht="35.25" customHeight="1" thickBot="1">
      <c r="A62" s="1172">
        <f t="shared" si="4"/>
        <v>4</v>
      </c>
      <c r="B62" s="1221" t="s">
        <v>1800</v>
      </c>
      <c r="C62" s="1228">
        <v>130</v>
      </c>
      <c r="D62" s="1223" t="str">
        <f t="shared" si="5"/>
        <v>04.04.00.</v>
      </c>
      <c r="E62" s="1039"/>
      <c r="F62" s="1229" t="str">
        <f t="shared" si="6"/>
        <v>04.04.00.</v>
      </c>
      <c r="G62" s="1230" t="str">
        <f>"D. DEPÓSITOS EN EL PAÍS DE NO RESIDENTES "&amp;$D$88&amp;"/"</f>
        <v>D. DEPÓSITOS EN EL PAÍS DE NO RESIDENTES 8/</v>
      </c>
      <c r="H62" s="1814"/>
      <c r="I62" s="1815"/>
      <c r="J62" s="1815"/>
      <c r="K62" s="1816"/>
      <c r="L62" s="1231">
        <f>+H62+I62-J62+K62</f>
        <v>0</v>
      </c>
      <c r="M62" s="1817"/>
      <c r="N62" s="1042"/>
    </row>
    <row r="63" spans="1:16" s="1232" customFormat="1" ht="28.5" customHeight="1" thickTop="1" thickBot="1">
      <c r="A63" s="1172">
        <f t="shared" si="4"/>
        <v>4</v>
      </c>
      <c r="B63" s="1221" t="s">
        <v>1787</v>
      </c>
      <c r="C63" s="1233">
        <v>150</v>
      </c>
      <c r="D63" s="1234" t="str">
        <f t="shared" si="5"/>
        <v>04.99.</v>
      </c>
      <c r="E63" s="1039"/>
      <c r="F63" s="1235" t="str">
        <f t="shared" si="6"/>
        <v>04.99.</v>
      </c>
      <c r="G63" s="1236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2"/>
    </row>
    <row r="64" spans="1:16" s="1009" customFormat="1" ht="15.75" customHeight="1">
      <c r="A64" s="1160"/>
      <c r="B64" s="1160"/>
      <c r="E64" s="1158"/>
    </row>
    <row r="65" spans="1:18" s="782" customFormat="1" ht="28.5" customHeight="1" thickBot="1">
      <c r="A65" s="766"/>
      <c r="B65" s="766"/>
      <c r="C65" s="1143"/>
      <c r="D65" s="1073"/>
      <c r="E65" s="1039"/>
      <c r="F65" s="2249" t="s">
        <v>4137</v>
      </c>
      <c r="G65" s="2249"/>
      <c r="H65" s="2249"/>
      <c r="I65" s="2249"/>
      <c r="J65" s="2249"/>
      <c r="K65" s="2249"/>
      <c r="L65" s="2249"/>
      <c r="M65" s="2249"/>
      <c r="N65" s="765"/>
      <c r="O65" s="765"/>
      <c r="P65" s="765"/>
      <c r="Q65" s="765"/>
      <c r="R65" s="765"/>
    </row>
    <row r="66" spans="1:18" s="1245" customFormat="1" ht="32.25" customHeight="1" thickTop="1" thickBot="1">
      <c r="A66" s="1237"/>
      <c r="B66" s="1238"/>
      <c r="C66" s="1239"/>
      <c r="D66" s="1240"/>
      <c r="E66" s="1193"/>
      <c r="F66" s="1241" t="str">
        <f>"B.1.1. Préstamos externos recibidos de entidades financieras "&amp;$D$91&amp;"/"</f>
        <v>B.1.1. Préstamos externos recibidos de entidades financieras 11/</v>
      </c>
      <c r="G66" s="1242"/>
      <c r="H66" s="756"/>
      <c r="I66" s="1243"/>
      <c r="J66" s="1243"/>
      <c r="K66" s="1243"/>
      <c r="L66" s="756"/>
      <c r="M66" s="1244"/>
      <c r="N66" s="830"/>
      <c r="O66" s="830"/>
      <c r="P66" s="830"/>
      <c r="Q66" s="830"/>
      <c r="R66" s="830"/>
    </row>
    <row r="67" spans="1:18" s="782" customFormat="1" ht="36" customHeight="1" thickTop="1">
      <c r="A67" s="1246">
        <f>+A75</f>
        <v>4</v>
      </c>
      <c r="B67" s="1132" t="s">
        <v>4141</v>
      </c>
      <c r="C67" s="1133"/>
      <c r="D67" s="1134" t="str">
        <f t="shared" ref="D67:D72" si="8">CONCATENATE("0",A67,B67)</f>
        <v>04..01.</v>
      </c>
      <c r="E67" s="1039"/>
      <c r="F67" s="1247" t="str">
        <f t="shared" ref="F67:F72" si="9">+D67</f>
        <v>04..01.</v>
      </c>
      <c r="G67" s="1248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6">
        <f>+A67</f>
        <v>4</v>
      </c>
      <c r="B68" s="1132" t="s">
        <v>4138</v>
      </c>
      <c r="C68" s="1109"/>
      <c r="D68" s="1110" t="str">
        <f t="shared" si="8"/>
        <v>04..01.01.</v>
      </c>
      <c r="E68" s="1039"/>
      <c r="F68" s="1111" t="str">
        <f t="shared" si="9"/>
        <v>04..01.01.</v>
      </c>
      <c r="G68" s="1048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6">
        <f>+A68</f>
        <v>4</v>
      </c>
      <c r="B69" s="1132" t="s">
        <v>4139</v>
      </c>
      <c r="C69" s="1138"/>
      <c r="D69" s="1139" t="str">
        <f t="shared" si="8"/>
        <v>04..01.02.</v>
      </c>
      <c r="E69" s="1039"/>
      <c r="F69" s="1121" t="str">
        <f t="shared" si="9"/>
        <v>04..01.02.</v>
      </c>
      <c r="G69" s="1249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6">
        <f>+A67</f>
        <v>4</v>
      </c>
      <c r="B70" s="1132" t="s">
        <v>4140</v>
      </c>
      <c r="C70" s="1133"/>
      <c r="D70" s="1134" t="str">
        <f t="shared" si="8"/>
        <v>04..02.</v>
      </c>
      <c r="E70" s="1039"/>
      <c r="F70" s="1103" t="str">
        <f t="shared" si="9"/>
        <v>04..02.</v>
      </c>
      <c r="G70" s="1250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6">
        <f>+A70</f>
        <v>4</v>
      </c>
      <c r="B71" s="1132" t="s">
        <v>4142</v>
      </c>
      <c r="C71" s="1109"/>
      <c r="D71" s="1110" t="str">
        <f t="shared" si="8"/>
        <v>04..02.01.</v>
      </c>
      <c r="E71" s="1039"/>
      <c r="F71" s="1111" t="str">
        <f t="shared" si="9"/>
        <v>04..02.01.</v>
      </c>
      <c r="G71" s="1048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6">
        <f>+A71</f>
        <v>4</v>
      </c>
      <c r="B72" s="1132" t="s">
        <v>4143</v>
      </c>
      <c r="C72" s="1138"/>
      <c r="D72" s="1139" t="str">
        <f t="shared" si="8"/>
        <v>04..02.02.</v>
      </c>
      <c r="E72" s="1039"/>
      <c r="F72" s="1251" t="str">
        <f t="shared" si="9"/>
        <v>04..02.02.</v>
      </c>
      <c r="G72" s="1252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5" customFormat="1" ht="8.25" customHeight="1" thickTop="1" thickBot="1">
      <c r="A73" s="1237"/>
      <c r="B73" s="1238"/>
      <c r="C73" s="1253"/>
      <c r="D73" s="1254"/>
      <c r="E73" s="1193"/>
      <c r="F73" s="1255"/>
      <c r="G73" s="1053"/>
      <c r="H73" s="755"/>
      <c r="I73" s="1182"/>
      <c r="J73" s="1182"/>
      <c r="K73" s="1182"/>
      <c r="L73" s="755"/>
      <c r="M73" s="1182"/>
      <c r="N73" s="830"/>
      <c r="O73" s="830"/>
      <c r="P73" s="830"/>
      <c r="Q73" s="830"/>
      <c r="R73" s="830"/>
    </row>
    <row r="74" spans="1:18" s="1245" customFormat="1" ht="32.25" customHeight="1" thickTop="1" thickBot="1">
      <c r="A74" s="1237"/>
      <c r="B74" s="1238"/>
      <c r="C74" s="1239"/>
      <c r="D74" s="1240"/>
      <c r="E74" s="1193"/>
      <c r="F74" s="1241" t="s">
        <v>4150</v>
      </c>
      <c r="G74" s="1242"/>
      <c r="H74" s="756"/>
      <c r="I74" s="1243"/>
      <c r="J74" s="1243"/>
      <c r="K74" s="1243"/>
      <c r="L74" s="756"/>
      <c r="M74" s="1244"/>
      <c r="N74" s="830"/>
      <c r="O74" s="830"/>
      <c r="P74" s="830"/>
      <c r="Q74" s="830"/>
      <c r="R74" s="830"/>
    </row>
    <row r="75" spans="1:18" s="782" customFormat="1" ht="25.5" customHeight="1" thickTop="1">
      <c r="A75" s="1246">
        <f>+A63</f>
        <v>4</v>
      </c>
      <c r="B75" s="1132" t="s">
        <v>4147</v>
      </c>
      <c r="C75" s="1133"/>
      <c r="D75" s="1134" t="str">
        <f>CONCATENATE("0",A75,B75)</f>
        <v>04..03.</v>
      </c>
      <c r="E75" s="1039"/>
      <c r="F75" s="1247" t="str">
        <f>+D75</f>
        <v>04..03.</v>
      </c>
      <c r="G75" s="1256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2"/>
      <c r="O75" s="765"/>
      <c r="P75" s="765"/>
      <c r="Q75" s="765"/>
      <c r="R75" s="765"/>
    </row>
    <row r="76" spans="1:18" s="782" customFormat="1" ht="25.5" customHeight="1">
      <c r="A76" s="1246">
        <f>+A75</f>
        <v>4</v>
      </c>
      <c r="B76" s="1132" t="s">
        <v>4148</v>
      </c>
      <c r="C76" s="1109"/>
      <c r="D76" s="1110" t="str">
        <f>CONCATENATE("0",A76,B76)</f>
        <v>04..03.01.</v>
      </c>
      <c r="E76" s="1039"/>
      <c r="F76" s="1111" t="str">
        <f>+D76</f>
        <v>04..03.01.</v>
      </c>
      <c r="G76" s="1048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2"/>
      <c r="O76" s="765"/>
      <c r="P76" s="765"/>
      <c r="Q76" s="765"/>
      <c r="R76" s="765"/>
    </row>
    <row r="77" spans="1:18" s="782" customFormat="1" ht="25.5" customHeight="1" thickBot="1">
      <c r="A77" s="1246">
        <f>+A76</f>
        <v>4</v>
      </c>
      <c r="B77" s="1132" t="s">
        <v>4149</v>
      </c>
      <c r="C77" s="1138"/>
      <c r="D77" s="1139" t="str">
        <f>CONCATENATE("0",A77,B77)</f>
        <v>04..03.02.</v>
      </c>
      <c r="E77" s="1039"/>
      <c r="F77" s="1251" t="str">
        <f>+D77</f>
        <v>04..03.02.</v>
      </c>
      <c r="G77" s="1252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2"/>
      <c r="O77" s="765"/>
      <c r="P77" s="765"/>
      <c r="Q77" s="765"/>
      <c r="R77" s="765"/>
    </row>
    <row r="78" spans="1:18" ht="20.25" thickTop="1" thickBot="1"/>
    <row r="79" spans="1:18" s="1009" customFormat="1" ht="27.75" customHeight="1" thickTop="1">
      <c r="A79" s="1160"/>
      <c r="B79" s="1160"/>
      <c r="E79" s="1158"/>
      <c r="F79" s="1197" t="s">
        <v>1604</v>
      </c>
      <c r="G79" s="1257"/>
      <c r="H79" s="1257"/>
      <c r="I79" s="1257"/>
      <c r="J79" s="1257"/>
      <c r="K79" s="1257"/>
      <c r="L79" s="1257"/>
      <c r="M79" s="1258"/>
    </row>
    <row r="80" spans="1:18" s="1009" customFormat="1" ht="20.25">
      <c r="A80" s="1160"/>
      <c r="B80" s="1160"/>
      <c r="D80" s="1078">
        <v>1</v>
      </c>
      <c r="E80" s="1078"/>
      <c r="F80" s="1083" t="str">
        <f>D80&amp;"/ "&amp;" Créditos comerciales, como la compra al crédito de bienes y servicios (importaciones)."</f>
        <v>1/  Créditos comerciales, como la compra al crédito de bienes y servicios (importaciones).</v>
      </c>
      <c r="G80" s="1018"/>
      <c r="H80" s="1018"/>
      <c r="I80" s="1018"/>
      <c r="J80" s="1018"/>
      <c r="K80" s="1018"/>
      <c r="L80" s="1018"/>
      <c r="M80" s="1259"/>
    </row>
    <row r="81" spans="1:13" s="1009" customFormat="1" ht="20.25">
      <c r="A81" s="1160"/>
      <c r="B81" s="1160"/>
      <c r="D81" s="1078"/>
      <c r="E81" s="1078"/>
      <c r="F81" s="1083" t="s">
        <v>1681</v>
      </c>
      <c r="G81" s="1018"/>
      <c r="H81" s="1018"/>
      <c r="I81" s="1018"/>
      <c r="J81" s="1018"/>
      <c r="K81" s="1018"/>
      <c r="L81" s="1018"/>
      <c r="M81" s="1259"/>
    </row>
    <row r="82" spans="1:13" s="1009" customFormat="1" ht="27.75" customHeight="1">
      <c r="A82" s="1160"/>
      <c r="B82" s="1160"/>
      <c r="D82" s="1078">
        <f>COUNTA($D$80:D80)+1</f>
        <v>2</v>
      </c>
      <c r="E82" s="1078"/>
      <c r="F82" s="1083" t="str">
        <f>D82&amp;"/"&amp; " Cuyo plazo de vencimiento original es mayor de un año o no está determinado."</f>
        <v>2/ Cuyo plazo de vencimiento original es mayor de un año o no está determinado.</v>
      </c>
      <c r="G82" s="1018"/>
      <c r="H82" s="1018"/>
      <c r="I82" s="1018"/>
      <c r="J82" s="1018"/>
      <c r="K82" s="1018"/>
      <c r="L82" s="1018"/>
      <c r="M82" s="1259"/>
    </row>
    <row r="83" spans="1:13" s="1009" customFormat="1" ht="27.75" customHeight="1">
      <c r="A83" s="1160"/>
      <c r="B83" s="1160"/>
      <c r="D83" s="1078">
        <f>COUNTA($D$80:D82)+1</f>
        <v>3</v>
      </c>
      <c r="E83" s="1078"/>
      <c r="F83" s="1083" t="str">
        <f>D83&amp;"/"&amp; " Cuyo plazo de vencimiento original es igual o menor a un año."</f>
        <v>3/ Cuyo plazo de vencimiento original es igual o menor a un año.</v>
      </c>
      <c r="G83" s="1018"/>
      <c r="H83" s="1018"/>
      <c r="I83" s="1018"/>
      <c r="J83" s="1018"/>
      <c r="K83" s="1018"/>
      <c r="L83" s="1018"/>
      <c r="M83" s="1259"/>
    </row>
    <row r="84" spans="1:13" s="1009" customFormat="1" ht="27.75" customHeight="1">
      <c r="A84" s="1160"/>
      <c r="B84" s="1160"/>
      <c r="D84" s="1078">
        <f>COUNTA($D$80:D83)+1</f>
        <v>4</v>
      </c>
      <c r="E84" s="1078"/>
      <c r="F84" s="1083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8"/>
      <c r="H84" s="1018"/>
      <c r="I84" s="1018"/>
      <c r="J84" s="1018"/>
      <c r="K84" s="1018"/>
      <c r="L84" s="1018"/>
      <c r="M84" s="1259"/>
    </row>
    <row r="85" spans="1:13" s="1009" customFormat="1" ht="27.75" customHeight="1">
      <c r="A85" s="1160"/>
      <c r="B85" s="1160"/>
      <c r="D85" s="1078">
        <f>COUNTA($D$80:D84)+1</f>
        <v>5</v>
      </c>
      <c r="E85" s="1078"/>
      <c r="F85" s="1083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8"/>
      <c r="H85" s="1018"/>
      <c r="I85" s="1018"/>
      <c r="J85" s="1018"/>
      <c r="K85" s="1018"/>
      <c r="L85" s="1018"/>
      <c r="M85" s="1259"/>
    </row>
    <row r="86" spans="1:13" s="1009" customFormat="1" ht="27.75" customHeight="1">
      <c r="A86" s="1160"/>
      <c r="B86" s="1160"/>
      <c r="D86" s="1078">
        <f>COUNTA($D$80:D85)+1</f>
        <v>6</v>
      </c>
      <c r="E86" s="1078"/>
      <c r="F86" s="1083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8"/>
      <c r="H86" s="1018"/>
      <c r="I86" s="1018"/>
      <c r="J86" s="1018"/>
      <c r="K86" s="1018"/>
      <c r="L86" s="1018"/>
      <c r="M86" s="1259"/>
    </row>
    <row r="87" spans="1:13" s="1009" customFormat="1" ht="27.75" customHeight="1">
      <c r="A87" s="1160"/>
      <c r="B87" s="1160"/>
      <c r="D87" s="1078">
        <f>COUNTA($D$80:D86)+1</f>
        <v>7</v>
      </c>
      <c r="E87" s="1078"/>
      <c r="F87" s="1083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8"/>
      <c r="H87" s="1018"/>
      <c r="I87" s="1018"/>
      <c r="J87" s="1018"/>
      <c r="K87" s="1018"/>
      <c r="L87" s="1018"/>
      <c r="M87" s="1259"/>
    </row>
    <row r="88" spans="1:13" ht="27.75" customHeight="1">
      <c r="D88" s="1078">
        <f>COUNTA($D$80:D87)+1</f>
        <v>8</v>
      </c>
      <c r="E88" s="1078"/>
      <c r="F88" s="1083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8"/>
      <c r="H88" s="1018"/>
      <c r="I88" s="1018"/>
      <c r="J88" s="1018"/>
      <c r="K88" s="1018"/>
      <c r="L88" s="1018"/>
      <c r="M88" s="1259"/>
    </row>
    <row r="89" spans="1:13" ht="27.75" customHeight="1">
      <c r="D89" s="1078">
        <f>COUNTA($D$80:D88)+1</f>
        <v>9</v>
      </c>
      <c r="E89" s="1078"/>
      <c r="F89" s="1083" t="str">
        <f>D89&amp;"/"&amp;" Incluya el pago de atrasos del principal (regularización de atrasos)."</f>
        <v>9/ Incluya el pago de atrasos del principal (regularización de atrasos).</v>
      </c>
      <c r="G89" s="1018"/>
      <c r="H89" s="1018"/>
      <c r="I89" s="1018"/>
      <c r="J89" s="1018"/>
      <c r="K89" s="1018"/>
      <c r="L89" s="1018"/>
      <c r="M89" s="1259"/>
    </row>
    <row r="90" spans="1:13" ht="27.75" customHeight="1">
      <c r="D90" s="1078">
        <f>COUNTA($D$80:D89)+1</f>
        <v>10</v>
      </c>
      <c r="E90" s="1078"/>
      <c r="F90" s="1083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8"/>
      <c r="H90" s="1018"/>
      <c r="I90" s="1018"/>
      <c r="J90" s="1018"/>
      <c r="K90" s="1018"/>
      <c r="L90" s="1018"/>
      <c r="M90" s="1259"/>
    </row>
    <row r="91" spans="1:13" ht="26.25" customHeight="1" thickBot="1">
      <c r="D91" s="1078">
        <f>COUNTA($D$80:D90)+1</f>
        <v>11</v>
      </c>
      <c r="F91" s="2017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0"/>
      <c r="H91" s="1260"/>
      <c r="I91" s="1260"/>
      <c r="J91" s="1260"/>
      <c r="K91" s="1260"/>
      <c r="L91" s="1260"/>
      <c r="M91" s="1261"/>
    </row>
    <row r="92" spans="1:13" ht="19.5" thickTop="1"/>
  </sheetData>
  <sheetProtection password="EC0E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O13" sqref="O13"/>
    </sheetView>
  </sheetViews>
  <sheetFormatPr baseColWidth="10" defaultRowHeight="18.75"/>
  <cols>
    <col min="1" max="1" width="18.7109375" style="1157" hidden="1" customWidth="1"/>
    <col min="2" max="2" width="24.28515625" style="1157" hidden="1" customWidth="1"/>
    <col min="3" max="3" width="22.28515625" style="1009" hidden="1" customWidth="1"/>
    <col min="4" max="4" width="24.28515625" style="1009" hidden="1" customWidth="1"/>
    <col min="5" max="5" width="3.140625" style="1158" customWidth="1"/>
    <col min="6" max="6" width="24.28515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25" width="11.42578125" style="1009"/>
    <col min="26" max="16384" width="11.42578125" style="1159"/>
  </cols>
  <sheetData>
    <row r="1" spans="1:25" ht="20.25" hidden="1">
      <c r="F1" s="1262" t="s">
        <v>1897</v>
      </c>
      <c r="G1" s="1263"/>
      <c r="H1" s="1264" t="s">
        <v>1898</v>
      </c>
      <c r="I1" s="1264" t="s">
        <v>1899</v>
      </c>
      <c r="J1" s="1264" t="s">
        <v>1900</v>
      </c>
      <c r="K1" s="1264" t="s">
        <v>1901</v>
      </c>
      <c r="L1" s="1264" t="s">
        <v>1902</v>
      </c>
      <c r="M1" s="1264" t="s">
        <v>1903</v>
      </c>
    </row>
    <row r="3" spans="1:25" s="1009" customFormat="1" ht="9.7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25" s="1009" customFormat="1" ht="35.25">
      <c r="B4" s="1010"/>
      <c r="C4" s="1010"/>
      <c r="D4" s="1010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25" s="1009" customFormat="1" ht="36.75" customHeight="1">
      <c r="B5" s="1010"/>
      <c r="C5" s="1010"/>
      <c r="D5" s="1010"/>
      <c r="F5" s="2014" t="s">
        <v>918</v>
      </c>
      <c r="G5" s="770"/>
      <c r="H5" s="770"/>
      <c r="I5" s="773"/>
      <c r="J5" s="773"/>
      <c r="K5" s="1013"/>
      <c r="L5" s="770"/>
      <c r="M5" s="770"/>
    </row>
    <row r="6" spans="1:25" s="1009" customFormat="1" ht="41.25" customHeight="1">
      <c r="B6" s="1010"/>
      <c r="C6" s="1010"/>
      <c r="D6" s="1010"/>
      <c r="F6" s="2242" t="s">
        <v>4294</v>
      </c>
      <c r="G6" s="2242"/>
      <c r="H6" s="2242"/>
      <c r="I6" s="2242"/>
      <c r="J6" s="2242"/>
      <c r="K6" s="2242"/>
      <c r="L6" s="2242"/>
      <c r="M6" s="2242"/>
    </row>
    <row r="7" spans="1:25" ht="7.5" customHeight="1">
      <c r="F7" s="1009"/>
      <c r="G7" s="1009"/>
      <c r="H7" s="1009"/>
      <c r="I7" s="1009"/>
      <c r="J7" s="1009"/>
      <c r="K7" s="1009"/>
      <c r="L7" s="1009"/>
    </row>
    <row r="8" spans="1:25" s="1009" customFormat="1" ht="33" customHeight="1" thickBot="1">
      <c r="A8" s="1160"/>
      <c r="B8" s="1160"/>
      <c r="E8" s="1158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09" customFormat="1" ht="48" thickTop="1" thickBot="1">
      <c r="A9" s="1160"/>
      <c r="B9" s="1160"/>
      <c r="C9" s="1022" t="str">
        <f ca="1">RIGHT(CELL("nombrearchivo",$A$1),LEN(CELL("nombrearchivo",$A$1))-SEARCH("]",CELL("nombrearchivo",$A$1)))</f>
        <v>Tabla III.2.</v>
      </c>
      <c r="E9" s="1158"/>
      <c r="F9" s="2260" t="s">
        <v>911</v>
      </c>
      <c r="G9" s="2261"/>
      <c r="H9" s="2239" t="s">
        <v>1620</v>
      </c>
      <c r="I9" s="2240"/>
      <c r="J9" s="2240"/>
      <c r="K9" s="2240"/>
      <c r="L9" s="2241"/>
      <c r="M9" s="1265" t="s">
        <v>1616</v>
      </c>
    </row>
    <row r="10" spans="1:25" ht="51.75" customHeight="1" thickTop="1">
      <c r="C10" s="2225" t="str">
        <f ca="1">RIGHT(CELL("nombrearchivo",$A$1),LEN(CELL("nombrearchivo",$A$1))-SEARCH("]",CELL("nombrearchivo",$A$1)))</f>
        <v>Tabla III.2.</v>
      </c>
      <c r="D10" s="2226"/>
      <c r="F10" s="2262"/>
      <c r="G10" s="2263"/>
      <c r="H10" s="2266" t="str">
        <f>+'Tabla III.1.'!H10</f>
        <v>SALDO A FINES DE DICIEMBRE 2019</v>
      </c>
      <c r="I10" s="2257" t="str">
        <f>+'Tabla III.1.'!I10</f>
        <v>TRANSACCIONES DEL
 1T2020 (ENE - MAR)</v>
      </c>
      <c r="J10" s="2258"/>
      <c r="K10" s="2268" t="s">
        <v>1631</v>
      </c>
      <c r="L10" s="2270" t="str">
        <f>+'Tabla III.1.'!L10</f>
        <v>SALDO A FINES DE MARZO 2020</v>
      </c>
      <c r="M10" s="1162" t="str">
        <f>+'Tabla III.1.'!M10</f>
        <v xml:space="preserve">SALDO DE ATRASOS A FINES DEL 1T2020 </v>
      </c>
    </row>
    <row r="11" spans="1:25" ht="84" customHeight="1" thickBot="1">
      <c r="C11" s="2227"/>
      <c r="D11" s="2228"/>
      <c r="F11" s="2262"/>
      <c r="G11" s="2263"/>
      <c r="H11" s="2267"/>
      <c r="I11" s="1266" t="s">
        <v>1636</v>
      </c>
      <c r="J11" s="1266" t="s">
        <v>1635</v>
      </c>
      <c r="K11" s="2269"/>
      <c r="L11" s="2271"/>
      <c r="M11" s="1163" t="s">
        <v>1617</v>
      </c>
    </row>
    <row r="12" spans="1:25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64"/>
      <c r="G12" s="2265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267" t="s">
        <v>901</v>
      </c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</row>
    <row r="13" spans="1:25" s="1171" customFormat="1" ht="36" customHeight="1" thickTop="1">
      <c r="A13" s="1172">
        <f>+'Tabla III.1.'!A63+1</f>
        <v>5</v>
      </c>
      <c r="B13" s="1173" t="s">
        <v>1777</v>
      </c>
      <c r="C13" s="1174"/>
      <c r="D13" s="1175" t="str">
        <f t="shared" ref="D13:D24" si="0">CONCATENATE("0",A13,B13)</f>
        <v>05.01.</v>
      </c>
      <c r="E13" s="1039"/>
      <c r="F13" s="1268" t="str">
        <f>+D13</f>
        <v>05.01.</v>
      </c>
      <c r="G13" s="1041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2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</row>
    <row r="14" spans="1:25" s="1171" customFormat="1" ht="23.1" customHeight="1">
      <c r="A14" s="1172">
        <f t="shared" ref="A14:A25" si="1">+A13</f>
        <v>5</v>
      </c>
      <c r="B14" s="1177" t="s">
        <v>1792</v>
      </c>
      <c r="C14" s="1178">
        <v>101</v>
      </c>
      <c r="D14" s="1179" t="str">
        <f t="shared" si="0"/>
        <v>05.01.00.01.</v>
      </c>
      <c r="E14" s="1039"/>
      <c r="F14" s="1269" t="str">
        <f t="shared" ref="F14:F25" si="2">+D14</f>
        <v>05.01.00.01.</v>
      </c>
      <c r="G14" s="1181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2"/>
      <c r="O14" s="1170"/>
      <c r="P14" s="1170"/>
      <c r="Q14" s="1170"/>
      <c r="R14" s="1170"/>
      <c r="S14" s="1170"/>
      <c r="T14" s="1170"/>
      <c r="U14" s="1170"/>
      <c r="V14" s="1170"/>
      <c r="W14" s="1170"/>
      <c r="X14" s="1170"/>
      <c r="Y14" s="1170"/>
    </row>
    <row r="15" spans="1:25" s="1171" customFormat="1" ht="23.1" customHeight="1">
      <c r="A15" s="1172">
        <f t="shared" si="1"/>
        <v>5</v>
      </c>
      <c r="B15" s="1177" t="s">
        <v>1793</v>
      </c>
      <c r="C15" s="1178">
        <v>111</v>
      </c>
      <c r="D15" s="1179" t="str">
        <f t="shared" si="0"/>
        <v>05.01.00.02.</v>
      </c>
      <c r="E15" s="1039"/>
      <c r="F15" s="1270" t="str">
        <f t="shared" si="2"/>
        <v>05.01.00.02.</v>
      </c>
      <c r="G15" s="1184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2"/>
      <c r="O15" s="1170"/>
      <c r="P15" s="1170"/>
      <c r="Q15" s="1170"/>
      <c r="R15" s="1170"/>
      <c r="S15" s="1170"/>
      <c r="T15" s="1170"/>
      <c r="U15" s="1170"/>
      <c r="V15" s="1170"/>
      <c r="W15" s="1170"/>
      <c r="X15" s="1170"/>
      <c r="Y15" s="1170"/>
    </row>
    <row r="16" spans="1:25" s="1171" customFormat="1" ht="36" customHeight="1">
      <c r="A16" s="1172">
        <f t="shared" si="1"/>
        <v>5</v>
      </c>
      <c r="B16" s="1173" t="s">
        <v>1780</v>
      </c>
      <c r="C16" s="1185"/>
      <c r="D16" s="1186" t="str">
        <f t="shared" si="0"/>
        <v>05.02.</v>
      </c>
      <c r="E16" s="1039"/>
      <c r="F16" s="1271" t="str">
        <f t="shared" si="2"/>
        <v>05.02.</v>
      </c>
      <c r="G16" s="1058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2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</row>
    <row r="17" spans="1:25" s="1171" customFormat="1" ht="23.1" customHeight="1">
      <c r="A17" s="1172">
        <f t="shared" si="1"/>
        <v>5</v>
      </c>
      <c r="B17" s="1177" t="s">
        <v>1794</v>
      </c>
      <c r="C17" s="1188">
        <v>102</v>
      </c>
      <c r="D17" s="1179" t="str">
        <f t="shared" si="0"/>
        <v>05.02.00.01.</v>
      </c>
      <c r="E17" s="1039"/>
      <c r="F17" s="1269" t="str">
        <f t="shared" si="2"/>
        <v>05.02.00.01.</v>
      </c>
      <c r="G17" s="1181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  <c r="Q17" s="1170"/>
      <c r="R17" s="1170"/>
      <c r="S17" s="1170"/>
      <c r="T17" s="1170"/>
      <c r="U17" s="1170"/>
      <c r="V17" s="1170"/>
      <c r="W17" s="1170"/>
      <c r="X17" s="1170"/>
      <c r="Y17" s="1170"/>
    </row>
    <row r="18" spans="1:25" s="1171" customFormat="1" ht="23.1" customHeight="1">
      <c r="A18" s="1172">
        <f t="shared" si="1"/>
        <v>5</v>
      </c>
      <c r="B18" s="1177" t="s">
        <v>1795</v>
      </c>
      <c r="C18" s="1188">
        <v>112</v>
      </c>
      <c r="D18" s="1179" t="str">
        <f t="shared" si="0"/>
        <v>05.02.00.02.</v>
      </c>
      <c r="E18" s="1039"/>
      <c r="F18" s="1270" t="str">
        <f t="shared" si="2"/>
        <v>05.02.00.02.</v>
      </c>
      <c r="G18" s="1184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  <c r="Q18" s="1170"/>
      <c r="R18" s="1170"/>
      <c r="S18" s="1170"/>
      <c r="T18" s="1170"/>
      <c r="U18" s="1170"/>
      <c r="V18" s="1170"/>
      <c r="W18" s="1170"/>
      <c r="X18" s="1170"/>
      <c r="Y18" s="1170"/>
    </row>
    <row r="19" spans="1:25" s="1171" customFormat="1" ht="36" customHeight="1">
      <c r="A19" s="1172">
        <f t="shared" si="1"/>
        <v>5</v>
      </c>
      <c r="B19" s="1177" t="s">
        <v>1783</v>
      </c>
      <c r="C19" s="1185"/>
      <c r="D19" s="1186" t="str">
        <f t="shared" si="0"/>
        <v>05.03.</v>
      </c>
      <c r="E19" s="1039"/>
      <c r="F19" s="1271" t="str">
        <f t="shared" si="2"/>
        <v>05.03.</v>
      </c>
      <c r="G19" s="1058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2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</row>
    <row r="20" spans="1:25" s="1171" customFormat="1" ht="23.1" customHeight="1">
      <c r="A20" s="1172">
        <f t="shared" si="1"/>
        <v>5</v>
      </c>
      <c r="B20" s="1177" t="s">
        <v>1796</v>
      </c>
      <c r="C20" s="1188">
        <v>102</v>
      </c>
      <c r="D20" s="1179" t="str">
        <f t="shared" si="0"/>
        <v>05.03.00.01.</v>
      </c>
      <c r="E20" s="1039"/>
      <c r="F20" s="1269" t="str">
        <f t="shared" si="2"/>
        <v>05.03.00.01.</v>
      </c>
      <c r="G20" s="1181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  <c r="Q20" s="1170"/>
      <c r="R20" s="1170"/>
      <c r="S20" s="1170"/>
      <c r="T20" s="1170"/>
      <c r="U20" s="1170"/>
      <c r="V20" s="1170"/>
      <c r="W20" s="1170"/>
      <c r="X20" s="1170"/>
      <c r="Y20" s="1170"/>
    </row>
    <row r="21" spans="1:25" s="1171" customFormat="1" ht="23.1" customHeight="1">
      <c r="A21" s="1172">
        <f t="shared" si="1"/>
        <v>5</v>
      </c>
      <c r="B21" s="1177" t="s">
        <v>1797</v>
      </c>
      <c r="C21" s="1178">
        <v>112</v>
      </c>
      <c r="D21" s="1179" t="str">
        <f t="shared" si="0"/>
        <v>05.03.00.02.</v>
      </c>
      <c r="E21" s="1039"/>
      <c r="F21" s="1270" t="str">
        <f t="shared" si="2"/>
        <v>05.03.00.02.</v>
      </c>
      <c r="G21" s="1184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</row>
    <row r="22" spans="1:25" s="1171" customFormat="1" ht="36" customHeight="1">
      <c r="A22" s="1172">
        <f t="shared" si="1"/>
        <v>5</v>
      </c>
      <c r="B22" s="1177" t="s">
        <v>1786</v>
      </c>
      <c r="C22" s="1185"/>
      <c r="D22" s="1186" t="str">
        <f t="shared" si="0"/>
        <v>05.04.</v>
      </c>
      <c r="E22" s="1039"/>
      <c r="F22" s="1271" t="str">
        <f t="shared" si="2"/>
        <v>05.04.</v>
      </c>
      <c r="G22" s="1058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2"/>
      <c r="O22" s="1170"/>
      <c r="P22" s="1170"/>
      <c r="Q22" s="1170"/>
      <c r="R22" s="1170"/>
      <c r="S22" s="1170"/>
      <c r="T22" s="1170"/>
      <c r="U22" s="1170"/>
      <c r="V22" s="1170"/>
      <c r="W22" s="1170"/>
      <c r="X22" s="1170"/>
      <c r="Y22" s="1170"/>
    </row>
    <row r="23" spans="1:25" s="1171" customFormat="1" ht="23.1" customHeight="1">
      <c r="A23" s="1172">
        <f t="shared" si="1"/>
        <v>5</v>
      </c>
      <c r="B23" s="1177" t="s">
        <v>1798</v>
      </c>
      <c r="C23" s="1188">
        <v>102</v>
      </c>
      <c r="D23" s="1179" t="str">
        <f t="shared" si="0"/>
        <v>05.04.00.01.</v>
      </c>
      <c r="E23" s="1039"/>
      <c r="F23" s="1269" t="str">
        <f t="shared" si="2"/>
        <v>05.04.00.01.</v>
      </c>
      <c r="G23" s="1181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2"/>
      <c r="O23" s="1170"/>
      <c r="P23" s="1170"/>
      <c r="Q23" s="1170"/>
      <c r="R23" s="1170"/>
      <c r="S23" s="1170"/>
      <c r="T23" s="1170"/>
      <c r="U23" s="1170"/>
      <c r="V23" s="1170"/>
      <c r="W23" s="1170"/>
      <c r="X23" s="1170"/>
      <c r="Y23" s="1170"/>
    </row>
    <row r="24" spans="1:25" s="1171" customFormat="1" ht="23.1" customHeight="1" thickBot="1">
      <c r="A24" s="1172">
        <f t="shared" si="1"/>
        <v>5</v>
      </c>
      <c r="B24" s="1177" t="s">
        <v>1799</v>
      </c>
      <c r="C24" s="1178">
        <v>112</v>
      </c>
      <c r="D24" s="1179" t="str">
        <f t="shared" si="0"/>
        <v>05.04.00.02.</v>
      </c>
      <c r="E24" s="1039"/>
      <c r="F24" s="1270" t="str">
        <f t="shared" si="2"/>
        <v>05.04.00.02.</v>
      </c>
      <c r="G24" s="1184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2"/>
      <c r="O24" s="1170"/>
      <c r="P24" s="1170"/>
      <c r="Q24" s="1170"/>
      <c r="R24" s="1170"/>
      <c r="S24" s="1170"/>
      <c r="T24" s="1170"/>
      <c r="U24" s="1170"/>
      <c r="V24" s="1170"/>
      <c r="W24" s="1170"/>
      <c r="X24" s="1170"/>
      <c r="Y24" s="1170"/>
    </row>
    <row r="25" spans="1:25" s="1171" customFormat="1" ht="35.1" customHeight="1" thickTop="1" thickBot="1">
      <c r="A25" s="1272">
        <f t="shared" si="1"/>
        <v>5</v>
      </c>
      <c r="B25" s="1066" t="s">
        <v>1787</v>
      </c>
      <c r="C25" s="1189"/>
      <c r="D25" s="1190" t="str">
        <f>CONCATENATE("0",A25,B25)</f>
        <v>05.99.</v>
      </c>
      <c r="E25" s="1167"/>
      <c r="F25" s="1273" t="str">
        <f t="shared" si="2"/>
        <v>05.99.</v>
      </c>
      <c r="G25" s="1274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2"/>
      <c r="O25" s="1170"/>
      <c r="P25" s="1170"/>
      <c r="Q25" s="1170"/>
      <c r="R25" s="1170"/>
      <c r="S25" s="1170"/>
      <c r="T25" s="1170"/>
      <c r="U25" s="1170"/>
      <c r="V25" s="1170"/>
      <c r="W25" s="1170"/>
      <c r="X25" s="1170"/>
      <c r="Y25" s="1170"/>
    </row>
    <row r="26" spans="1:25" s="1196" customFormat="1" ht="18.75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</row>
    <row r="27" spans="1:25" s="1281" customFormat="1" ht="18.75" customHeight="1" thickTop="1">
      <c r="A27" s="1275"/>
      <c r="B27" s="1275"/>
      <c r="C27" s="1276"/>
      <c r="D27" s="1277"/>
      <c r="E27" s="1278"/>
      <c r="F27" s="817" t="s">
        <v>1604</v>
      </c>
      <c r="G27" s="1279"/>
      <c r="H27" s="1279"/>
      <c r="I27" s="1279"/>
      <c r="J27" s="1279"/>
      <c r="K27" s="1279"/>
      <c r="L27" s="1279"/>
      <c r="M27" s="1280"/>
    </row>
    <row r="28" spans="1:25" s="1281" customFormat="1" ht="18.75" customHeight="1">
      <c r="A28" s="1275"/>
      <c r="B28" s="1275"/>
      <c r="C28" s="1276"/>
      <c r="D28" s="1282">
        <v>1</v>
      </c>
      <c r="E28" s="1283"/>
      <c r="F28" s="1083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4"/>
      <c r="H28" s="1284"/>
      <c r="I28" s="1284"/>
      <c r="J28" s="1284"/>
      <c r="K28" s="1284"/>
      <c r="L28" s="1284"/>
      <c r="M28" s="1285"/>
    </row>
    <row r="29" spans="1:25" s="1281" customFormat="1" ht="26.25" customHeight="1" thickBot="1">
      <c r="A29" s="1275"/>
      <c r="B29" s="1275"/>
      <c r="C29" s="1276"/>
      <c r="D29" s="1282"/>
      <c r="E29" s="1283"/>
      <c r="F29" s="832" t="s">
        <v>1682</v>
      </c>
      <c r="G29" s="1286"/>
      <c r="H29" s="1286"/>
      <c r="I29" s="1286"/>
      <c r="J29" s="1286"/>
      <c r="K29" s="1286"/>
      <c r="L29" s="1286"/>
      <c r="M29" s="1287"/>
    </row>
    <row r="30" spans="1:25" s="1281" customFormat="1" ht="18.75" customHeight="1" thickTop="1">
      <c r="A30" s="1275"/>
      <c r="B30" s="1275"/>
      <c r="C30" s="1276"/>
      <c r="D30" s="1288"/>
      <c r="E30" s="1276"/>
      <c r="F30" s="1289"/>
      <c r="G30" s="1290"/>
      <c r="H30" s="1291"/>
      <c r="I30" s="1291"/>
      <c r="J30" s="1291"/>
      <c r="K30" s="1291"/>
      <c r="L30" s="1291"/>
      <c r="M30" s="1291"/>
    </row>
    <row r="31" spans="1:25" s="1281" customFormat="1" ht="23.25">
      <c r="A31" s="1275"/>
      <c r="B31" s="1275"/>
      <c r="C31" s="1276"/>
      <c r="D31" s="1288"/>
      <c r="E31" s="1276"/>
      <c r="F31" s="1292"/>
      <c r="G31" s="1293"/>
      <c r="H31" s="1294"/>
      <c r="I31" s="1294"/>
      <c r="J31" s="1294"/>
      <c r="K31" s="1294"/>
      <c r="L31" s="1294"/>
      <c r="M31" s="1294"/>
    </row>
    <row r="32" spans="1:25" s="1196" customFormat="1" ht="23.25">
      <c r="A32" s="1192"/>
      <c r="B32" s="1192"/>
      <c r="C32" s="1193"/>
      <c r="D32" s="1143"/>
      <c r="E32" s="1193"/>
      <c r="F32" s="1194"/>
      <c r="G32" s="1195"/>
      <c r="H32" s="1076"/>
      <c r="I32" s="1076"/>
      <c r="J32" s="1076"/>
      <c r="K32" s="1076"/>
      <c r="L32" s="1077"/>
      <c r="M32" s="1077"/>
    </row>
    <row r="33" spans="1:25" s="1009" customFormat="1" ht="33" customHeight="1" thickBot="1">
      <c r="A33" s="1160"/>
      <c r="B33" s="1160"/>
      <c r="E33" s="1158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09" customFormat="1" ht="48" thickTop="1" thickBot="1">
      <c r="A34" s="1160"/>
      <c r="B34" s="1160"/>
      <c r="E34" s="1158"/>
      <c r="F34" s="2260" t="s">
        <v>910</v>
      </c>
      <c r="G34" s="2261"/>
      <c r="H34" s="2239" t="str">
        <f>+H9</f>
        <v>I. SALDOS Y FLUJOS DE INTERESES DEVENGADOS Y PAGADOS</v>
      </c>
      <c r="I34" s="2240"/>
      <c r="J34" s="2240"/>
      <c r="K34" s="2240"/>
      <c r="L34" s="2241"/>
      <c r="M34" s="1265" t="str">
        <f>+M9</f>
        <v>II. ATRASOS DE INTERESES</v>
      </c>
    </row>
    <row r="35" spans="1:25" ht="57" customHeight="1" thickTop="1">
      <c r="C35" s="2225" t="str">
        <f ca="1">RIGHT(CELL("nombrearchivo",$A$24),LEN(CELL("nombrearchivo",$A$24))-SEARCH("]",CELL("nombrearchivo",$A$24)))</f>
        <v>Tabla III.2.</v>
      </c>
      <c r="D35" s="2226"/>
      <c r="F35" s="2262"/>
      <c r="G35" s="2263"/>
      <c r="H35" s="2266" t="str">
        <f>+H10</f>
        <v>SALDO A FINES DE DICIEMBRE 2019</v>
      </c>
      <c r="I35" s="2257" t="str">
        <f>+I10</f>
        <v>TRANSACCIONES DEL
 1T2020 (ENE - MAR)</v>
      </c>
      <c r="J35" s="2258"/>
      <c r="K35" s="2268" t="s">
        <v>1631</v>
      </c>
      <c r="L35" s="2270" t="str">
        <f>+L10</f>
        <v>SALDO A FINES DE MARZO 2020</v>
      </c>
      <c r="M35" s="1162" t="str">
        <f>+M10</f>
        <v xml:space="preserve">SALDO DE ATRASOS A FINES DEL 1T2020 </v>
      </c>
    </row>
    <row r="36" spans="1:25" ht="80.25" customHeight="1" thickBot="1">
      <c r="C36" s="2227"/>
      <c r="D36" s="2228"/>
      <c r="F36" s="2262"/>
      <c r="G36" s="2263"/>
      <c r="H36" s="2267"/>
      <c r="I36" s="1266" t="s">
        <v>1636</v>
      </c>
      <c r="J36" s="1266" t="s">
        <v>1635</v>
      </c>
      <c r="K36" s="2269"/>
      <c r="L36" s="2271"/>
      <c r="M36" s="1163" t="s">
        <v>1617</v>
      </c>
    </row>
    <row r="37" spans="1:25" s="1171" customFormat="1" ht="36" customHeight="1" thickBot="1">
      <c r="A37" s="1164" t="s">
        <v>894</v>
      </c>
      <c r="B37" s="1164" t="s">
        <v>895</v>
      </c>
      <c r="C37" s="1165" t="s">
        <v>68</v>
      </c>
      <c r="D37" s="1166" t="s">
        <v>69</v>
      </c>
      <c r="E37" s="1167"/>
      <c r="F37" s="2264"/>
      <c r="G37" s="2265"/>
      <c r="H37" s="1030" t="s">
        <v>640</v>
      </c>
      <c r="I37" s="1031" t="s">
        <v>641</v>
      </c>
      <c r="J37" s="1031" t="s">
        <v>642</v>
      </c>
      <c r="K37" s="1032" t="s">
        <v>643</v>
      </c>
      <c r="L37" s="1168" t="s">
        <v>45</v>
      </c>
      <c r="M37" s="1169" t="s">
        <v>901</v>
      </c>
      <c r="N37" s="1170"/>
      <c r="O37" s="1170"/>
      <c r="P37" s="1170"/>
      <c r="Q37" s="1170"/>
      <c r="R37" s="1170"/>
      <c r="S37" s="1170"/>
      <c r="T37" s="1170"/>
      <c r="U37" s="1170"/>
      <c r="V37" s="1170"/>
      <c r="W37" s="1170"/>
      <c r="X37" s="1170"/>
      <c r="Y37" s="1170"/>
    </row>
    <row r="38" spans="1:25" s="1171" customFormat="1" ht="33.75" customHeight="1">
      <c r="A38" s="1172">
        <f>+A25+1</f>
        <v>6</v>
      </c>
      <c r="B38" s="1205" t="s">
        <v>1777</v>
      </c>
      <c r="C38" s="1206"/>
      <c r="D38" s="1207" t="str">
        <f>CONCATENATE("0",A38,B38)</f>
        <v>06.01.</v>
      </c>
      <c r="E38" s="1039"/>
      <c r="F38" s="1208" t="str">
        <f>+D38</f>
        <v>06.01.</v>
      </c>
      <c r="G38" s="1209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2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</row>
    <row r="39" spans="1:25" s="1171" customFormat="1" ht="23.1" customHeight="1">
      <c r="A39" s="1172">
        <f t="shared" ref="A39:A55" si="4">+A38</f>
        <v>6</v>
      </c>
      <c r="B39" s="1173" t="s">
        <v>1778</v>
      </c>
      <c r="C39" s="1174"/>
      <c r="D39" s="1210" t="str">
        <f t="shared" ref="D39:D55" si="5">CONCATENATE("0",A39,B39)</f>
        <v>06.01.01.</v>
      </c>
      <c r="E39" s="1039"/>
      <c r="F39" s="1295" t="str">
        <f t="shared" ref="F39:F55" si="6">+D39</f>
        <v>06.01.01.</v>
      </c>
      <c r="G39" s="1212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2"/>
      <c r="O39" s="1170"/>
      <c r="P39" s="1170"/>
      <c r="Q39" s="1170"/>
      <c r="R39" s="1170"/>
      <c r="S39" s="1170"/>
      <c r="T39" s="1170"/>
      <c r="U39" s="1170"/>
      <c r="V39" s="1170"/>
      <c r="W39" s="1170"/>
      <c r="X39" s="1170"/>
      <c r="Y39" s="1170"/>
    </row>
    <row r="40" spans="1:25" s="1171" customFormat="1" ht="23.1" customHeight="1">
      <c r="A40" s="1172">
        <f t="shared" si="4"/>
        <v>6</v>
      </c>
      <c r="B40" s="1213" t="s">
        <v>890</v>
      </c>
      <c r="C40" s="1178" t="s">
        <v>650</v>
      </c>
      <c r="D40" s="1179" t="str">
        <f t="shared" si="5"/>
        <v>06.01.01.01.</v>
      </c>
      <c r="E40" s="1039"/>
      <c r="F40" s="1296" t="str">
        <f t="shared" si="6"/>
        <v>06.01.01.01.</v>
      </c>
      <c r="G40" s="1214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2"/>
      <c r="O40" s="1170"/>
      <c r="P40" s="1170"/>
      <c r="Q40" s="1170"/>
      <c r="R40" s="1170"/>
      <c r="S40" s="1170"/>
      <c r="T40" s="1170"/>
      <c r="U40" s="1170"/>
      <c r="V40" s="1170"/>
      <c r="W40" s="1170"/>
      <c r="X40" s="1170"/>
      <c r="Y40" s="1170"/>
    </row>
    <row r="41" spans="1:25" s="1171" customFormat="1" ht="23.1" customHeight="1">
      <c r="A41" s="1172">
        <f t="shared" si="4"/>
        <v>6</v>
      </c>
      <c r="B41" s="1213" t="s">
        <v>896</v>
      </c>
      <c r="C41" s="1178">
        <v>113</v>
      </c>
      <c r="D41" s="1179" t="str">
        <f t="shared" si="5"/>
        <v>06.01.01.02.</v>
      </c>
      <c r="E41" s="1039"/>
      <c r="F41" s="1296" t="str">
        <f t="shared" si="6"/>
        <v>06.01.01.02.</v>
      </c>
      <c r="G41" s="1214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2"/>
      <c r="O41" s="1170"/>
      <c r="P41" s="1170"/>
      <c r="Q41" s="1170"/>
      <c r="R41" s="1170"/>
      <c r="S41" s="1170"/>
      <c r="T41" s="1170"/>
      <c r="U41" s="1170"/>
      <c r="V41" s="1170"/>
      <c r="W41" s="1170"/>
      <c r="X41" s="1170"/>
      <c r="Y41" s="1170"/>
    </row>
    <row r="42" spans="1:25" s="1171" customFormat="1" ht="23.1" customHeight="1">
      <c r="A42" s="1172">
        <f t="shared" si="4"/>
        <v>6</v>
      </c>
      <c r="B42" s="1173" t="s">
        <v>1779</v>
      </c>
      <c r="C42" s="1185"/>
      <c r="D42" s="1215" t="str">
        <f t="shared" si="5"/>
        <v>06.01.02.</v>
      </c>
      <c r="E42" s="1039"/>
      <c r="F42" s="1297" t="str">
        <f t="shared" si="6"/>
        <v>06.01.02.</v>
      </c>
      <c r="G42" s="1298" t="s">
        <v>4314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2"/>
      <c r="O42" s="1170"/>
      <c r="P42" s="1170"/>
      <c r="Q42" s="1170"/>
      <c r="R42" s="1170"/>
      <c r="S42" s="1170"/>
      <c r="T42" s="1170"/>
      <c r="U42" s="1170"/>
      <c r="V42" s="1170"/>
      <c r="W42" s="1170"/>
      <c r="X42" s="1170"/>
      <c r="Y42" s="1170"/>
    </row>
    <row r="43" spans="1:25" s="1171" customFormat="1" ht="23.1" customHeight="1">
      <c r="A43" s="1172">
        <f t="shared" si="4"/>
        <v>6</v>
      </c>
      <c r="B43" s="1213" t="s">
        <v>899</v>
      </c>
      <c r="C43" s="1188">
        <v>104</v>
      </c>
      <c r="D43" s="1218" t="str">
        <f t="shared" si="5"/>
        <v>06.01.02.01.</v>
      </c>
      <c r="E43" s="1039"/>
      <c r="F43" s="1299" t="str">
        <f t="shared" si="6"/>
        <v>06.01.02.01.</v>
      </c>
      <c r="G43" s="1214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2"/>
      <c r="O43" s="1170"/>
      <c r="P43" s="1170"/>
      <c r="Q43" s="1170"/>
      <c r="R43" s="1170"/>
      <c r="S43" s="1170"/>
      <c r="T43" s="1170"/>
      <c r="U43" s="1170"/>
      <c r="V43" s="1170"/>
      <c r="W43" s="1170"/>
      <c r="X43" s="1170"/>
      <c r="Y43" s="1170"/>
    </row>
    <row r="44" spans="1:25" s="1171" customFormat="1" ht="23.1" customHeight="1">
      <c r="A44" s="1172">
        <f t="shared" si="4"/>
        <v>6</v>
      </c>
      <c r="B44" s="1213" t="s">
        <v>891</v>
      </c>
      <c r="C44" s="1178">
        <v>114</v>
      </c>
      <c r="D44" s="1220" t="str">
        <f t="shared" si="5"/>
        <v>06.01.02.02.</v>
      </c>
      <c r="E44" s="1039"/>
      <c r="F44" s="1299" t="str">
        <f t="shared" si="6"/>
        <v>06.01.02.02.</v>
      </c>
      <c r="G44" s="1214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2"/>
      <c r="O44" s="1170"/>
      <c r="P44" s="1170"/>
      <c r="Q44" s="1170"/>
      <c r="R44" s="1170"/>
      <c r="S44" s="1170"/>
      <c r="T44" s="1170"/>
      <c r="U44" s="1170"/>
      <c r="V44" s="1170"/>
      <c r="W44" s="1170"/>
      <c r="X44" s="1170"/>
      <c r="Y44" s="1170"/>
    </row>
    <row r="45" spans="1:25" s="1171" customFormat="1" ht="23.1" customHeight="1">
      <c r="A45" s="1172">
        <f t="shared" si="4"/>
        <v>6</v>
      </c>
      <c r="B45" s="1173" t="s">
        <v>1788</v>
      </c>
      <c r="C45" s="1185"/>
      <c r="D45" s="1215" t="str">
        <f t="shared" si="5"/>
        <v>06.01.03.</v>
      </c>
      <c r="E45" s="1039"/>
      <c r="F45" s="1297" t="str">
        <f t="shared" si="6"/>
        <v>06.01.03.</v>
      </c>
      <c r="G45" s="1298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2"/>
      <c r="O45" s="1170"/>
      <c r="P45" s="1170"/>
      <c r="Q45" s="1170"/>
      <c r="R45" s="1170"/>
      <c r="S45" s="1170"/>
      <c r="T45" s="1170"/>
      <c r="U45" s="1170"/>
      <c r="V45" s="1170"/>
      <c r="W45" s="1170"/>
      <c r="X45" s="1170"/>
      <c r="Y45" s="1170"/>
    </row>
    <row r="46" spans="1:25" s="1171" customFormat="1" ht="23.1" customHeight="1">
      <c r="A46" s="1172">
        <f t="shared" si="4"/>
        <v>6</v>
      </c>
      <c r="B46" s="1213" t="s">
        <v>1774</v>
      </c>
      <c r="C46" s="1188">
        <v>106</v>
      </c>
      <c r="D46" s="1218" t="str">
        <f t="shared" si="5"/>
        <v>06.01.03.01.</v>
      </c>
      <c r="E46" s="1039"/>
      <c r="F46" s="1299" t="str">
        <f t="shared" si="6"/>
        <v>06.01.03.01.</v>
      </c>
      <c r="G46" s="1214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2"/>
      <c r="O46" s="1170"/>
      <c r="P46" s="1170"/>
      <c r="Q46" s="1170"/>
      <c r="R46" s="1170"/>
      <c r="S46" s="1170"/>
      <c r="T46" s="1170"/>
      <c r="U46" s="1170"/>
      <c r="V46" s="1170"/>
      <c r="W46" s="1170"/>
      <c r="X46" s="1170"/>
      <c r="Y46" s="1170"/>
    </row>
    <row r="47" spans="1:25" s="1171" customFormat="1" ht="23.1" customHeight="1">
      <c r="A47" s="1172">
        <f t="shared" si="4"/>
        <v>6</v>
      </c>
      <c r="B47" s="1213" t="s">
        <v>1775</v>
      </c>
      <c r="C47" s="1178">
        <v>116</v>
      </c>
      <c r="D47" s="1218" t="str">
        <f t="shared" si="5"/>
        <v>06.01.03.02.</v>
      </c>
      <c r="E47" s="1039"/>
      <c r="F47" s="1299" t="str">
        <f t="shared" si="6"/>
        <v>06.01.03.02.</v>
      </c>
      <c r="G47" s="1214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2"/>
      <c r="O47" s="1170"/>
      <c r="P47" s="1170"/>
      <c r="Q47" s="1170"/>
      <c r="R47" s="1170"/>
      <c r="S47" s="1170"/>
      <c r="T47" s="1170"/>
      <c r="U47" s="1170"/>
      <c r="V47" s="1170"/>
      <c r="W47" s="1170"/>
      <c r="X47" s="1170"/>
      <c r="Y47" s="1170"/>
    </row>
    <row r="48" spans="1:25" s="1171" customFormat="1" ht="40.5" customHeight="1">
      <c r="A48" s="1172">
        <f t="shared" si="4"/>
        <v>6</v>
      </c>
      <c r="B48" s="1221" t="s">
        <v>1780</v>
      </c>
      <c r="C48" s="1222">
        <v>120</v>
      </c>
      <c r="D48" s="1223" t="str">
        <f t="shared" si="5"/>
        <v>06.02.</v>
      </c>
      <c r="E48" s="1039"/>
      <c r="F48" s="1187" t="str">
        <f t="shared" si="6"/>
        <v>06.02.</v>
      </c>
      <c r="G48" s="1224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2"/>
      <c r="O48" s="1170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</row>
    <row r="49" spans="1:25" s="1171" customFormat="1" ht="23.1" customHeight="1">
      <c r="A49" s="1172">
        <f t="shared" si="4"/>
        <v>6</v>
      </c>
      <c r="B49" s="1213" t="s">
        <v>1794</v>
      </c>
      <c r="C49" s="1188">
        <v>121</v>
      </c>
      <c r="D49" s="1218" t="str">
        <f t="shared" si="5"/>
        <v>06.02.00.01.</v>
      </c>
      <c r="E49" s="1039"/>
      <c r="F49" s="1300" t="str">
        <f t="shared" si="6"/>
        <v>06.02.00.01.</v>
      </c>
      <c r="G49" s="1214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2"/>
      <c r="O49" s="1170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</row>
    <row r="50" spans="1:25" s="1171" customFormat="1" ht="23.1" customHeight="1">
      <c r="A50" s="1172">
        <f t="shared" si="4"/>
        <v>6</v>
      </c>
      <c r="B50" s="1213" t="s">
        <v>1795</v>
      </c>
      <c r="C50" s="1178">
        <v>122</v>
      </c>
      <c r="D50" s="1218" t="str">
        <f t="shared" si="5"/>
        <v>06.02.00.02.</v>
      </c>
      <c r="E50" s="1039"/>
      <c r="F50" s="1301" t="str">
        <f t="shared" si="6"/>
        <v>06.02.00.02.</v>
      </c>
      <c r="G50" s="1214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2"/>
      <c r="O50" s="1170"/>
      <c r="P50" s="1170"/>
      <c r="Q50" s="1170"/>
      <c r="R50" s="1170"/>
      <c r="S50" s="1170"/>
      <c r="T50" s="1170"/>
      <c r="U50" s="1170"/>
      <c r="V50" s="1170"/>
      <c r="W50" s="1170"/>
      <c r="X50" s="1170"/>
      <c r="Y50" s="1170"/>
    </row>
    <row r="51" spans="1:25" s="1171" customFormat="1" ht="31.5">
      <c r="A51" s="1172">
        <f t="shared" si="4"/>
        <v>6</v>
      </c>
      <c r="B51" s="1221" t="s">
        <v>1783</v>
      </c>
      <c r="C51" s="1222">
        <v>120</v>
      </c>
      <c r="D51" s="1223" t="str">
        <f t="shared" si="5"/>
        <v>06.03.</v>
      </c>
      <c r="E51" s="1039"/>
      <c r="F51" s="1302" t="str">
        <f t="shared" si="6"/>
        <v>06.03.</v>
      </c>
      <c r="G51" s="1224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2"/>
      <c r="O51" s="1170"/>
      <c r="P51" s="1170"/>
      <c r="Q51" s="1170"/>
      <c r="R51" s="1170"/>
      <c r="S51" s="1170"/>
      <c r="T51" s="1170"/>
      <c r="U51" s="1170"/>
      <c r="V51" s="1170"/>
      <c r="W51" s="1170"/>
      <c r="X51" s="1170"/>
      <c r="Y51" s="1170"/>
    </row>
    <row r="52" spans="1:25" s="1171" customFormat="1" ht="23.1" customHeight="1">
      <c r="A52" s="1172">
        <f t="shared" si="4"/>
        <v>6</v>
      </c>
      <c r="B52" s="1213" t="s">
        <v>1796</v>
      </c>
      <c r="C52" s="1188">
        <v>121</v>
      </c>
      <c r="D52" s="1218" t="str">
        <f t="shared" si="5"/>
        <v>06.03.00.01.</v>
      </c>
      <c r="E52" s="1039"/>
      <c r="F52" s="1303" t="str">
        <f t="shared" si="6"/>
        <v>06.03.00.01.</v>
      </c>
      <c r="G52" s="1214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2"/>
      <c r="O52" s="1170"/>
      <c r="P52" s="1170"/>
      <c r="Q52" s="1170"/>
      <c r="R52" s="1170"/>
      <c r="S52" s="1170"/>
      <c r="T52" s="1170"/>
      <c r="U52" s="1170"/>
      <c r="V52" s="1170"/>
      <c r="W52" s="1170"/>
      <c r="X52" s="1170"/>
      <c r="Y52" s="1170"/>
    </row>
    <row r="53" spans="1:25" s="1171" customFormat="1" ht="23.1" customHeight="1">
      <c r="A53" s="1172">
        <f t="shared" si="4"/>
        <v>6</v>
      </c>
      <c r="B53" s="1213" t="s">
        <v>1797</v>
      </c>
      <c r="C53" s="1178">
        <v>122</v>
      </c>
      <c r="D53" s="1218" t="str">
        <f t="shared" si="5"/>
        <v>06.03.00.02.</v>
      </c>
      <c r="E53" s="1039"/>
      <c r="F53" s="1304" t="str">
        <f t="shared" si="6"/>
        <v>06.03.00.02.</v>
      </c>
      <c r="G53" s="1214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2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1:25" s="1232" customFormat="1" ht="35.25" customHeight="1" thickBot="1">
      <c r="A54" s="1172">
        <f t="shared" si="4"/>
        <v>6</v>
      </c>
      <c r="B54" s="1221" t="s">
        <v>1786</v>
      </c>
      <c r="C54" s="1228">
        <v>130</v>
      </c>
      <c r="D54" s="1223" t="str">
        <f t="shared" si="5"/>
        <v>06.04.</v>
      </c>
      <c r="E54" s="1039"/>
      <c r="F54" s="1229" t="str">
        <f t="shared" si="6"/>
        <v>06.04.</v>
      </c>
      <c r="G54" s="1230" t="s">
        <v>1689</v>
      </c>
      <c r="H54" s="1814"/>
      <c r="I54" s="1815"/>
      <c r="J54" s="1815"/>
      <c r="K54" s="1816"/>
      <c r="L54" s="1231">
        <f t="shared" si="7"/>
        <v>0</v>
      </c>
      <c r="M54" s="1817"/>
      <c r="N54" s="1042"/>
    </row>
    <row r="55" spans="1:25" s="1232" customFormat="1" ht="27" customHeight="1" thickTop="1" thickBot="1">
      <c r="A55" s="1172">
        <f t="shared" si="4"/>
        <v>6</v>
      </c>
      <c r="B55" s="1221" t="s">
        <v>1787</v>
      </c>
      <c r="C55" s="1233">
        <v>150</v>
      </c>
      <c r="D55" s="1234" t="str">
        <f t="shared" si="5"/>
        <v>06.99.</v>
      </c>
      <c r="E55" s="1039"/>
      <c r="F55" s="1235" t="str">
        <f t="shared" si="6"/>
        <v>06.99.</v>
      </c>
      <c r="G55" s="1236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2"/>
    </row>
    <row r="56" spans="1:25" s="1009" customFormat="1" ht="15.75" customHeight="1" thickBot="1">
      <c r="A56" s="1160"/>
      <c r="B56" s="1160"/>
      <c r="E56" s="1158"/>
      <c r="H56" s="1305"/>
      <c r="I56" s="1305"/>
      <c r="J56" s="1305"/>
      <c r="K56" s="1305"/>
      <c r="L56" s="1305"/>
      <c r="M56" s="1305"/>
    </row>
    <row r="57" spans="1:25" s="1009" customFormat="1" ht="27.75" customHeight="1" thickTop="1">
      <c r="A57" s="1160"/>
      <c r="B57" s="1160"/>
      <c r="E57" s="1158"/>
      <c r="F57" s="817" t="s">
        <v>1604</v>
      </c>
      <c r="G57" s="1257"/>
      <c r="H57" s="1257"/>
      <c r="I57" s="1257"/>
      <c r="J57" s="1257"/>
      <c r="K57" s="1257"/>
      <c r="L57" s="1257"/>
      <c r="M57" s="1258"/>
    </row>
    <row r="58" spans="1:25" s="1009" customFormat="1" ht="27.75" customHeight="1">
      <c r="A58" s="1160"/>
      <c r="B58" s="1160"/>
      <c r="D58" s="1078">
        <v>1</v>
      </c>
      <c r="E58" s="765"/>
      <c r="F58" s="1083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8"/>
      <c r="H58" s="1018"/>
      <c r="I58" s="1018"/>
      <c r="J58" s="1018"/>
      <c r="K58" s="1018"/>
      <c r="L58" s="1018"/>
      <c r="M58" s="1259"/>
    </row>
    <row r="59" spans="1:25" s="1009" customFormat="1" ht="27.75" customHeight="1" thickBot="1">
      <c r="A59" s="1160"/>
      <c r="B59" s="1160"/>
      <c r="D59" s="1078"/>
      <c r="E59" s="1078"/>
      <c r="F59" s="832" t="s">
        <v>1690</v>
      </c>
      <c r="G59" s="1260"/>
      <c r="H59" s="1260"/>
      <c r="I59" s="1260"/>
      <c r="J59" s="1260"/>
      <c r="K59" s="1260"/>
      <c r="L59" s="1260"/>
      <c r="M59" s="1261"/>
    </row>
    <row r="60" spans="1:25" ht="19.5" thickTop="1"/>
  </sheetData>
  <sheetProtection algorithmName="SHA-512" hashValue="/2dIZ6gYy/REsGBIdsuM30Gv1btLQkUg/6iMh0vLaZBt88gElpwsbeDoPjxXnSK0LwexN+x16/tFzOgr+kL7WQ==" saltValue="QclCyi51GZIHr7pMNeU77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60" zoomScaleNormal="60" workbookViewId="0">
      <pane xSplit="1" ySplit="5" topLeftCell="L8" activePane="bottomRight" state="frozen"/>
      <selection activeCell="E3" sqref="E3"/>
      <selection pane="topRight" activeCell="F3" sqref="F3"/>
      <selection pane="bottomLeft" activeCell="E8" sqref="E8"/>
      <selection pane="bottomRight" activeCell="H12" sqref="H12"/>
    </sheetView>
  </sheetViews>
  <sheetFormatPr baseColWidth="10" defaultRowHeight="15.75"/>
  <cols>
    <col min="1" max="1" width="14.42578125" style="1159" hidden="1" customWidth="1"/>
    <col min="2" max="2" width="27" style="1009" hidden="1" customWidth="1"/>
    <col min="3" max="4" width="22.28515625" style="1009" hidden="1" customWidth="1"/>
    <col min="5" max="5" width="2.7109375" style="1010" customWidth="1"/>
    <col min="6" max="6" width="21.5703125" style="1159" customWidth="1"/>
    <col min="7" max="7" width="77.85546875" style="1159" customWidth="1"/>
    <col min="8" max="8" width="20.7109375" style="1159" customWidth="1"/>
    <col min="9" max="19" width="20.7109375" style="1009" customWidth="1"/>
    <col min="20" max="20" width="13.7109375" style="1009" customWidth="1"/>
    <col min="21" max="38" width="11.42578125" style="1009"/>
    <col min="39" max="16384" width="11.42578125" style="1159"/>
  </cols>
  <sheetData>
    <row r="1" spans="1:38" ht="29.25" hidden="1" customHeight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  <c r="R1" s="1308" t="s">
        <v>169</v>
      </c>
      <c r="S1" s="1308" t="s">
        <v>170</v>
      </c>
    </row>
    <row r="2" spans="1:38" s="1018" customFormat="1">
      <c r="E2" s="1309"/>
    </row>
    <row r="3" spans="1:38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  <c r="O3" s="1011"/>
      <c r="P3" s="1011"/>
      <c r="Q3" s="1011"/>
      <c r="R3" s="1011"/>
      <c r="S3" s="1011"/>
    </row>
    <row r="4" spans="1:38" s="1009" customFormat="1" ht="35.25">
      <c r="B4" s="1010"/>
      <c r="C4" s="1010"/>
      <c r="D4" s="1010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  <c r="O5" s="770"/>
      <c r="P5" s="770"/>
      <c r="Q5" s="770"/>
      <c r="R5" s="770"/>
      <c r="S5" s="770"/>
    </row>
    <row r="6" spans="1:38" s="1009" customFormat="1" ht="43.5" customHeight="1">
      <c r="B6" s="1010"/>
      <c r="C6" s="1010"/>
      <c r="D6" s="1010"/>
      <c r="F6" s="2242" t="s">
        <v>4294</v>
      </c>
      <c r="G6" s="2242"/>
      <c r="H6" s="2242"/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2242"/>
    </row>
    <row r="7" spans="1:38" s="1018" customFormat="1" ht="9.75" customHeight="1">
      <c r="B7" s="1310"/>
      <c r="C7" s="1310"/>
      <c r="D7" s="1310"/>
      <c r="E7" s="1311"/>
      <c r="F7" s="1017"/>
    </row>
    <row r="8" spans="1:38" s="1009" customFormat="1" ht="30.75" thickBot="1">
      <c r="C8" s="776" t="str">
        <f ca="1">RIGHT(CELL("nombrearchivo",$A$2),LEN(CELL("nombrearchivo",$A$2))-SEARCH("]",CELL("nombrearchivo",$A$2)))</f>
        <v>Tabla III.3.</v>
      </c>
      <c r="E8" s="1010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25" t="str">
        <f ca="1">RIGHT(CELL("nombrearchivo",$A$2),LEN(CELL("nombrearchivo",$A$2))-SEARCH("]",CELL("nombrearchivo",$A$2)))</f>
        <v>Tabla III.3.</v>
      </c>
      <c r="D9" s="2226"/>
      <c r="F9" s="2274" t="s">
        <v>4289</v>
      </c>
      <c r="G9" s="2275"/>
      <c r="H9" s="2280" t="str">
        <f>+'Tabla III.2.'!L10</f>
        <v>SALDO A FINES DE MARZO 2020</v>
      </c>
      <c r="I9" s="2272" t="str">
        <f>"ATRASOS "&amp;D29&amp;"/"</f>
        <v>ATRASOS 2/</v>
      </c>
      <c r="J9" s="1312" t="s">
        <v>1621</v>
      </c>
      <c r="K9" s="1313"/>
      <c r="L9" s="1313"/>
      <c r="M9" s="1314"/>
      <c r="N9" s="1314"/>
      <c r="O9" s="1314"/>
      <c r="P9" s="1314"/>
      <c r="Q9" s="1314"/>
      <c r="R9" s="1314"/>
      <c r="S9" s="1315"/>
      <c r="T9" s="1196"/>
      <c r="U9" s="1170"/>
      <c r="V9" s="1170"/>
    </row>
    <row r="10" spans="1:38" ht="60.75" customHeight="1" thickBot="1">
      <c r="C10" s="2227"/>
      <c r="D10" s="2228"/>
      <c r="F10" s="2276"/>
      <c r="G10" s="2277"/>
      <c r="H10" s="2281"/>
      <c r="I10" s="2273"/>
      <c r="J10" s="1933" t="s">
        <v>4249</v>
      </c>
      <c r="K10" s="1934" t="s">
        <v>4250</v>
      </c>
      <c r="L10" s="1934" t="s">
        <v>4251</v>
      </c>
      <c r="M10" s="1934" t="s">
        <v>4252</v>
      </c>
      <c r="N10" s="1934" t="s">
        <v>4256</v>
      </c>
      <c r="O10" s="1934" t="s">
        <v>4257</v>
      </c>
      <c r="P10" s="1934" t="s">
        <v>4253</v>
      </c>
      <c r="Q10" s="1934" t="s">
        <v>4254</v>
      </c>
      <c r="R10" s="1934" t="s">
        <v>4255</v>
      </c>
      <c r="S10" s="1935" t="str">
        <f>"Despúes del "&amp;R10</f>
        <v>Despúes del 5to. año</v>
      </c>
      <c r="T10" s="1018"/>
    </row>
    <row r="11" spans="1:38" s="1171" customFormat="1" ht="36" customHeight="1" thickBot="1">
      <c r="A11" s="1164" t="s">
        <v>894</v>
      </c>
      <c r="B11" s="1164" t="s">
        <v>895</v>
      </c>
      <c r="C11" s="1165" t="s">
        <v>68</v>
      </c>
      <c r="D11" s="1166" t="s">
        <v>69</v>
      </c>
      <c r="E11" s="1316"/>
      <c r="F11" s="2278"/>
      <c r="G11" s="2279"/>
      <c r="H11" s="1317" t="s">
        <v>70</v>
      </c>
      <c r="I11" s="1318" t="s">
        <v>71</v>
      </c>
      <c r="J11" s="1319" t="s">
        <v>72</v>
      </c>
      <c r="K11" s="1319" t="s">
        <v>73</v>
      </c>
      <c r="L11" s="1319" t="s">
        <v>74</v>
      </c>
      <c r="M11" s="1319" t="s">
        <v>75</v>
      </c>
      <c r="N11" s="1319" t="s">
        <v>76</v>
      </c>
      <c r="O11" s="1319" t="s">
        <v>77</v>
      </c>
      <c r="P11" s="1319" t="s">
        <v>78</v>
      </c>
      <c r="Q11" s="1319" t="s">
        <v>79</v>
      </c>
      <c r="R11" s="1319" t="s">
        <v>80</v>
      </c>
      <c r="S11" s="1320" t="s">
        <v>888</v>
      </c>
      <c r="T11" s="1321"/>
      <c r="U11" s="1170"/>
      <c r="V11" s="1170"/>
      <c r="W11" s="1170"/>
      <c r="X11" s="1170"/>
      <c r="Y11" s="1170"/>
      <c r="Z11" s="1170"/>
      <c r="AA11" s="1170"/>
      <c r="AB11" s="1170"/>
      <c r="AC11" s="1170"/>
      <c r="AD11" s="1170"/>
      <c r="AE11" s="1170"/>
      <c r="AF11" s="1170"/>
      <c r="AG11" s="1170"/>
      <c r="AH11" s="1170"/>
      <c r="AI11" s="1170"/>
      <c r="AJ11" s="1170"/>
      <c r="AK11" s="1170"/>
      <c r="AL11" s="1170"/>
    </row>
    <row r="12" spans="1:38" s="1171" customFormat="1" ht="36" customHeight="1" thickTop="1">
      <c r="A12" s="1172">
        <f>+'Tabla III.2.'!A55+1</f>
        <v>7</v>
      </c>
      <c r="B12" s="1177" t="s">
        <v>1777</v>
      </c>
      <c r="C12" s="1322"/>
      <c r="D12" s="1323" t="str">
        <f>CONCATENATE("0",A12,B12)</f>
        <v>07.01.</v>
      </c>
      <c r="E12" s="1039"/>
      <c r="F12" s="1176" t="str">
        <f>+D12</f>
        <v>07.01.</v>
      </c>
      <c r="G12" s="1041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2"/>
    </row>
    <row r="13" spans="1:38" s="1171" customFormat="1" ht="23.1" customHeight="1">
      <c r="A13" s="1172">
        <f>+A12</f>
        <v>7</v>
      </c>
      <c r="B13" s="1177" t="s">
        <v>1801</v>
      </c>
      <c r="C13" s="1178" t="s">
        <v>659</v>
      </c>
      <c r="D13" s="1324" t="str">
        <f t="shared" ref="D13:D24" si="1">CONCATENATE("0",A13,B13)</f>
        <v>07.01.00.01</v>
      </c>
      <c r="E13" s="1039"/>
      <c r="F13" s="1225" t="str">
        <f t="shared" ref="F13:F24" si="2">+D13</f>
        <v>07.01.00.01</v>
      </c>
      <c r="G13" s="1325" t="s">
        <v>1684</v>
      </c>
      <c r="H13" s="468">
        <f>'Tabla III.1.'!L14</f>
        <v>0</v>
      </c>
      <c r="I13" s="1821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2"/>
    </row>
    <row r="14" spans="1:38" s="1171" customFormat="1" ht="23.1" customHeight="1">
      <c r="A14" s="1172">
        <f t="shared" ref="A14:A24" si="4">+A13</f>
        <v>7</v>
      </c>
      <c r="B14" s="1177" t="s">
        <v>1793</v>
      </c>
      <c r="C14" s="1178"/>
      <c r="D14" s="1324" t="str">
        <f t="shared" si="1"/>
        <v>07.01.00.02.</v>
      </c>
      <c r="E14" s="1039"/>
      <c r="F14" s="1183" t="str">
        <f t="shared" si="2"/>
        <v>07.01.00.02.</v>
      </c>
      <c r="G14" s="1184" t="s">
        <v>1685</v>
      </c>
      <c r="H14" s="469">
        <f>'Tabla III.1.'!L15</f>
        <v>0</v>
      </c>
      <c r="I14" s="1821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2"/>
    </row>
    <row r="15" spans="1:38" s="1171" customFormat="1" ht="36" customHeight="1">
      <c r="A15" s="1172">
        <f t="shared" si="4"/>
        <v>7</v>
      </c>
      <c r="B15" s="1177" t="s">
        <v>1780</v>
      </c>
      <c r="C15" s="1188"/>
      <c r="D15" s="1326" t="str">
        <f t="shared" si="1"/>
        <v>07.02.</v>
      </c>
      <c r="E15" s="1039"/>
      <c r="F15" s="1187" t="str">
        <f t="shared" si="2"/>
        <v>07.02.</v>
      </c>
      <c r="G15" s="1058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2"/>
    </row>
    <row r="16" spans="1:38" s="1171" customFormat="1" ht="23.1" customHeight="1">
      <c r="A16" s="1172">
        <f t="shared" si="4"/>
        <v>7</v>
      </c>
      <c r="B16" s="1177" t="s">
        <v>1802</v>
      </c>
      <c r="C16" s="1188" t="s">
        <v>659</v>
      </c>
      <c r="D16" s="1324" t="str">
        <f t="shared" si="1"/>
        <v>07.02.00.01</v>
      </c>
      <c r="E16" s="1039"/>
      <c r="F16" s="1225" t="str">
        <f t="shared" si="2"/>
        <v>07.02.00.01</v>
      </c>
      <c r="G16" s="1325" t="s">
        <v>1684</v>
      </c>
      <c r="H16" s="468">
        <f>'Tabla III.1.'!L17</f>
        <v>0</v>
      </c>
      <c r="I16" s="1821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2"/>
    </row>
    <row r="17" spans="1:20" s="1171" customFormat="1" ht="23.1" customHeight="1">
      <c r="A17" s="1172">
        <f t="shared" si="4"/>
        <v>7</v>
      </c>
      <c r="B17" s="1177" t="s">
        <v>1795</v>
      </c>
      <c r="C17" s="1178"/>
      <c r="D17" s="1324" t="str">
        <f t="shared" si="1"/>
        <v>07.02.00.02.</v>
      </c>
      <c r="E17" s="1039"/>
      <c r="F17" s="1183" t="str">
        <f t="shared" si="2"/>
        <v>07.02.00.02.</v>
      </c>
      <c r="G17" s="1184" t="s">
        <v>1685</v>
      </c>
      <c r="H17" s="469">
        <f>'Tabla III.1.'!L18</f>
        <v>0</v>
      </c>
      <c r="I17" s="1821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2"/>
    </row>
    <row r="18" spans="1:20" s="1171" customFormat="1" ht="36" customHeight="1">
      <c r="A18" s="1172">
        <f t="shared" si="4"/>
        <v>7</v>
      </c>
      <c r="B18" s="1177" t="s">
        <v>1783</v>
      </c>
      <c r="C18" s="1188"/>
      <c r="D18" s="1326" t="str">
        <f t="shared" si="1"/>
        <v>07.03.</v>
      </c>
      <c r="E18" s="1039"/>
      <c r="F18" s="1187" t="str">
        <f t="shared" si="2"/>
        <v>07.03.</v>
      </c>
      <c r="G18" s="1058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2"/>
    </row>
    <row r="19" spans="1:20" s="1171" customFormat="1" ht="23.1" customHeight="1">
      <c r="A19" s="1172">
        <f t="shared" si="4"/>
        <v>7</v>
      </c>
      <c r="B19" s="1177" t="s">
        <v>1803</v>
      </c>
      <c r="C19" s="1188" t="s">
        <v>659</v>
      </c>
      <c r="D19" s="1324" t="str">
        <f t="shared" si="1"/>
        <v>07.03.00.01</v>
      </c>
      <c r="E19" s="1039"/>
      <c r="F19" s="1225" t="str">
        <f t="shared" si="2"/>
        <v>07.03.00.01</v>
      </c>
      <c r="G19" s="1325" t="s">
        <v>1684</v>
      </c>
      <c r="H19" s="468">
        <f>'Tabla III.1.'!L20</f>
        <v>0</v>
      </c>
      <c r="I19" s="1821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2"/>
    </row>
    <row r="20" spans="1:20" s="1171" customFormat="1" ht="23.1" customHeight="1">
      <c r="A20" s="1172">
        <f t="shared" si="4"/>
        <v>7</v>
      </c>
      <c r="B20" s="1177" t="s">
        <v>1797</v>
      </c>
      <c r="C20" s="1178"/>
      <c r="D20" s="1324" t="str">
        <f t="shared" si="1"/>
        <v>07.03.00.02.</v>
      </c>
      <c r="E20" s="1039"/>
      <c r="F20" s="1183" t="str">
        <f t="shared" si="2"/>
        <v>07.03.00.02.</v>
      </c>
      <c r="G20" s="1184" t="s">
        <v>1685</v>
      </c>
      <c r="H20" s="469">
        <f>'Tabla III.1.'!L21</f>
        <v>0</v>
      </c>
      <c r="I20" s="1821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2"/>
    </row>
    <row r="21" spans="1:20" s="1171" customFormat="1" ht="36" customHeight="1">
      <c r="A21" s="1172">
        <f t="shared" si="4"/>
        <v>7</v>
      </c>
      <c r="B21" s="1177" t="s">
        <v>1786</v>
      </c>
      <c r="C21" s="1188"/>
      <c r="D21" s="1326" t="str">
        <f t="shared" si="1"/>
        <v>07.04.</v>
      </c>
      <c r="E21" s="1039"/>
      <c r="F21" s="1187" t="str">
        <f t="shared" si="2"/>
        <v>07.04.</v>
      </c>
      <c r="G21" s="1058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2"/>
    </row>
    <row r="22" spans="1:20" s="1171" customFormat="1" ht="23.1" customHeight="1">
      <c r="A22" s="1172">
        <f t="shared" si="4"/>
        <v>7</v>
      </c>
      <c r="B22" s="1177" t="s">
        <v>1804</v>
      </c>
      <c r="C22" s="1188" t="s">
        <v>659</v>
      </c>
      <c r="D22" s="1324" t="str">
        <f t="shared" si="1"/>
        <v>07.04.00.01</v>
      </c>
      <c r="E22" s="1039"/>
      <c r="F22" s="1225" t="str">
        <f t="shared" si="2"/>
        <v>07.04.00.01</v>
      </c>
      <c r="G22" s="1325" t="s">
        <v>1684</v>
      </c>
      <c r="H22" s="468">
        <f>'Tabla III.1.'!L23</f>
        <v>0</v>
      </c>
      <c r="I22" s="1821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2"/>
    </row>
    <row r="23" spans="1:20" s="1171" customFormat="1" ht="23.1" customHeight="1" thickBot="1">
      <c r="A23" s="1172">
        <f t="shared" si="4"/>
        <v>7</v>
      </c>
      <c r="B23" s="1177" t="s">
        <v>1799</v>
      </c>
      <c r="C23" s="1188"/>
      <c r="D23" s="1324" t="str">
        <f t="shared" si="1"/>
        <v>07.04.00.02.</v>
      </c>
      <c r="E23" s="1039"/>
      <c r="F23" s="1183" t="str">
        <f t="shared" si="2"/>
        <v>07.04.00.02.</v>
      </c>
      <c r="G23" s="1184" t="s">
        <v>1685</v>
      </c>
      <c r="H23" s="469">
        <f>'Tabla III.1.'!L24</f>
        <v>0</v>
      </c>
      <c r="I23" s="1821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2"/>
    </row>
    <row r="24" spans="1:20" s="1171" customFormat="1" ht="27.75" customHeight="1" thickTop="1" thickBot="1">
      <c r="A24" s="1172">
        <f t="shared" si="4"/>
        <v>7</v>
      </c>
      <c r="B24" s="1177" t="s">
        <v>1787</v>
      </c>
      <c r="C24" s="1327"/>
      <c r="D24" s="1328" t="str">
        <f t="shared" si="1"/>
        <v>07.99.</v>
      </c>
      <c r="E24" s="1167"/>
      <c r="F24" s="1129" t="str">
        <f t="shared" si="2"/>
        <v>07.99.</v>
      </c>
      <c r="G24" s="1191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2"/>
    </row>
    <row r="25" spans="1:20" s="1196" customFormat="1" ht="24" thickBot="1">
      <c r="C25" s="1193"/>
      <c r="D25" s="1329"/>
      <c r="E25" s="1193"/>
      <c r="F25" s="1194"/>
      <c r="G25" s="1053"/>
      <c r="H25" s="1076"/>
      <c r="I25" s="1076"/>
      <c r="J25" s="1076"/>
      <c r="K25" s="1076"/>
      <c r="L25" s="1077"/>
      <c r="M25" s="1077"/>
      <c r="N25" s="1077"/>
      <c r="O25" s="1077"/>
      <c r="P25" s="1077"/>
      <c r="Q25" s="1077"/>
      <c r="R25" s="1077"/>
      <c r="S25" s="1077"/>
    </row>
    <row r="26" spans="1:20" s="1196" customFormat="1" ht="24" thickTop="1">
      <c r="C26" s="1193"/>
      <c r="D26" s="1009"/>
      <c r="E26" s="1158"/>
      <c r="F26" s="817" t="s">
        <v>1604</v>
      </c>
      <c r="G26" s="1257"/>
      <c r="H26" s="1257"/>
      <c r="I26" s="1257"/>
      <c r="J26" s="1257"/>
      <c r="K26" s="1257"/>
      <c r="L26" s="1257"/>
      <c r="M26" s="1257"/>
      <c r="N26" s="1330"/>
      <c r="O26" s="1330"/>
      <c r="P26" s="1330"/>
      <c r="Q26" s="1330"/>
      <c r="R26" s="1330"/>
      <c r="S26" s="1331"/>
    </row>
    <row r="27" spans="1:20" s="1196" customFormat="1" ht="23.25">
      <c r="C27" s="1193"/>
      <c r="D27" s="1078">
        <v>1</v>
      </c>
      <c r="E27" s="765"/>
      <c r="F27" s="1083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8"/>
      <c r="H27" s="1018"/>
      <c r="I27" s="1018"/>
      <c r="J27" s="1018"/>
      <c r="K27" s="1018"/>
      <c r="L27" s="1018"/>
      <c r="M27" s="1018"/>
      <c r="N27" s="1077"/>
      <c r="O27" s="1077"/>
      <c r="P27" s="1077"/>
      <c r="Q27" s="1077"/>
      <c r="R27" s="1077"/>
      <c r="S27" s="1332"/>
    </row>
    <row r="28" spans="1:20" s="1196" customFormat="1" ht="23.25">
      <c r="C28" s="1193"/>
      <c r="D28" s="1078"/>
      <c r="E28" s="765"/>
      <c r="F28" s="1083" t="s">
        <v>1697</v>
      </c>
      <c r="G28" s="1018"/>
      <c r="H28" s="1018"/>
      <c r="I28" s="1018"/>
      <c r="J28" s="1018"/>
      <c r="K28" s="1018"/>
      <c r="L28" s="1018"/>
      <c r="M28" s="1018"/>
      <c r="N28" s="1077"/>
      <c r="O28" s="1077"/>
      <c r="P28" s="1077"/>
      <c r="Q28" s="1077"/>
      <c r="R28" s="1077"/>
      <c r="S28" s="1332"/>
    </row>
    <row r="29" spans="1:20" s="1196" customFormat="1" ht="24" thickBot="1">
      <c r="C29" s="1193"/>
      <c r="D29" s="1078">
        <v>2</v>
      </c>
      <c r="E29" s="1078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0"/>
      <c r="H29" s="1260"/>
      <c r="I29" s="1260"/>
      <c r="J29" s="1260"/>
      <c r="K29" s="1260"/>
      <c r="L29" s="1260"/>
      <c r="M29" s="1260"/>
      <c r="N29" s="1333"/>
      <c r="O29" s="1333"/>
      <c r="P29" s="1333"/>
      <c r="Q29" s="1333"/>
      <c r="R29" s="1333"/>
      <c r="S29" s="1334"/>
    </row>
    <row r="30" spans="1:20" s="1196" customFormat="1" ht="24" thickTop="1">
      <c r="C30" s="1193"/>
      <c r="D30" s="1078"/>
      <c r="E30" s="1078"/>
      <c r="F30" s="1335"/>
      <c r="G30" s="1018"/>
      <c r="H30" s="1018"/>
      <c r="I30" s="1018"/>
      <c r="J30" s="1018"/>
      <c r="K30" s="1018"/>
      <c r="L30" s="1018"/>
      <c r="M30" s="1018"/>
      <c r="N30" s="1077"/>
      <c r="O30" s="1077"/>
      <c r="P30" s="1077"/>
      <c r="Q30" s="1077"/>
      <c r="R30" s="1077"/>
      <c r="S30" s="1077"/>
    </row>
    <row r="31" spans="1:20" s="1196" customFormat="1" ht="23.25">
      <c r="C31" s="1193"/>
      <c r="D31" s="1329"/>
      <c r="E31" s="1193"/>
      <c r="F31" s="1336"/>
      <c r="G31" s="1337"/>
      <c r="H31" s="1338"/>
      <c r="I31" s="1338"/>
      <c r="J31" s="1338"/>
      <c r="K31" s="1338"/>
      <c r="L31" s="1339"/>
      <c r="M31" s="1339"/>
      <c r="N31" s="1339"/>
      <c r="O31" s="1339"/>
      <c r="P31" s="1339"/>
      <c r="Q31" s="1339"/>
      <c r="R31" s="1339"/>
      <c r="S31" s="1339"/>
    </row>
    <row r="32" spans="1:20" s="1196" customFormat="1" ht="23.25">
      <c r="C32" s="1193"/>
      <c r="D32" s="1329"/>
      <c r="E32" s="1193"/>
      <c r="F32" s="1194"/>
      <c r="G32" s="1053"/>
      <c r="H32" s="1076"/>
      <c r="I32" s="1076"/>
      <c r="J32" s="1076"/>
      <c r="K32" s="1076"/>
      <c r="L32" s="1077"/>
      <c r="M32" s="1077"/>
      <c r="N32" s="1077"/>
      <c r="O32" s="1077"/>
      <c r="P32" s="1077"/>
      <c r="Q32" s="1077"/>
      <c r="R32" s="1077"/>
      <c r="S32" s="1077"/>
    </row>
    <row r="33" spans="1:38" s="1009" customFormat="1" ht="30.75" thickBot="1">
      <c r="E33" s="1010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25" t="str">
        <f ca="1">RIGHT(CELL("nombrearchivo",$A$2),LEN(CELL("nombrearchivo",$A$2))-SEARCH("]",CELL("nombrearchivo",$A$2)))</f>
        <v>Tabla III.3.</v>
      </c>
      <c r="D34" s="2226"/>
      <c r="F34" s="2274" t="s">
        <v>4290</v>
      </c>
      <c r="G34" s="2275"/>
      <c r="H34" s="2280" t="str">
        <f>+H9</f>
        <v>SALDO A FINES DE MARZO 2020</v>
      </c>
      <c r="I34" s="2272" t="str">
        <f>"ATRASOS "&amp;D59&amp;"/"</f>
        <v>ATRASOS 2/</v>
      </c>
      <c r="J34" s="1312" t="s">
        <v>1621</v>
      </c>
      <c r="K34" s="1313"/>
      <c r="L34" s="1313"/>
      <c r="M34" s="1314"/>
      <c r="N34" s="1314"/>
      <c r="O34" s="1314"/>
      <c r="P34" s="1314"/>
      <c r="Q34" s="1314"/>
      <c r="R34" s="1314"/>
      <c r="S34" s="1315"/>
      <c r="T34" s="1170"/>
      <c r="U34" s="1170"/>
      <c r="V34" s="1170"/>
    </row>
    <row r="35" spans="1:38" ht="60.75" customHeight="1" thickBot="1">
      <c r="C35" s="2227"/>
      <c r="D35" s="2228"/>
      <c r="F35" s="2276"/>
      <c r="G35" s="2277"/>
      <c r="H35" s="2281"/>
      <c r="I35" s="2273"/>
      <c r="J35" s="1936" t="str">
        <f>+J10</f>
        <v>0-3 meses</v>
      </c>
      <c r="K35" s="1934" t="str">
        <f t="shared" ref="K35:S35" si="9">+K10</f>
        <v>4-6 meses</v>
      </c>
      <c r="L35" s="1934" t="str">
        <f t="shared" si="9"/>
        <v>7-9 meses</v>
      </c>
      <c r="M35" s="1934" t="str">
        <f t="shared" si="9"/>
        <v>10-12 meses</v>
      </c>
      <c r="N35" s="1934" t="str">
        <f t="shared" si="9"/>
        <v>13-18 meses
(seis meses)</v>
      </c>
      <c r="O35" s="1934" t="str">
        <f t="shared" si="9"/>
        <v>19-24 meses
(seis meses)</v>
      </c>
      <c r="P35" s="1934" t="str">
        <f t="shared" si="9"/>
        <v>3er. año</v>
      </c>
      <c r="Q35" s="1934" t="str">
        <f t="shared" si="9"/>
        <v>4to. año</v>
      </c>
      <c r="R35" s="1934" t="str">
        <f t="shared" si="9"/>
        <v>5to. año</v>
      </c>
      <c r="S35" s="1935" t="str">
        <f t="shared" si="9"/>
        <v>Despúes del 5to. año</v>
      </c>
    </row>
    <row r="36" spans="1:38" s="1171" customFormat="1" ht="36" customHeight="1" thickBot="1">
      <c r="A36" s="1164" t="s">
        <v>894</v>
      </c>
      <c r="B36" s="1164" t="s">
        <v>895</v>
      </c>
      <c r="C36" s="1165" t="s">
        <v>68</v>
      </c>
      <c r="D36" s="1166" t="s">
        <v>69</v>
      </c>
      <c r="E36" s="1316"/>
      <c r="F36" s="2278"/>
      <c r="G36" s="2279"/>
      <c r="H36" s="1317" t="s">
        <v>70</v>
      </c>
      <c r="I36" s="1318" t="s">
        <v>71</v>
      </c>
      <c r="J36" s="1319" t="s">
        <v>72</v>
      </c>
      <c r="K36" s="1319" t="s">
        <v>73</v>
      </c>
      <c r="L36" s="1319" t="s">
        <v>74</v>
      </c>
      <c r="M36" s="1319" t="s">
        <v>75</v>
      </c>
      <c r="N36" s="1319" t="s">
        <v>76</v>
      </c>
      <c r="O36" s="1319" t="s">
        <v>77</v>
      </c>
      <c r="P36" s="1319" t="s">
        <v>78</v>
      </c>
      <c r="Q36" s="1319" t="s">
        <v>79</v>
      </c>
      <c r="R36" s="1319" t="s">
        <v>80</v>
      </c>
      <c r="S36" s="1320" t="s">
        <v>888</v>
      </c>
      <c r="T36" s="1170"/>
      <c r="U36" s="1170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1170"/>
      <c r="AG36" s="1170"/>
      <c r="AH36" s="1170"/>
      <c r="AI36" s="1170"/>
      <c r="AJ36" s="1170"/>
      <c r="AK36" s="1170"/>
      <c r="AL36" s="1170"/>
    </row>
    <row r="37" spans="1:38" s="1171" customFormat="1" ht="36" customHeight="1">
      <c r="A37" s="1172">
        <f>+A24+1</f>
        <v>8</v>
      </c>
      <c r="B37" s="1177" t="s">
        <v>1777</v>
      </c>
      <c r="C37" s="1206"/>
      <c r="D37" s="1340" t="str">
        <f t="shared" ref="D37:D54" si="10">CONCATENATE("0",A37,B37)</f>
        <v>08.01.</v>
      </c>
      <c r="E37" s="1039"/>
      <c r="F37" s="1341" t="str">
        <f>+D37</f>
        <v>08.01.</v>
      </c>
      <c r="G37" s="1342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3">
        <f t="shared" si="11"/>
        <v>0</v>
      </c>
      <c r="M37" s="418">
        <f t="shared" si="11"/>
        <v>0</v>
      </c>
      <c r="N37" s="1343">
        <f t="shared" si="11"/>
        <v>0</v>
      </c>
      <c r="O37" s="1343">
        <f t="shared" si="11"/>
        <v>0</v>
      </c>
      <c r="P37" s="1343">
        <f t="shared" si="11"/>
        <v>0</v>
      </c>
      <c r="Q37" s="1343">
        <f t="shared" si="11"/>
        <v>0</v>
      </c>
      <c r="R37" s="1343">
        <f t="shared" si="11"/>
        <v>0</v>
      </c>
      <c r="S37" s="420">
        <f t="shared" ref="S37:S54" si="12">+H37-SUM(I37:R37)</f>
        <v>0</v>
      </c>
      <c r="T37" s="1042"/>
    </row>
    <row r="38" spans="1:38" s="1171" customFormat="1" ht="23.1" customHeight="1">
      <c r="A38" s="1172">
        <f>+A37</f>
        <v>8</v>
      </c>
      <c r="B38" s="1344" t="s">
        <v>1778</v>
      </c>
      <c r="C38" s="1345"/>
      <c r="D38" s="1346" t="str">
        <f t="shared" si="10"/>
        <v>08.01.01.</v>
      </c>
      <c r="E38" s="1039"/>
      <c r="F38" s="1295" t="str">
        <f t="shared" ref="F38:F54" si="13">+D38</f>
        <v>08.01.01.</v>
      </c>
      <c r="G38" s="1212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2"/>
    </row>
    <row r="39" spans="1:38" s="1171" customFormat="1" ht="23.1" customHeight="1">
      <c r="A39" s="1172">
        <f t="shared" ref="A39:A54" si="15">+A38</f>
        <v>8</v>
      </c>
      <c r="B39" s="1344" t="s">
        <v>890</v>
      </c>
      <c r="C39" s="1188" t="s">
        <v>660</v>
      </c>
      <c r="D39" s="1324" t="str">
        <f t="shared" si="10"/>
        <v>08.01.01.01.</v>
      </c>
      <c r="E39" s="1039"/>
      <c r="F39" s="1296" t="str">
        <f t="shared" si="13"/>
        <v>08.01.01.01.</v>
      </c>
      <c r="G39" s="1214" t="s">
        <v>1684</v>
      </c>
      <c r="H39" s="480">
        <f>'Tabla III.1.'!L48</f>
        <v>0</v>
      </c>
      <c r="I39" s="1821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2"/>
    </row>
    <row r="40" spans="1:38" s="1171" customFormat="1" ht="23.1" customHeight="1">
      <c r="A40" s="1172">
        <f t="shared" si="15"/>
        <v>8</v>
      </c>
      <c r="B40" s="1344" t="s">
        <v>896</v>
      </c>
      <c r="C40" s="1178"/>
      <c r="D40" s="1324" t="str">
        <f t="shared" si="10"/>
        <v>08.01.01.02.</v>
      </c>
      <c r="E40" s="1039"/>
      <c r="F40" s="1296" t="str">
        <f t="shared" si="13"/>
        <v>08.01.01.02.</v>
      </c>
      <c r="G40" s="1214" t="s">
        <v>1685</v>
      </c>
      <c r="H40" s="480">
        <f>'Tabla III.1.'!L49</f>
        <v>0</v>
      </c>
      <c r="I40" s="1821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2"/>
    </row>
    <row r="41" spans="1:38" s="1171" customFormat="1" ht="23.1" customHeight="1">
      <c r="A41" s="1172">
        <f t="shared" si="15"/>
        <v>8</v>
      </c>
      <c r="B41" s="1344" t="s">
        <v>1779</v>
      </c>
      <c r="C41" s="1188"/>
      <c r="D41" s="1347" t="str">
        <f t="shared" si="10"/>
        <v>08.01.02.</v>
      </c>
      <c r="E41" s="1039"/>
      <c r="F41" s="1297" t="str">
        <f t="shared" si="13"/>
        <v>08.01.02.</v>
      </c>
      <c r="G41" s="1298" t="s">
        <v>4314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2"/>
    </row>
    <row r="42" spans="1:38" s="1171" customFormat="1" ht="23.1" customHeight="1">
      <c r="A42" s="1172">
        <f t="shared" si="15"/>
        <v>8</v>
      </c>
      <c r="B42" s="1344" t="s">
        <v>899</v>
      </c>
      <c r="C42" s="1178" t="s">
        <v>660</v>
      </c>
      <c r="D42" s="1324" t="str">
        <f t="shared" si="10"/>
        <v>08.01.02.01.</v>
      </c>
      <c r="E42" s="1039"/>
      <c r="F42" s="1296" t="str">
        <f t="shared" si="13"/>
        <v>08.01.02.01.</v>
      </c>
      <c r="G42" s="1214" t="s">
        <v>1684</v>
      </c>
      <c r="H42" s="480">
        <f>'Tabla III.1.'!L51</f>
        <v>0</v>
      </c>
      <c r="I42" s="1821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2"/>
    </row>
    <row r="43" spans="1:38" s="1171" customFormat="1" ht="23.1" customHeight="1">
      <c r="A43" s="1172">
        <f t="shared" si="15"/>
        <v>8</v>
      </c>
      <c r="B43" s="1344" t="s">
        <v>891</v>
      </c>
      <c r="C43" s="1188"/>
      <c r="D43" s="1348" t="str">
        <f t="shared" si="10"/>
        <v>08.01.02.02.</v>
      </c>
      <c r="E43" s="1039"/>
      <c r="F43" s="1299" t="str">
        <f t="shared" si="13"/>
        <v>08.01.02.02.</v>
      </c>
      <c r="G43" s="1214" t="s">
        <v>1685</v>
      </c>
      <c r="H43" s="482">
        <f>'Tabla III.1.'!L52</f>
        <v>0</v>
      </c>
      <c r="I43" s="1821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2"/>
    </row>
    <row r="44" spans="1:38" s="1171" customFormat="1" ht="23.1" customHeight="1">
      <c r="A44" s="1172">
        <f t="shared" si="15"/>
        <v>8</v>
      </c>
      <c r="B44" s="1344" t="s">
        <v>1788</v>
      </c>
      <c r="C44" s="1188"/>
      <c r="D44" s="1347" t="str">
        <f t="shared" si="10"/>
        <v>08.01.03.</v>
      </c>
      <c r="E44" s="1039"/>
      <c r="F44" s="1297" t="str">
        <f t="shared" si="13"/>
        <v>08.01.03.</v>
      </c>
      <c r="G44" s="1298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2"/>
    </row>
    <row r="45" spans="1:38" s="1171" customFormat="1" ht="23.1" customHeight="1">
      <c r="A45" s="1172">
        <f t="shared" si="15"/>
        <v>8</v>
      </c>
      <c r="B45" s="1344" t="s">
        <v>1774</v>
      </c>
      <c r="C45" s="1188" t="s">
        <v>660</v>
      </c>
      <c r="D45" s="1348" t="str">
        <f t="shared" si="10"/>
        <v>08.01.03.01.</v>
      </c>
      <c r="E45" s="1039"/>
      <c r="F45" s="1299" t="str">
        <f t="shared" si="13"/>
        <v>08.01.03.01.</v>
      </c>
      <c r="G45" s="1214" t="s">
        <v>1684</v>
      </c>
      <c r="H45" s="482">
        <f>'Tabla III.1.'!L54</f>
        <v>0</v>
      </c>
      <c r="I45" s="1821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2"/>
    </row>
    <row r="46" spans="1:38" s="1171" customFormat="1" ht="23.1" customHeight="1">
      <c r="A46" s="1172">
        <f t="shared" si="15"/>
        <v>8</v>
      </c>
      <c r="B46" s="1344" t="s">
        <v>1775</v>
      </c>
      <c r="C46" s="1188"/>
      <c r="D46" s="1348" t="str">
        <f t="shared" si="10"/>
        <v>08.01.03.02.</v>
      </c>
      <c r="E46" s="1039"/>
      <c r="F46" s="1299" t="str">
        <f t="shared" si="13"/>
        <v>08.01.03.02.</v>
      </c>
      <c r="G46" s="1214" t="s">
        <v>1685</v>
      </c>
      <c r="H46" s="482">
        <f>'Tabla III.1.'!L55</f>
        <v>0</v>
      </c>
      <c r="I46" s="1821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2"/>
    </row>
    <row r="47" spans="1:38" s="1171" customFormat="1" ht="36" customHeight="1">
      <c r="A47" s="1172">
        <f t="shared" si="15"/>
        <v>8</v>
      </c>
      <c r="B47" s="1344" t="s">
        <v>1780</v>
      </c>
      <c r="C47" s="1222"/>
      <c r="D47" s="1349" t="str">
        <f t="shared" si="10"/>
        <v>08.02.</v>
      </c>
      <c r="E47" s="1039"/>
      <c r="F47" s="1302" t="str">
        <f t="shared" si="13"/>
        <v>08.02.</v>
      </c>
      <c r="G47" s="1224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2"/>
    </row>
    <row r="48" spans="1:38" s="1171" customFormat="1" ht="23.1" customHeight="1">
      <c r="A48" s="1172">
        <f t="shared" si="15"/>
        <v>8</v>
      </c>
      <c r="B48" s="1344" t="s">
        <v>1794</v>
      </c>
      <c r="C48" s="1188" t="s">
        <v>660</v>
      </c>
      <c r="D48" s="1348" t="str">
        <f t="shared" si="10"/>
        <v>08.02.00.01.</v>
      </c>
      <c r="E48" s="1039"/>
      <c r="F48" s="1300" t="str">
        <f t="shared" si="13"/>
        <v>08.02.00.01.</v>
      </c>
      <c r="G48" s="1214" t="s">
        <v>1684</v>
      </c>
      <c r="H48" s="484">
        <f>'Tabla III.1.'!L57</f>
        <v>0</v>
      </c>
      <c r="I48" s="1821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2"/>
    </row>
    <row r="49" spans="1:20" s="1171" customFormat="1" ht="23.1" customHeight="1">
      <c r="A49" s="1172">
        <f t="shared" si="15"/>
        <v>8</v>
      </c>
      <c r="B49" s="1344" t="s">
        <v>1795</v>
      </c>
      <c r="C49" s="1178"/>
      <c r="D49" s="1348" t="str">
        <f t="shared" si="10"/>
        <v>08.02.00.02.</v>
      </c>
      <c r="E49" s="1039"/>
      <c r="F49" s="1301" t="str">
        <f t="shared" si="13"/>
        <v>08.02.00.02.</v>
      </c>
      <c r="G49" s="1214" t="s">
        <v>1685</v>
      </c>
      <c r="H49" s="485">
        <f>'Tabla III.1.'!L58</f>
        <v>0</v>
      </c>
      <c r="I49" s="1821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2"/>
    </row>
    <row r="50" spans="1:20" s="1171" customFormat="1" ht="36" customHeight="1">
      <c r="A50" s="1172">
        <f t="shared" si="15"/>
        <v>8</v>
      </c>
      <c r="B50" s="1344" t="s">
        <v>1783</v>
      </c>
      <c r="C50" s="1222"/>
      <c r="D50" s="1349" t="str">
        <f t="shared" si="10"/>
        <v>08.03.</v>
      </c>
      <c r="E50" s="1039"/>
      <c r="F50" s="1302" t="str">
        <f t="shared" si="13"/>
        <v>08.03.</v>
      </c>
      <c r="G50" s="1224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2"/>
    </row>
    <row r="51" spans="1:20" s="1171" customFormat="1" ht="23.1" customHeight="1">
      <c r="A51" s="1172">
        <f t="shared" si="15"/>
        <v>8</v>
      </c>
      <c r="B51" s="1344" t="s">
        <v>1796</v>
      </c>
      <c r="C51" s="1345" t="s">
        <v>660</v>
      </c>
      <c r="D51" s="1348" t="str">
        <f t="shared" si="10"/>
        <v>08.03.00.01.</v>
      </c>
      <c r="E51" s="1039"/>
      <c r="F51" s="1303" t="str">
        <f t="shared" si="13"/>
        <v>08.03.00.01.</v>
      </c>
      <c r="G51" s="1214" t="s">
        <v>1684</v>
      </c>
      <c r="H51" s="484">
        <f>'Tabla III.1.'!L60</f>
        <v>0</v>
      </c>
      <c r="I51" s="1821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2"/>
    </row>
    <row r="52" spans="1:20" s="1171" customFormat="1" ht="23.1" customHeight="1">
      <c r="A52" s="1172">
        <f t="shared" si="15"/>
        <v>8</v>
      </c>
      <c r="B52" s="1344" t="s">
        <v>1797</v>
      </c>
      <c r="C52" s="1178"/>
      <c r="D52" s="1348" t="str">
        <f t="shared" si="10"/>
        <v>08.03.00.02.</v>
      </c>
      <c r="E52" s="1039"/>
      <c r="F52" s="1304" t="str">
        <f t="shared" si="13"/>
        <v>08.03.00.02.</v>
      </c>
      <c r="G52" s="1214" t="s">
        <v>1685</v>
      </c>
      <c r="H52" s="485">
        <f>'Tabla III.1.'!L61</f>
        <v>0</v>
      </c>
      <c r="I52" s="1821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2"/>
    </row>
    <row r="53" spans="1:20" s="1232" customFormat="1" ht="36" customHeight="1" thickBot="1">
      <c r="A53" s="1172">
        <f t="shared" si="15"/>
        <v>8</v>
      </c>
      <c r="B53" s="1350" t="s">
        <v>1786</v>
      </c>
      <c r="C53" s="1228"/>
      <c r="D53" s="1351" t="str">
        <f t="shared" si="10"/>
        <v>08.04.</v>
      </c>
      <c r="E53" s="1039"/>
      <c r="F53" s="1352" t="str">
        <f t="shared" si="13"/>
        <v>08.04.</v>
      </c>
      <c r="G53" s="1353" t="s">
        <v>1692</v>
      </c>
      <c r="H53" s="486">
        <f>'Tabla III.1.'!L62</f>
        <v>0</v>
      </c>
      <c r="I53" s="424">
        <f>+'Tabla III.1.'!M62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2"/>
        <v>0</v>
      </c>
      <c r="T53" s="1042"/>
    </row>
    <row r="54" spans="1:20" s="1232" customFormat="1" ht="25.5" customHeight="1" thickTop="1" thickBot="1">
      <c r="A54" s="1172">
        <f t="shared" si="15"/>
        <v>8</v>
      </c>
      <c r="B54" s="1350" t="s">
        <v>1787</v>
      </c>
      <c r="C54" s="1233"/>
      <c r="D54" s="1354" t="str">
        <f t="shared" si="10"/>
        <v>08.99.</v>
      </c>
      <c r="E54" s="1039"/>
      <c r="F54" s="1355" t="str">
        <f t="shared" si="13"/>
        <v>08.99.</v>
      </c>
      <c r="G54" s="1236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2"/>
    </row>
    <row r="55" spans="1:20" s="1009" customFormat="1" ht="16.5" thickBot="1">
      <c r="E55" s="1158"/>
    </row>
    <row r="56" spans="1:20" s="1009" customFormat="1" ht="18.75" thickTop="1">
      <c r="E56" s="1158"/>
      <c r="F56" s="817" t="s">
        <v>1604</v>
      </c>
      <c r="G56" s="1257"/>
      <c r="H56" s="1257"/>
      <c r="I56" s="1257"/>
      <c r="J56" s="1257"/>
      <c r="K56" s="1257"/>
      <c r="L56" s="1257"/>
      <c r="M56" s="1257"/>
      <c r="N56" s="1257"/>
      <c r="O56" s="1257"/>
      <c r="P56" s="1257"/>
      <c r="Q56" s="1257"/>
      <c r="R56" s="1257"/>
      <c r="S56" s="1258"/>
    </row>
    <row r="57" spans="1:20" s="1009" customFormat="1" ht="27.75" customHeight="1">
      <c r="D57" s="1078">
        <v>1</v>
      </c>
      <c r="E57" s="765"/>
      <c r="F57" s="1083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259"/>
    </row>
    <row r="58" spans="1:20" s="1009" customFormat="1" ht="27.75" customHeight="1">
      <c r="D58" s="1078"/>
      <c r="E58" s="765"/>
      <c r="F58" s="1083" t="s">
        <v>1697</v>
      </c>
      <c r="G58" s="1018"/>
      <c r="H58" s="1018"/>
      <c r="I58" s="1018"/>
      <c r="J58" s="1018"/>
      <c r="K58" s="1018"/>
      <c r="L58" s="1018"/>
      <c r="M58" s="1018"/>
      <c r="N58" s="1018"/>
      <c r="O58" s="1018"/>
      <c r="P58" s="1018"/>
      <c r="Q58" s="1018"/>
      <c r="R58" s="1018"/>
      <c r="S58" s="1259"/>
    </row>
    <row r="59" spans="1:20" s="1009" customFormat="1" ht="27.75" customHeight="1" thickBot="1">
      <c r="D59" s="1078">
        <v>2</v>
      </c>
      <c r="E59" s="1078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0"/>
      <c r="H59" s="1260"/>
      <c r="I59" s="1260"/>
      <c r="J59" s="1260"/>
      <c r="K59" s="1260"/>
      <c r="L59" s="1260"/>
      <c r="M59" s="1260"/>
      <c r="N59" s="1260"/>
      <c r="O59" s="1260"/>
      <c r="P59" s="1260"/>
      <c r="Q59" s="1260"/>
      <c r="R59" s="1260"/>
      <c r="S59" s="1261"/>
    </row>
    <row r="60" spans="1:20" ht="21" thickTop="1">
      <c r="F60" s="1356"/>
    </row>
  </sheetData>
  <sheetProtection password="EC0E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60" zoomScaleNormal="60" workbookViewId="0">
      <pane xSplit="1" ySplit="5" topLeftCell="M8" activePane="bottomRight" state="frozen"/>
      <selection activeCell="E3" sqref="E3"/>
      <selection pane="topRight" activeCell="F3" sqref="F3"/>
      <selection pane="bottomLeft" activeCell="E8" sqref="E8"/>
      <selection pane="bottomRight" activeCell="H12" sqref="H12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42" t="s">
        <v>4294</v>
      </c>
      <c r="G6" s="2242"/>
      <c r="H6" s="2242"/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2242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4" t="str">
        <f ca="1">RIGHT(CELL("nombrearchivo",$A$1),LEN(CELL("nombrearchivo",$A$1))-SEARCH("]",CELL("nombrearchivo",$A$1)))</f>
        <v>Tabla III.4.</v>
      </c>
      <c r="D9" s="2285"/>
      <c r="F9" s="2288" t="s">
        <v>911</v>
      </c>
      <c r="G9" s="2289"/>
      <c r="H9" s="2294" t="str">
        <f>+'Tabla III.3.'!H9</f>
        <v>SALDO A FINES DE MARZO 2020</v>
      </c>
      <c r="I9" s="2282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6"/>
      <c r="D10" s="2287"/>
      <c r="F10" s="2290"/>
      <c r="G10" s="2291"/>
      <c r="H10" s="2295"/>
      <c r="I10" s="2283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2"/>
      <c r="G11" s="2293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4"/>
      <c r="I13" s="1821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2"/>
      <c r="I14" s="1821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4"/>
      <c r="I16" s="1821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2"/>
      <c r="I17" s="1821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4"/>
      <c r="I19" s="1821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2"/>
      <c r="I20" s="1821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4"/>
      <c r="I22" s="1821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2"/>
      <c r="I23" s="1821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0.75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4" t="str">
        <f ca="1">RIGHT(CELL("nombrearchivo",$A$1),LEN(CELL("nombrearchivo",$A$1))-SEARCH("]",CELL("nombrearchivo",$A$1)))</f>
        <v>Tabla III.4.</v>
      </c>
      <c r="D34" s="2285"/>
      <c r="F34" s="2288" t="s">
        <v>910</v>
      </c>
      <c r="G34" s="2289"/>
      <c r="H34" s="2294" t="str">
        <f>+H9</f>
        <v>SALDO A FINES DE MARZO 2020</v>
      </c>
      <c r="I34" s="2282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6"/>
      <c r="D35" s="2287"/>
      <c r="F35" s="2290"/>
      <c r="G35" s="2291"/>
      <c r="H35" s="2295"/>
      <c r="I35" s="2283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2"/>
      <c r="G36" s="2293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3">
        <f t="shared" si="10"/>
        <v>0</v>
      </c>
      <c r="M37" s="418">
        <f t="shared" si="10"/>
        <v>0</v>
      </c>
      <c r="N37" s="1343">
        <f t="shared" si="10"/>
        <v>0</v>
      </c>
      <c r="O37" s="1343">
        <f t="shared" si="10"/>
        <v>0</v>
      </c>
      <c r="P37" s="1343">
        <f t="shared" si="10"/>
        <v>0</v>
      </c>
      <c r="Q37" s="1343">
        <f t="shared" si="10"/>
        <v>0</v>
      </c>
      <c r="R37" s="1343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2"/>
      <c r="I39" s="1821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2"/>
      <c r="I40" s="1821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8" t="s">
        <v>4314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3"/>
      <c r="I42" s="1821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3"/>
      <c r="I43" s="1821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3"/>
      <c r="I45" s="1821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3"/>
      <c r="I46" s="1821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4"/>
      <c r="I48" s="1821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5"/>
      <c r="I49" s="1821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4"/>
      <c r="I51" s="1821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5"/>
      <c r="I52" s="1821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6"/>
      <c r="I53" s="424">
        <f>+'Tabla III.2.'!M54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password="EC0E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N11" sqref="N11"/>
    </sheetView>
  </sheetViews>
  <sheetFormatPr baseColWidth="10" defaultRowHeight="15.75"/>
  <cols>
    <col min="1" max="1" width="14.42578125" style="1159" hidden="1" customWidth="1"/>
    <col min="2" max="2" width="21.7109375" style="1009" hidden="1" customWidth="1"/>
    <col min="3" max="4" width="22.28515625" style="1009" hidden="1" customWidth="1"/>
    <col min="5" max="5" width="5.140625" style="1010" customWidth="1"/>
    <col min="6" max="6" width="19.85546875" style="1159" customWidth="1"/>
    <col min="7" max="7" width="83.7109375" style="1159" customWidth="1"/>
    <col min="8" max="8" width="28.85546875" style="1159" customWidth="1"/>
    <col min="9" max="13" width="24.140625" style="1009" customWidth="1"/>
    <col min="14" max="16384" width="11.42578125" style="1159"/>
  </cols>
  <sheetData>
    <row r="1" spans="1:14" ht="23.25" hidden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3" spans="1:14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14" s="1009" customFormat="1" ht="35.25">
      <c r="B4" s="1010"/>
      <c r="C4" s="1010"/>
      <c r="D4" s="1010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2"/>
      <c r="K4" s="770"/>
      <c r="L4" s="770"/>
      <c r="M4" s="770"/>
    </row>
    <row r="5" spans="1:14" s="1009" customFormat="1" ht="36.75" customHeight="1">
      <c r="B5" s="1010"/>
      <c r="C5" s="1010"/>
      <c r="D5" s="1010"/>
      <c r="F5" s="772" t="s">
        <v>1911</v>
      </c>
      <c r="G5" s="770"/>
      <c r="H5" s="770"/>
      <c r="I5" s="773"/>
      <c r="J5" s="773"/>
      <c r="K5" s="1013"/>
      <c r="L5" s="770"/>
      <c r="M5" s="770"/>
    </row>
    <row r="6" spans="1:14" s="1009" customFormat="1" ht="19.5" customHeight="1">
      <c r="B6" s="1010"/>
      <c r="C6" s="1010"/>
      <c r="D6" s="1010"/>
      <c r="F6" s="767"/>
      <c r="G6" s="767"/>
      <c r="H6" s="1014"/>
      <c r="I6" s="1015"/>
      <c r="J6" s="1015"/>
      <c r="K6" s="1016"/>
      <c r="L6" s="1011"/>
      <c r="M6" s="1011"/>
    </row>
    <row r="7" spans="1:14" s="1009" customFormat="1" ht="6" customHeight="1">
      <c r="B7" s="1010"/>
      <c r="C7" s="1010"/>
      <c r="D7" s="1010"/>
      <c r="F7" s="1010"/>
      <c r="G7" s="1010"/>
      <c r="H7" s="772"/>
      <c r="I7" s="773"/>
      <c r="J7" s="773"/>
      <c r="K7" s="1013"/>
    </row>
    <row r="8" spans="1:14" s="1009" customFormat="1" ht="30.75" thickBot="1">
      <c r="C8" s="1357" t="str">
        <f ca="1">RIGHT(CELL("nombrearchivo",$A$1),LEN(CELL("nombrearchivo",$A$1))-SEARCH("]",CELL("nombrearchivo",$A$1)))</f>
        <v>Tabla III.5.</v>
      </c>
      <c r="E8" s="1010"/>
      <c r="F8" s="181" t="str">
        <f>"Frente a empresas no residentes, relacionadas y no relacionadas "</f>
        <v xml:space="preserve">Frente a empresas no residentes, relacionadas y no relacionadas </v>
      </c>
      <c r="G8" s="1012"/>
      <c r="H8" s="1358"/>
      <c r="I8" s="1012"/>
      <c r="J8" s="1012"/>
      <c r="K8" s="1012"/>
      <c r="L8" s="1012"/>
      <c r="M8" s="1012"/>
    </row>
    <row r="9" spans="1:14" ht="22.5" thickTop="1">
      <c r="C9" s="2225" t="str">
        <f ca="1">RIGHT(CELL("nombrearchivo",$A$1),LEN(CELL("nombrearchivo",$A$1))-SEARCH("]",CELL("nombrearchivo",$A$1)))</f>
        <v>Tabla III.5.</v>
      </c>
      <c r="D9" s="2226"/>
      <c r="F9" s="1359"/>
      <c r="G9" s="1360"/>
      <c r="H9" s="2296" t="str">
        <f>+'Tabla III.4.'!H9:H10&amp;" (*)"</f>
        <v>SALDO A FINES DE MARZO 2020 (*)</v>
      </c>
      <c r="I9" s="2298" t="s">
        <v>4258</v>
      </c>
      <c r="J9" s="2299"/>
      <c r="K9" s="2299"/>
      <c r="L9" s="2299"/>
      <c r="M9" s="2300"/>
    </row>
    <row r="10" spans="1:14" ht="34.5" customHeight="1" thickBot="1">
      <c r="C10" s="2227"/>
      <c r="D10" s="2228"/>
      <c r="F10" s="1361"/>
      <c r="G10" s="1362"/>
      <c r="H10" s="2297"/>
      <c r="I10" s="1363" t="s">
        <v>1916</v>
      </c>
      <c r="J10" s="1364" t="s">
        <v>1912</v>
      </c>
      <c r="K10" s="1364" t="s">
        <v>1913</v>
      </c>
      <c r="L10" s="1364" t="s">
        <v>1914</v>
      </c>
      <c r="M10" s="1365" t="s">
        <v>1915</v>
      </c>
    </row>
    <row r="11" spans="1:14" s="1171" customFormat="1" ht="36" customHeight="1" thickBot="1">
      <c r="A11" s="1164" t="s">
        <v>894</v>
      </c>
      <c r="B11" s="1164" t="s">
        <v>895</v>
      </c>
      <c r="C11" s="1366" t="s">
        <v>68</v>
      </c>
      <c r="D11" s="1367" t="s">
        <v>69</v>
      </c>
      <c r="E11" s="1316"/>
      <c r="F11" s="1368" t="s">
        <v>801</v>
      </c>
      <c r="G11" s="1369" t="str">
        <f>"OBLIGACIONES CON "&amp;D26&amp;"/"</f>
        <v>OBLIGACIONES CON 1/</v>
      </c>
      <c r="H11" s="1370" t="s">
        <v>795</v>
      </c>
      <c r="I11" s="1371" t="s">
        <v>796</v>
      </c>
      <c r="J11" s="1372" t="s">
        <v>797</v>
      </c>
      <c r="K11" s="1372" t="s">
        <v>798</v>
      </c>
      <c r="L11" s="1372" t="s">
        <v>799</v>
      </c>
      <c r="M11" s="1373" t="s">
        <v>800</v>
      </c>
    </row>
    <row r="12" spans="1:14" s="1171" customFormat="1" ht="31.5" customHeight="1" thickTop="1">
      <c r="A12" s="1172">
        <f>+'Tabla III.4.'!A54+1</f>
        <v>11</v>
      </c>
      <c r="B12" s="1177" t="s">
        <v>1777</v>
      </c>
      <c r="C12" s="1374"/>
      <c r="D12" s="1323" t="str">
        <f>CONCATENATE(A12,B12)</f>
        <v>11.01.</v>
      </c>
      <c r="E12" s="1039"/>
      <c r="F12" s="1375" t="str">
        <f>+D12</f>
        <v>11.01.</v>
      </c>
      <c r="G12" s="1376" t="s">
        <v>1947</v>
      </c>
      <c r="H12" s="616">
        <f>SUM(H13:H14)</f>
        <v>0</v>
      </c>
      <c r="I12" s="1377">
        <f>SUM(I13:I14)</f>
        <v>0</v>
      </c>
      <c r="J12" s="1377">
        <f>SUM(J13:J14)</f>
        <v>0</v>
      </c>
      <c r="K12" s="1378">
        <f>SUM(K13:K14)</f>
        <v>0</v>
      </c>
      <c r="L12" s="1379">
        <f>SUM(L13:L14)</f>
        <v>0</v>
      </c>
      <c r="M12" s="617">
        <f>+H12-SUM(I12:L12)</f>
        <v>0</v>
      </c>
      <c r="N12" s="1042"/>
    </row>
    <row r="13" spans="1:14" s="1171" customFormat="1" ht="31.5" customHeight="1">
      <c r="A13" s="1172">
        <f>+A12</f>
        <v>11</v>
      </c>
      <c r="B13" s="1177" t="s">
        <v>1778</v>
      </c>
      <c r="C13" s="1380"/>
      <c r="D13" s="1326" t="str">
        <f>CONCATENATE(A13,B13)</f>
        <v>11.01.01.</v>
      </c>
      <c r="E13" s="1039"/>
      <c r="F13" s="1381" t="str">
        <f>+D13</f>
        <v>11.01.01.</v>
      </c>
      <c r="G13" s="1382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2"/>
    </row>
    <row r="14" spans="1:14" s="1171" customFormat="1" ht="31.5" customHeight="1">
      <c r="A14" s="1172">
        <f>+A13</f>
        <v>11</v>
      </c>
      <c r="B14" s="1177" t="s">
        <v>1779</v>
      </c>
      <c r="C14" s="1383"/>
      <c r="D14" s="1384" t="str">
        <f>CONCATENATE(A14,B14)</f>
        <v>11.01.02.</v>
      </c>
      <c r="E14" s="1039"/>
      <c r="F14" s="1381" t="str">
        <f>+D14</f>
        <v>11.01.02.</v>
      </c>
      <c r="G14" s="1382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2"/>
    </row>
    <row r="15" spans="1:14" s="1171" customFormat="1" ht="31.5" customHeight="1">
      <c r="A15" s="1172">
        <f>+A12</f>
        <v>11</v>
      </c>
      <c r="B15" s="1177" t="s">
        <v>1780</v>
      </c>
      <c r="C15" s="1385"/>
      <c r="D15" s="1386" t="str">
        <f>CONCATENATE(A15,B15)</f>
        <v>11.02.</v>
      </c>
      <c r="E15" s="1039"/>
      <c r="F15" s="1387" t="str">
        <f>+D15</f>
        <v>11.02.</v>
      </c>
      <c r="G15" s="1388" t="s">
        <v>1948</v>
      </c>
      <c r="H15" s="618">
        <f t="shared" ref="H15:M15" si="1">SUM(H16,H19)</f>
        <v>0</v>
      </c>
      <c r="I15" s="1389">
        <f t="shared" si="1"/>
        <v>0</v>
      </c>
      <c r="J15" s="1389">
        <f t="shared" si="1"/>
        <v>0</v>
      </c>
      <c r="K15" s="1390">
        <f t="shared" si="1"/>
        <v>0</v>
      </c>
      <c r="L15" s="1391">
        <f t="shared" si="1"/>
        <v>0</v>
      </c>
      <c r="M15" s="619">
        <f t="shared" si="1"/>
        <v>0</v>
      </c>
      <c r="N15" s="1042"/>
    </row>
    <row r="16" spans="1:14" s="1171" customFormat="1" ht="31.5" customHeight="1">
      <c r="A16" s="1172">
        <f>+A15</f>
        <v>11</v>
      </c>
      <c r="B16" s="1177" t="s">
        <v>1781</v>
      </c>
      <c r="C16" s="1392"/>
      <c r="D16" s="1393" t="str">
        <f t="shared" ref="D16:D21" si="2">CONCATENATE(A16,B16)</f>
        <v>11.02.01.</v>
      </c>
      <c r="E16" s="1039"/>
      <c r="F16" s="1394" t="str">
        <f t="shared" ref="F16:F21" si="3">+D16</f>
        <v>11.02.01.</v>
      </c>
      <c r="G16" s="1395" t="s">
        <v>1953</v>
      </c>
      <c r="H16" s="618">
        <f t="shared" ref="H16:M16" si="4">SUM(H17:H18)</f>
        <v>0</v>
      </c>
      <c r="I16" s="1389">
        <f t="shared" si="4"/>
        <v>0</v>
      </c>
      <c r="J16" s="1389">
        <f t="shared" si="4"/>
        <v>0</v>
      </c>
      <c r="K16" s="1390">
        <f t="shared" si="4"/>
        <v>0</v>
      </c>
      <c r="L16" s="1391">
        <f t="shared" si="4"/>
        <v>0</v>
      </c>
      <c r="M16" s="619">
        <f t="shared" si="4"/>
        <v>0</v>
      </c>
      <c r="N16" s="1042"/>
    </row>
    <row r="17" spans="1:14" s="1171" customFormat="1" ht="31.5" customHeight="1">
      <c r="A17" s="1172">
        <f t="shared" ref="A17:A22" si="5">+A16</f>
        <v>11</v>
      </c>
      <c r="B17" s="1177" t="s">
        <v>892</v>
      </c>
      <c r="C17" s="1392"/>
      <c r="D17" s="1393" t="str">
        <f t="shared" si="2"/>
        <v>11.02.01.01.</v>
      </c>
      <c r="E17" s="1039"/>
      <c r="F17" s="1394" t="str">
        <f t="shared" si="3"/>
        <v>11.02.01.01.</v>
      </c>
      <c r="G17" s="1396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2"/>
    </row>
    <row r="18" spans="1:14" s="1171" customFormat="1" ht="31.5" customHeight="1">
      <c r="A18" s="1172">
        <f t="shared" si="5"/>
        <v>11</v>
      </c>
      <c r="B18" s="1177" t="s">
        <v>897</v>
      </c>
      <c r="C18" s="1392"/>
      <c r="D18" s="1393" t="str">
        <f t="shared" si="2"/>
        <v>11.02.01.02.</v>
      </c>
      <c r="E18" s="1039"/>
      <c r="F18" s="1394" t="str">
        <f t="shared" si="3"/>
        <v>11.02.01.02.</v>
      </c>
      <c r="G18" s="1396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2"/>
    </row>
    <row r="19" spans="1:14" s="1171" customFormat="1" ht="31.5" customHeight="1">
      <c r="A19" s="1172">
        <f t="shared" si="5"/>
        <v>11</v>
      </c>
      <c r="B19" s="1177" t="s">
        <v>1782</v>
      </c>
      <c r="C19" s="1392"/>
      <c r="D19" s="1393" t="str">
        <f t="shared" si="2"/>
        <v>11.02.02.</v>
      </c>
      <c r="E19" s="1039"/>
      <c r="F19" s="1394" t="str">
        <f t="shared" si="3"/>
        <v>11.02.02.</v>
      </c>
      <c r="G19" s="1395" t="s">
        <v>1952</v>
      </c>
      <c r="H19" s="618">
        <f t="shared" ref="H19:M19" si="6">SUM(H20:H21)</f>
        <v>0</v>
      </c>
      <c r="I19" s="1389">
        <f t="shared" si="6"/>
        <v>0</v>
      </c>
      <c r="J19" s="1389">
        <f t="shared" si="6"/>
        <v>0</v>
      </c>
      <c r="K19" s="1390">
        <f t="shared" si="6"/>
        <v>0</v>
      </c>
      <c r="L19" s="1391">
        <f t="shared" si="6"/>
        <v>0</v>
      </c>
      <c r="M19" s="619">
        <f t="shared" si="6"/>
        <v>0</v>
      </c>
      <c r="N19" s="1042"/>
    </row>
    <row r="20" spans="1:14" s="1171" customFormat="1" ht="31.5" customHeight="1">
      <c r="A20" s="1172">
        <f t="shared" si="5"/>
        <v>11</v>
      </c>
      <c r="B20" s="1177" t="s">
        <v>1958</v>
      </c>
      <c r="C20" s="1392"/>
      <c r="D20" s="1393" t="str">
        <f t="shared" si="2"/>
        <v>11.02.02.01.</v>
      </c>
      <c r="E20" s="1039"/>
      <c r="F20" s="1394" t="str">
        <f t="shared" si="3"/>
        <v>11.02.02.01.</v>
      </c>
      <c r="G20" s="1396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2"/>
    </row>
    <row r="21" spans="1:14" s="1171" customFormat="1" ht="31.5" customHeight="1" thickBot="1">
      <c r="A21" s="1172">
        <f t="shared" si="5"/>
        <v>11</v>
      </c>
      <c r="B21" s="1177" t="s">
        <v>1959</v>
      </c>
      <c r="C21" s="1392"/>
      <c r="D21" s="1393" t="str">
        <f t="shared" si="2"/>
        <v>11.02.02.02.</v>
      </c>
      <c r="E21" s="1039"/>
      <c r="F21" s="1397" t="str">
        <f t="shared" si="3"/>
        <v>11.02.02.02.</v>
      </c>
      <c r="G21" s="1396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2"/>
    </row>
    <row r="22" spans="1:14" s="1232" customFormat="1" ht="36" customHeight="1" thickTop="1" thickBot="1">
      <c r="A22" s="1172">
        <f t="shared" si="5"/>
        <v>11</v>
      </c>
      <c r="B22" s="1177" t="s">
        <v>1787</v>
      </c>
      <c r="C22" s="1398"/>
      <c r="D22" s="1399" t="str">
        <f>CONCATENATE(A22,B22)</f>
        <v>11.99.</v>
      </c>
      <c r="E22" s="1039"/>
      <c r="F22" s="1235" t="str">
        <f>+D22</f>
        <v>11.99.</v>
      </c>
      <c r="G22" s="1236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2"/>
    </row>
    <row r="23" spans="1:14" s="1009" customFormat="1" ht="16.5" thickBot="1">
      <c r="E23" s="1158"/>
      <c r="N23" s="1042"/>
    </row>
    <row r="24" spans="1:14" s="1009" customFormat="1" ht="29.25" customHeight="1" thickTop="1">
      <c r="E24" s="1158"/>
      <c r="F24" s="1197" t="s">
        <v>1957</v>
      </c>
      <c r="G24" s="1257"/>
      <c r="H24" s="1257"/>
      <c r="I24" s="1257"/>
      <c r="J24" s="1257"/>
      <c r="K24" s="1257"/>
      <c r="L24" s="1257"/>
      <c r="M24" s="1258"/>
    </row>
    <row r="25" spans="1:14" s="1009" customFormat="1" ht="29.25" customHeight="1">
      <c r="E25" s="1158"/>
      <c r="F25" s="1400" t="s">
        <v>1917</v>
      </c>
      <c r="G25" s="1018"/>
      <c r="H25" s="1018"/>
      <c r="I25" s="1018"/>
      <c r="J25" s="1018"/>
      <c r="K25" s="1018"/>
      <c r="L25" s="1018"/>
      <c r="M25" s="1259"/>
    </row>
    <row r="26" spans="1:14" s="1009" customFormat="1" ht="29.25" customHeight="1">
      <c r="D26" s="1078">
        <v>1</v>
      </c>
      <c r="E26" s="765"/>
      <c r="F26" s="1400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8"/>
      <c r="H26" s="1018"/>
      <c r="I26" s="1018"/>
      <c r="J26" s="1018"/>
      <c r="K26" s="1018"/>
      <c r="L26" s="1018"/>
      <c r="M26" s="1259"/>
    </row>
    <row r="27" spans="1:14" s="1009" customFormat="1" ht="29.25" customHeight="1">
      <c r="D27" s="1078"/>
      <c r="E27" s="765"/>
      <c r="F27" s="1400" t="s">
        <v>1946</v>
      </c>
      <c r="G27" s="1018"/>
      <c r="H27" s="1018"/>
      <c r="I27" s="1018"/>
      <c r="J27" s="1018"/>
      <c r="K27" s="1018"/>
      <c r="L27" s="1018"/>
      <c r="M27" s="1259"/>
    </row>
    <row r="28" spans="1:14" s="1009" customFormat="1" ht="21.75" customHeight="1" thickBot="1">
      <c r="D28" s="1078">
        <f>+D26+1</f>
        <v>2</v>
      </c>
      <c r="E28" s="1078"/>
      <c r="F28" s="1401" t="str">
        <f>D28&amp;"/"&amp; " Incluye depósitos en el país de no residentes."</f>
        <v>2/ Incluye depósitos en el país de no residentes.</v>
      </c>
      <c r="G28" s="1260"/>
      <c r="H28" s="1260"/>
      <c r="I28" s="1260"/>
      <c r="J28" s="1260"/>
      <c r="K28" s="1260"/>
      <c r="L28" s="1260"/>
      <c r="M28" s="1261"/>
    </row>
    <row r="29" spans="1:14" ht="16.5" thickTop="1">
      <c r="F29" s="1009"/>
      <c r="G29" s="1009"/>
      <c r="H29" s="1009"/>
    </row>
    <row r="30" spans="1:14">
      <c r="E30" s="1009"/>
      <c r="F30" s="1009"/>
      <c r="G30" s="1009"/>
      <c r="H30" s="1009"/>
    </row>
  </sheetData>
  <sheetProtection password="EC0E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3" sqref="H13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0.42578125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6" t="s">
        <v>1897</v>
      </c>
      <c r="G1" s="1307"/>
      <c r="H1" s="1308" t="s">
        <v>1898</v>
      </c>
    </row>
    <row r="2" spans="1:54" s="859" customFormat="1"/>
    <row r="3" spans="1:54" s="1009" customFormat="1" ht="17.25" customHeight="1">
      <c r="C3" s="1010"/>
      <c r="D3" s="1010"/>
      <c r="E3" s="1010"/>
      <c r="F3" s="767"/>
      <c r="G3" s="767"/>
      <c r="H3" s="768"/>
    </row>
    <row r="4" spans="1:54" s="1009" customFormat="1" ht="35.25">
      <c r="C4" s="1010"/>
      <c r="D4" s="1010"/>
      <c r="E4" s="1010"/>
      <c r="F4" s="186" t="str">
        <f ca="1">$C$8&amp;"  Derivados financieros según libros"</f>
        <v>Tabla IV.1.  Derivados financieros según libros</v>
      </c>
      <c r="G4" s="770"/>
      <c r="H4" s="770"/>
    </row>
    <row r="5" spans="1:54" s="1009" customFormat="1" ht="36.75" customHeight="1">
      <c r="C5" s="1010"/>
      <c r="D5" s="1010"/>
      <c r="E5" s="1010"/>
      <c r="F5" s="772" t="s">
        <v>1629</v>
      </c>
      <c r="G5" s="770"/>
      <c r="H5" s="770"/>
    </row>
    <row r="6" spans="1:54" s="1009" customFormat="1" ht="19.5" customHeight="1">
      <c r="C6" s="1010"/>
      <c r="D6" s="1010"/>
      <c r="E6" s="1010"/>
      <c r="F6" s="767"/>
      <c r="G6" s="767"/>
      <c r="H6" s="1014"/>
    </row>
    <row r="7" spans="1:54" s="1009" customFormat="1" ht="6" customHeight="1">
      <c r="C7" s="1010"/>
      <c r="D7" s="1010"/>
      <c r="E7" s="1010"/>
      <c r="G7" s="1010"/>
      <c r="H7" s="1010"/>
    </row>
    <row r="8" spans="1:54" ht="48" customHeight="1" thickBot="1">
      <c r="C8" s="776" t="str">
        <f ca="1">RIGHT(CELL("nombrearchivo",$A$1),LEN(CELL("nombrearchivo",$A$1))-SEARCH("]",CELL("nombrearchivo",$A$1)))</f>
        <v>Tabla IV.1.</v>
      </c>
      <c r="F8" s="2307" t="str">
        <f>"Derivados financieros de la empresa declarante 
según registro en libros "&amp;D28&amp;"/ "&amp;D29&amp;"/"</f>
        <v>Derivados financieros de la empresa declarante 
según registro en libros 1/ 2/</v>
      </c>
      <c r="G8" s="2307"/>
      <c r="H8" s="2307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1" t="str">
        <f ca="1">RIGHT(CELL("nombrearchivo",$A$1),LEN(CELL("nombrearchivo",$A$1))-SEARCH("]",CELL("nombrearchivo",$A$1)))</f>
        <v>Tabla IV.1.</v>
      </c>
      <c r="D9" s="2302"/>
      <c r="E9" s="765"/>
      <c r="F9" s="2303"/>
      <c r="G9" s="2304"/>
      <c r="H9" s="1909">
        <f>ANUAL</f>
        <v>2020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4" t="s">
        <v>894</v>
      </c>
      <c r="B10" s="1164" t="s">
        <v>895</v>
      </c>
      <c r="C10" s="1366" t="s">
        <v>68</v>
      </c>
      <c r="D10" s="1367" t="s">
        <v>69</v>
      </c>
      <c r="E10" s="777"/>
      <c r="F10" s="2305"/>
      <c r="G10" s="2306"/>
      <c r="H10" s="2098" t="str">
        <f>TRIM&amp;" Trim. "</f>
        <v xml:space="preserve">1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4"/>
      <c r="B11" s="1164"/>
      <c r="C11" s="1402"/>
      <c r="D11" s="1403"/>
      <c r="E11" s="777"/>
      <c r="F11" s="1404" t="s">
        <v>801</v>
      </c>
      <c r="G11" s="1405" t="s">
        <v>1811</v>
      </c>
      <c r="H11" s="1796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37.5">
      <c r="A12" s="1172">
        <f>+'Tabla III.5.'!A22+1</f>
        <v>12</v>
      </c>
      <c r="B12" s="1177" t="s">
        <v>1777</v>
      </c>
      <c r="C12" s="1406">
        <v>620</v>
      </c>
      <c r="D12" s="1407" t="str">
        <f t="shared" ref="D12:D24" si="0">CONCATENATE(A12,B12)</f>
        <v>12.01.</v>
      </c>
      <c r="E12" s="1408"/>
      <c r="F12" s="1409" t="str">
        <f>+D12</f>
        <v>12.01.</v>
      </c>
      <c r="G12" s="1410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MARZO</v>
      </c>
      <c r="H12" s="1797">
        <f>+H13-H16</f>
        <v>0</v>
      </c>
      <c r="I12" s="1042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2">
        <f>+A12</f>
        <v>12</v>
      </c>
      <c r="B13" s="1177" t="s">
        <v>1778</v>
      </c>
      <c r="C13" s="1411">
        <v>621</v>
      </c>
      <c r="D13" s="1412" t="str">
        <f t="shared" si="0"/>
        <v>12.01.01.</v>
      </c>
      <c r="E13" s="1408"/>
      <c r="F13" s="1413" t="str">
        <f t="shared" ref="F13:F24" si="1">+D13</f>
        <v>12.01.01.</v>
      </c>
      <c r="G13" s="1414" t="s">
        <v>4260</v>
      </c>
      <c r="H13" s="1798">
        <f>SUM(H14:H15)</f>
        <v>0</v>
      </c>
      <c r="I13" s="1042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2">
        <f t="shared" ref="A14:A24" si="2">+A13</f>
        <v>12</v>
      </c>
      <c r="B14" s="1177" t="s">
        <v>1805</v>
      </c>
      <c r="C14" s="1415">
        <v>622</v>
      </c>
      <c r="D14" s="1416" t="str">
        <f t="shared" si="0"/>
        <v>12.01.01.01</v>
      </c>
      <c r="E14" s="1408"/>
      <c r="F14" s="1417" t="str">
        <f t="shared" si="1"/>
        <v>12.01.01.01</v>
      </c>
      <c r="G14" s="1418" t="s">
        <v>291</v>
      </c>
      <c r="H14" s="1799"/>
      <c r="I14" s="1042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2">
        <f t="shared" si="2"/>
        <v>12</v>
      </c>
      <c r="B15" s="1177" t="s">
        <v>1806</v>
      </c>
      <c r="C15" s="1415">
        <v>623</v>
      </c>
      <c r="D15" s="1416" t="str">
        <f t="shared" si="0"/>
        <v>12.01.01.02</v>
      </c>
      <c r="E15" s="1408"/>
      <c r="F15" s="1419" t="str">
        <f t="shared" si="1"/>
        <v>12.01.01.02</v>
      </c>
      <c r="G15" s="1420" t="s">
        <v>292</v>
      </c>
      <c r="H15" s="1800"/>
      <c r="I15" s="1042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2">
        <f t="shared" si="2"/>
        <v>12</v>
      </c>
      <c r="B16" s="1177" t="s">
        <v>1779</v>
      </c>
      <c r="C16" s="801">
        <v>624</v>
      </c>
      <c r="D16" s="934" t="str">
        <f t="shared" si="0"/>
        <v>12.01.02.</v>
      </c>
      <c r="E16" s="1408"/>
      <c r="F16" s="1421" t="str">
        <f t="shared" si="1"/>
        <v>12.01.02.</v>
      </c>
      <c r="G16" s="1422" t="s">
        <v>4259</v>
      </c>
      <c r="H16" s="1801">
        <f>SUM(H17:H18)</f>
        <v>0</v>
      </c>
      <c r="I16" s="1042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2">
        <f t="shared" si="2"/>
        <v>12</v>
      </c>
      <c r="B17" s="1177" t="s">
        <v>1809</v>
      </c>
      <c r="C17" s="1415">
        <v>625</v>
      </c>
      <c r="D17" s="1416" t="str">
        <f t="shared" si="0"/>
        <v>12.01.02.01</v>
      </c>
      <c r="E17" s="1408"/>
      <c r="F17" s="1417" t="str">
        <f t="shared" si="1"/>
        <v>12.01.02.01</v>
      </c>
      <c r="G17" s="1418" t="s">
        <v>291</v>
      </c>
      <c r="H17" s="1799"/>
      <c r="I17" s="1042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2">
        <f t="shared" si="2"/>
        <v>12</v>
      </c>
      <c r="B18" s="1177" t="s">
        <v>1810</v>
      </c>
      <c r="C18" s="1423">
        <v>626</v>
      </c>
      <c r="D18" s="1424" t="str">
        <f t="shared" si="0"/>
        <v>12.01.02.02</v>
      </c>
      <c r="E18" s="1408"/>
      <c r="F18" s="1419" t="str">
        <f t="shared" si="1"/>
        <v>12.01.02.02</v>
      </c>
      <c r="G18" s="1420" t="s">
        <v>292</v>
      </c>
      <c r="H18" s="1800"/>
      <c r="I18" s="1042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37.5">
      <c r="A19" s="1172">
        <f t="shared" si="2"/>
        <v>12</v>
      </c>
      <c r="B19" s="1177" t="s">
        <v>1780</v>
      </c>
      <c r="C19" s="1425">
        <v>630</v>
      </c>
      <c r="D19" s="1426" t="str">
        <f t="shared" si="0"/>
        <v>12.02.</v>
      </c>
      <c r="E19" s="1408"/>
      <c r="F19" s="1427" t="str">
        <f t="shared" si="1"/>
        <v>12.02.</v>
      </c>
      <c r="G19" s="1428" t="str">
        <f>"B. SALDOS EN EL PATRIMONIO POR DERIVADOS
     FINANCIEROS AL CIERRE DE "&amp;IF(TRIM=1,"MARZO",IF(TRIM=2,"JUNIO",IF(TRIM=3,"SETIEMBRE","DICIEMBRE")))</f>
        <v>B. SALDOS EN EL PATRIMONIO POR DERIVADOS
     FINANCIEROS AL CIERRE DE MARZO</v>
      </c>
      <c r="H19" s="1802">
        <f>SUM(H20:H21)</f>
        <v>0</v>
      </c>
      <c r="I19" s="1042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2">
        <f t="shared" si="2"/>
        <v>12</v>
      </c>
      <c r="B20" s="1177" t="s">
        <v>1781</v>
      </c>
      <c r="C20" s="1429">
        <v>631</v>
      </c>
      <c r="D20" s="1430" t="str">
        <f t="shared" si="0"/>
        <v>12.02.01.</v>
      </c>
      <c r="E20" s="1408"/>
      <c r="F20" s="1417" t="str">
        <f t="shared" si="1"/>
        <v>12.02.01.</v>
      </c>
      <c r="G20" s="1418" t="s">
        <v>293</v>
      </c>
      <c r="H20" s="1799"/>
      <c r="I20" s="1042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2">
        <f t="shared" si="2"/>
        <v>12</v>
      </c>
      <c r="B21" s="1177" t="s">
        <v>1782</v>
      </c>
      <c r="C21" s="1423">
        <v>632</v>
      </c>
      <c r="D21" s="1424" t="str">
        <f t="shared" si="0"/>
        <v>12.02.02.</v>
      </c>
      <c r="E21" s="1408"/>
      <c r="F21" s="1419" t="str">
        <f t="shared" si="1"/>
        <v>12.02.02.</v>
      </c>
      <c r="G21" s="1420" t="s">
        <v>294</v>
      </c>
      <c r="H21" s="1800"/>
      <c r="I21" s="1042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2">
        <f t="shared" si="2"/>
        <v>12</v>
      </c>
      <c r="B22" s="1177" t="s">
        <v>1783</v>
      </c>
      <c r="C22" s="1425">
        <v>640</v>
      </c>
      <c r="D22" s="1426" t="str">
        <f t="shared" si="0"/>
        <v>12.03.</v>
      </c>
      <c r="E22" s="1408"/>
      <c r="F22" s="1427" t="str">
        <f t="shared" si="1"/>
        <v>12.03.</v>
      </c>
      <c r="G22" s="1428" t="str">
        <f>"C. FLUJOS DURANTE EL PERIODO EN EL ESTADO DE RESULTADOS POR
     DERIVADOS FINANCIEROS "&amp;Menu!E4&amp;" "&amp;D30&amp;"/"</f>
        <v>C. FLUJOS DURANTE EL PERIODO EN EL ESTADO DE RESULTADOS POR
     DERIVADOS FINANCIEROS (ENE - MAR) 3/</v>
      </c>
      <c r="H22" s="1802">
        <f>SUM(H23:H24)</f>
        <v>0</v>
      </c>
      <c r="I22" s="1042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2">
        <f t="shared" si="2"/>
        <v>12</v>
      </c>
      <c r="B23" s="1177" t="s">
        <v>1796</v>
      </c>
      <c r="C23" s="1429">
        <v>641</v>
      </c>
      <c r="D23" s="1430" t="str">
        <f t="shared" si="0"/>
        <v>12.03.00.01.</v>
      </c>
      <c r="E23" s="1408"/>
      <c r="F23" s="1417" t="str">
        <f t="shared" si="1"/>
        <v>12.03.00.01.</v>
      </c>
      <c r="G23" s="1418" t="s">
        <v>291</v>
      </c>
      <c r="H23" s="1799"/>
      <c r="I23" s="1042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2">
        <f t="shared" si="2"/>
        <v>12</v>
      </c>
      <c r="B24" s="1177" t="s">
        <v>1797</v>
      </c>
      <c r="C24" s="1431">
        <v>642</v>
      </c>
      <c r="D24" s="1432" t="str">
        <f t="shared" si="0"/>
        <v>12.03.00.02.</v>
      </c>
      <c r="E24" s="1408"/>
      <c r="F24" s="1433" t="str">
        <f t="shared" si="1"/>
        <v>12.03.00.02.</v>
      </c>
      <c r="G24" s="1434" t="s">
        <v>292</v>
      </c>
      <c r="H24" s="1803"/>
      <c r="I24" s="1042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8"/>
      <c r="F25" s="1435"/>
      <c r="G25" s="1436"/>
      <c r="H25" s="1437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8"/>
      <c r="F26" s="1435"/>
      <c r="G26" s="1436"/>
      <c r="H26" s="1437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8"/>
      <c r="F27" s="817" t="s">
        <v>1604</v>
      </c>
      <c r="G27" s="1439"/>
      <c r="H27" s="1440"/>
    </row>
    <row r="28" spans="1:54" s="782" customFormat="1" ht="26.25" customHeight="1">
      <c r="D28" s="1438">
        <v>1</v>
      </c>
      <c r="E28" s="765"/>
      <c r="F28" s="1400" t="s">
        <v>1613</v>
      </c>
      <c r="G28" s="1441"/>
      <c r="H28" s="1570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8">
        <v>2</v>
      </c>
      <c r="F29" s="1400" t="s">
        <v>1614</v>
      </c>
      <c r="G29" s="1442"/>
      <c r="H29" s="1443"/>
    </row>
    <row r="30" spans="1:54" s="859" customFormat="1" ht="26.25" customHeight="1" thickBot="1">
      <c r="D30" s="1444">
        <v>3</v>
      </c>
      <c r="F30" s="1401" t="s">
        <v>1615</v>
      </c>
      <c r="G30" s="1445"/>
      <c r="H30" s="1446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password="EC0E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F11" sqref="F11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0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10" t="s">
        <v>4272</v>
      </c>
      <c r="D4" s="2111"/>
    </row>
    <row r="5" spans="1:8" ht="26.25" customHeight="1" thickBot="1">
      <c r="C5" s="2112" t="s">
        <v>4271</v>
      </c>
      <c r="D5" s="2113"/>
    </row>
    <row r="6" spans="1:8" ht="8.25" customHeight="1" thickTop="1" thickBot="1"/>
    <row r="7" spans="1:8" ht="36.75" customHeight="1" thickTop="1" thickBot="1">
      <c r="C7" s="1989" t="s">
        <v>4296</v>
      </c>
      <c r="D7" s="1997" t="s">
        <v>4297</v>
      </c>
    </row>
    <row r="8" spans="1:8" ht="8.25" customHeight="1" thickTop="1">
      <c r="C8" s="1809"/>
      <c r="D8" s="1992"/>
    </row>
    <row r="9" spans="1:8" ht="20.25">
      <c r="C9" s="2077" t="s">
        <v>4187</v>
      </c>
      <c r="D9" s="1996" t="str">
        <f ca="1">+DatosGenerales!A1</f>
        <v>DatosGenerales</v>
      </c>
    </row>
    <row r="10" spans="1:8" ht="8.25" customHeight="1">
      <c r="C10" s="2078"/>
      <c r="D10" s="1992"/>
    </row>
    <row r="11" spans="1:8" ht="20.25">
      <c r="C11" s="2077" t="str">
        <f ca="1">+'Panorama A.'!E3</f>
        <v>Panorama A.  Personas naturales y jurídicas relacionadas con la empresa declarante a marzo 2020</v>
      </c>
      <c r="D11" s="1996" t="str">
        <f ca="1">+'Panorama A.'!B7</f>
        <v>Panorama A.</v>
      </c>
      <c r="H11" s="151"/>
    </row>
    <row r="12" spans="1:8" ht="8.25" customHeight="1">
      <c r="C12" s="2078"/>
      <c r="D12" s="1992"/>
    </row>
    <row r="13" spans="1:8" ht="20.25">
      <c r="C13" s="2077" t="str">
        <f ca="1">+'Panorama B.'!F4</f>
        <v>Panorama B.  Balance general de la empresa declarante (*)</v>
      </c>
      <c r="D13" s="1996" t="str">
        <f ca="1">'Panorama B.'!$C$6</f>
        <v>Panorama B.</v>
      </c>
    </row>
    <row r="14" spans="1:8" ht="8.25" customHeight="1">
      <c r="C14" s="2078"/>
      <c r="D14" s="1991"/>
    </row>
    <row r="15" spans="1:8" ht="20.25">
      <c r="C15" s="2077" t="str">
        <f ca="1">+'Panorama C.'!F4</f>
        <v>Panorama C.  Compras y ventas de bienes y servicios de la empresa declarante (*)</v>
      </c>
      <c r="D15" s="1996" t="str">
        <f ca="1">'Panorama C.'!$C$6</f>
        <v>Panorama C.</v>
      </c>
    </row>
    <row r="16" spans="1:8" ht="8.25" customHeight="1">
      <c r="C16" s="2078"/>
      <c r="D16" s="1992"/>
    </row>
    <row r="17" spans="3:4" ht="20.25">
      <c r="C17" s="2077" t="str">
        <f ca="1">+'Tabla I.'!C2</f>
        <v>Tabla I.  Servicios con el Exterior</v>
      </c>
      <c r="D17" s="1996" t="str">
        <f ca="1">'Tabla I.'!$A$4</f>
        <v>Tabla I.</v>
      </c>
    </row>
    <row r="18" spans="3:4" ht="8.25" customHeight="1">
      <c r="C18" s="2078"/>
      <c r="D18" s="1992"/>
    </row>
    <row r="19" spans="3:4" ht="20.25">
      <c r="C19" s="2077" t="str">
        <f ca="1">+'Tabla II.'!F4</f>
        <v>Tabla II.  Derechos en instrumentos de deuda con no residentes y depósitos en moneda extranjera</v>
      </c>
      <c r="D19" s="1996" t="str">
        <f ca="1">'Tabla II.'!$C$41</f>
        <v>Tabla II.</v>
      </c>
    </row>
    <row r="20" spans="3:4" ht="8.25" customHeight="1">
      <c r="C20" s="2078"/>
      <c r="D20" s="1992"/>
    </row>
    <row r="21" spans="3:4" ht="20.25">
      <c r="C21" s="2077" t="str">
        <f ca="1">+'Tabla III.1.'!F4</f>
        <v>Tabla III.1.  Obligaciones en instrumentos de deuda con no residentes</v>
      </c>
      <c r="D21" s="1996" t="str">
        <f ca="1">'Tabla III.1.'!$C$9</f>
        <v>Tabla III.1.</v>
      </c>
    </row>
    <row r="22" spans="3:4" ht="8.25" customHeight="1">
      <c r="C22" s="2078"/>
      <c r="D22" s="1992"/>
    </row>
    <row r="23" spans="3:4" ht="20.25">
      <c r="C23" s="2077" t="str">
        <f ca="1">+'Tabla III.2.'!F4</f>
        <v>Tabla III.2.  Intereses por las obligaciones en instrumentos de deuda con no residentes</v>
      </c>
      <c r="D23" s="1996" t="str">
        <f ca="1">'Tabla III.2.'!$C$9</f>
        <v>Tabla III.2.</v>
      </c>
    </row>
    <row r="24" spans="3:4" ht="8.25" customHeight="1">
      <c r="C24" s="2078"/>
      <c r="D24" s="1992"/>
    </row>
    <row r="25" spans="3:4" ht="20.25">
      <c r="C25" s="2077" t="str">
        <f ca="1">+'Tabla III.3.'!F4</f>
        <v>Tabla III.3.  Calendario de pagos del principal de las obligaciones en instrumentos de deuda</v>
      </c>
      <c r="D25" s="1996" t="str">
        <f ca="1">'Tabla III.3.'!$C$8</f>
        <v>Tabla III.3.</v>
      </c>
    </row>
    <row r="26" spans="3:4" ht="8.25" customHeight="1">
      <c r="C26" s="2078"/>
      <c r="D26" s="1992"/>
    </row>
    <row r="27" spans="3:4" ht="20.25">
      <c r="C27" s="2077" t="str">
        <f ca="1">+'Tabla III.4.'!F4</f>
        <v>Tabla III.4.  Calendario de pagos de intereses por obligaciones en instrumentos de deuda</v>
      </c>
      <c r="D27" s="1996" t="str">
        <f ca="1">'Tabla III.4.'!$C$8</f>
        <v>Tabla III.4.</v>
      </c>
    </row>
    <row r="28" spans="3:4" ht="8.25" customHeight="1">
      <c r="C28" s="2078"/>
      <c r="D28" s="1992"/>
    </row>
    <row r="29" spans="3:4" ht="20.25">
      <c r="C29" s="2077" t="str">
        <f ca="1">+'Tabla III.5.'!F4</f>
        <v>Tabla III.5.  Obligaciones en instrumentos de deuda por moneda</v>
      </c>
      <c r="D29" s="1996" t="str">
        <f ca="1">'Tabla III.5.'!$C$8</f>
        <v>Tabla III.5.</v>
      </c>
    </row>
    <row r="30" spans="3:4" ht="8.25" customHeight="1">
      <c r="C30" s="2078"/>
      <c r="D30" s="1992"/>
    </row>
    <row r="31" spans="3:4" ht="20.25">
      <c r="C31" s="2077" t="str">
        <f ca="1">+'Tabla IV.1.'!F4</f>
        <v>Tabla IV.1.  Derivados financieros según libros</v>
      </c>
      <c r="D31" s="1996" t="str">
        <f ca="1">'Tabla IV.1.'!$C$8</f>
        <v>Tabla IV.1.</v>
      </c>
    </row>
    <row r="32" spans="3:4" ht="8.25" customHeight="1">
      <c r="C32" s="2078"/>
      <c r="D32" s="1992"/>
    </row>
    <row r="33" spans="3:4" ht="20.25">
      <c r="C33" s="2077" t="str">
        <f ca="1">+'Tabla IV.2.'!F4</f>
        <v>Tabla IV.2. Derivados financieros: tenencias y transacciones entre residentes y no residentes</v>
      </c>
      <c r="D33" s="1996" t="str">
        <f ca="1">'Tabla IV.2.'!$C$8</f>
        <v>Tabla IV.2.</v>
      </c>
    </row>
    <row r="34" spans="3:4" ht="8.25" customHeight="1">
      <c r="C34" s="2078"/>
      <c r="D34" s="1992"/>
    </row>
    <row r="35" spans="3:4" ht="20.25">
      <c r="C35" s="2077" t="str">
        <f ca="1">+'Tabla V.'!F4</f>
        <v>Tabla V.  Programa de inversiones de la empresa declarante</v>
      </c>
      <c r="D35" s="1996" t="str">
        <f ca="1">'Tabla V.'!$C$6</f>
        <v>Tabla V.</v>
      </c>
    </row>
    <row r="36" spans="3:4" ht="8.25" customHeight="1">
      <c r="C36" s="2078"/>
      <c r="D36" s="1992"/>
    </row>
    <row r="37" spans="3:4" ht="39.75" customHeight="1">
      <c r="C37" s="1995" t="str">
        <f ca="1">+'Tabla VI.'!F4</f>
        <v>Tabla VI.  Derechos y obligaciones patrimoniales y en participaciones de capital. Posiciones y transacciones totales y con no residentes</v>
      </c>
      <c r="D37" s="1996" t="str">
        <f ca="1">'Tabla VI.'!$C$10</f>
        <v>Tabla VI.</v>
      </c>
    </row>
    <row r="38" spans="3:4" ht="8.25" customHeight="1">
      <c r="C38" s="2078"/>
      <c r="D38" s="1992"/>
    </row>
    <row r="39" spans="3:4" ht="20.25">
      <c r="C39" s="2077" t="str">
        <f ca="1">+'Tabla VII.1.'!G4</f>
        <v>Tabla VII.1.  Inversión directa por país de origen y de destino.</v>
      </c>
      <c r="D39" s="1996" t="str">
        <f ca="1">'Tabla VII.1.'!$B$10</f>
        <v>Tabla VII.1.</v>
      </c>
    </row>
    <row r="40" spans="3:4" ht="31.5">
      <c r="C40" s="2079" t="s">
        <v>4179</v>
      </c>
      <c r="D40" s="1994"/>
    </row>
    <row r="41" spans="3:4" ht="8.25" customHeight="1">
      <c r="C41" s="2078"/>
      <c r="D41" s="1992"/>
    </row>
    <row r="42" spans="3:4" ht="20.25">
      <c r="C42" s="2077" t="str">
        <f ca="1">+'Tabla VII.2.'!G4</f>
        <v>Tabla VII.2.  Inversión directa por país de origen y de destino.</v>
      </c>
      <c r="D42" s="1996" t="str">
        <f ca="1">'Tabla VII.2.'!$B$10</f>
        <v>Tabla VII.2.</v>
      </c>
    </row>
    <row r="43" spans="3:4" ht="15.75">
      <c r="C43" s="2080" t="str">
        <f>+'Tabla VII.2.'!G5</f>
        <v>Derechos y obligaciones en instrumentos de deuda con no residentes</v>
      </c>
      <c r="D43" s="1994"/>
    </row>
    <row r="44" spans="3:4" ht="8.25" customHeight="1">
      <c r="C44" s="2078"/>
      <c r="D44" s="1992"/>
    </row>
    <row r="45" spans="3:4" ht="24.75" customHeight="1" thickBot="1">
      <c r="C45" s="2069" t="str">
        <f ca="1">+TCambioSalida!B3</f>
        <v>TCambioSalida</v>
      </c>
      <c r="D45" s="2070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40" zoomScaleNormal="40" workbookViewId="0">
      <pane xSplit="1" ySplit="4" topLeftCell="F78" activePane="bottomRight" state="frozen"/>
      <selection activeCell="E3" sqref="E3"/>
      <selection pane="topRight" activeCell="F3" sqref="F3"/>
      <selection pane="bottomLeft" activeCell="E7" sqref="E7"/>
      <selection pane="bottomRight" activeCell="P18" sqref="P18"/>
    </sheetView>
  </sheetViews>
  <sheetFormatPr baseColWidth="10" defaultRowHeight="21"/>
  <cols>
    <col min="1" max="1" width="20.5703125" style="1675" hidden="1" customWidth="1"/>
    <col min="2" max="2" width="28.42578125" style="1447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8" t="s">
        <v>1897</v>
      </c>
      <c r="G1" s="1448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2" spans="1:64" s="859" customFormat="1">
      <c r="A2" s="1676"/>
      <c r="B2" s="1449"/>
    </row>
    <row r="3" spans="1:64" s="1009" customFormat="1" ht="17.25" customHeight="1">
      <c r="A3" s="1677"/>
      <c r="B3" s="1450"/>
      <c r="C3" s="1010"/>
      <c r="D3" s="1010"/>
      <c r="E3" s="1010"/>
      <c r="F3" s="767"/>
      <c r="G3" s="767"/>
      <c r="H3" s="767"/>
      <c r="I3" s="767"/>
      <c r="J3" s="768"/>
      <c r="K3" s="769"/>
      <c r="L3" s="769"/>
      <c r="M3" s="767"/>
    </row>
    <row r="4" spans="1:64" s="1009" customFormat="1" ht="35.25">
      <c r="A4" s="1677"/>
      <c r="B4" s="1450"/>
      <c r="C4" s="1010"/>
      <c r="D4" s="1010"/>
      <c r="E4" s="1010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2"/>
      <c r="M4" s="770"/>
    </row>
    <row r="5" spans="1:64" s="1009" customFormat="1" ht="30">
      <c r="A5" s="1677"/>
      <c r="B5" s="1450"/>
      <c r="C5" s="1010"/>
      <c r="D5" s="1010"/>
      <c r="E5" s="1010"/>
      <c r="F5" s="1865" t="s">
        <v>1949</v>
      </c>
      <c r="G5" s="772"/>
      <c r="H5" s="772"/>
      <c r="I5" s="770"/>
      <c r="J5" s="770"/>
      <c r="K5" s="771"/>
      <c r="L5" s="1012"/>
      <c r="M5" s="770"/>
    </row>
    <row r="6" spans="1:64" s="1009" customFormat="1" ht="54" customHeight="1">
      <c r="A6" s="1677"/>
      <c r="B6" s="1450"/>
      <c r="C6" s="1010"/>
      <c r="D6" s="1010"/>
      <c r="E6" s="1010"/>
      <c r="F6" s="2242" t="s">
        <v>4294</v>
      </c>
      <c r="G6" s="2242"/>
      <c r="H6" s="2242"/>
      <c r="I6" s="2242"/>
      <c r="J6" s="2242"/>
      <c r="K6" s="2242"/>
      <c r="L6" s="2242"/>
      <c r="M6" s="2242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5"/>
      <c r="B8" s="1447"/>
      <c r="C8" s="776" t="str">
        <f ca="1">RIGHT(CELL("nombrearchivo",$A$2),LEN(CELL("nombrearchivo",$A$2))-SEARCH("]",CELL("nombrearchivo",$A$2)))</f>
        <v>Tabla IV.2.</v>
      </c>
      <c r="E8" s="765"/>
      <c r="F8" s="1784" t="str">
        <f>"Parte A. Flujos y posiciones del "&amp;Menu!D3&amp;"T"&amp;Menu!C3</f>
        <v>Parte A. Flujos y posiciones del 1T2020</v>
      </c>
      <c r="G8" s="1785"/>
      <c r="H8" s="1785"/>
      <c r="I8" s="1786"/>
      <c r="J8" s="1787"/>
      <c r="K8" s="1787"/>
      <c r="L8" s="1787"/>
      <c r="M8" s="1787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5"/>
      <c r="B9" s="1447"/>
      <c r="C9" s="2301" t="str">
        <f ca="1">RIGHT(CELL("nombrearchivo",$A$2),LEN(CELL("nombrearchivo",$A$2))-SEARCH("]",CELL("nombrearchivo",$A$2)))</f>
        <v>Tabla IV.2.</v>
      </c>
      <c r="D9" s="2302"/>
      <c r="E9" s="765"/>
      <c r="F9" s="1771" t="s">
        <v>921</v>
      </c>
      <c r="G9" s="1469"/>
      <c r="I9" s="1451"/>
      <c r="J9" s="1451"/>
      <c r="K9" s="1451"/>
      <c r="L9" s="1451"/>
      <c r="M9" s="1451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7" t="s">
        <v>894</v>
      </c>
      <c r="B10" s="1458" t="s">
        <v>895</v>
      </c>
      <c r="C10" s="1366" t="s">
        <v>68</v>
      </c>
      <c r="D10" s="1367" t="s">
        <v>69</v>
      </c>
      <c r="E10" s="777"/>
      <c r="F10" s="1768"/>
      <c r="G10" s="1766"/>
      <c r="H10" s="2376" t="str">
        <f>"Transacciones del período "&amp;Menu!E4</f>
        <v>Transacciones del período (ENE - MAR)</v>
      </c>
      <c r="I10" s="2377"/>
      <c r="J10" s="2369" t="str">
        <f>"Ingresos / Pagos en efectivo al momento de ejercer opciones que solo se liquidan en efectivo durante el periodo "&amp; Menu!E4</f>
        <v>Ingresos / Pagos en efectivo al momento de ejercer opciones que solo se liquidan en efectivo durante el periodo (ENE - MAR)</v>
      </c>
      <c r="K10" s="2357"/>
      <c r="L10" s="2369" t="str">
        <f>"Posiciones pendientes al final 
del periodo al cierre de "&amp;IF(TRIM=1,"MARZO",IF(TRIM=2,"JUNIO",IF(TRIM=3,"SETIEMBRE","DICIEMBRE")))</f>
        <v>Posiciones pendientes al final 
del periodo al cierre de MARZO</v>
      </c>
      <c r="M10" s="235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26.25" thickBot="1">
      <c r="A11" s="1675"/>
      <c r="B11" s="1690"/>
      <c r="C11" s="1453"/>
      <c r="D11" s="1453"/>
      <c r="E11" s="1408"/>
      <c r="F11" s="1769"/>
      <c r="G11" s="1767"/>
      <c r="H11" s="1454" t="s">
        <v>903</v>
      </c>
      <c r="I11" s="1455" t="s">
        <v>904</v>
      </c>
      <c r="J11" s="1454" t="s">
        <v>905</v>
      </c>
      <c r="K11" s="1456" t="s">
        <v>906</v>
      </c>
      <c r="L11" s="1454" t="s">
        <v>907</v>
      </c>
      <c r="M11" s="1456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27" thickTop="1" thickBot="1">
      <c r="B12" s="1691"/>
      <c r="C12" s="1460"/>
      <c r="D12" s="1460"/>
      <c r="E12" s="1408"/>
      <c r="F12" s="1679" t="s">
        <v>801</v>
      </c>
      <c r="G12" s="1678" t="s">
        <v>4202</v>
      </c>
      <c r="H12" s="1462" t="s">
        <v>640</v>
      </c>
      <c r="I12" s="1463" t="s">
        <v>641</v>
      </c>
      <c r="J12" s="1462" t="s">
        <v>642</v>
      </c>
      <c r="K12" s="1464" t="s">
        <v>643</v>
      </c>
      <c r="L12" s="1462" t="s">
        <v>644</v>
      </c>
      <c r="M12" s="1464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0">
        <f>+'Tabla IV.1.'!A24+1</f>
        <v>13</v>
      </c>
      <c r="B13" s="1681" t="s">
        <v>1777</v>
      </c>
      <c r="C13" s="1689">
        <v>620</v>
      </c>
      <c r="D13" s="1688" t="str">
        <f t="shared" ref="D13:D18" si="0">CONCATENATE(A13,B13)</f>
        <v>13.01.</v>
      </c>
      <c r="E13" s="1408"/>
      <c r="F13" s="1710" t="str">
        <f t="shared" ref="F13:F18" si="1">+D13</f>
        <v>13.01.</v>
      </c>
      <c r="G13" s="1729" t="s">
        <v>4204</v>
      </c>
      <c r="H13" s="1836">
        <f t="shared" ref="H13:M13" si="2">SUM(H14:H15)</f>
        <v>0</v>
      </c>
      <c r="I13" s="1837">
        <f t="shared" si="2"/>
        <v>0</v>
      </c>
      <c r="J13" s="1836">
        <f t="shared" si="2"/>
        <v>0</v>
      </c>
      <c r="K13" s="1837">
        <f t="shared" si="2"/>
        <v>0</v>
      </c>
      <c r="L13" s="1836">
        <f t="shared" si="2"/>
        <v>0</v>
      </c>
      <c r="M13" s="1838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2">
        <f>+A13</f>
        <v>13</v>
      </c>
      <c r="B14" s="1683" t="s">
        <v>1778</v>
      </c>
      <c r="C14" s="1683"/>
      <c r="D14" s="1684" t="str">
        <f t="shared" si="0"/>
        <v>13.01.01.</v>
      </c>
      <c r="E14" s="1408"/>
      <c r="F14" s="1706" t="str">
        <f t="shared" si="1"/>
        <v>13.01.01.</v>
      </c>
      <c r="G14" s="1730" t="s">
        <v>4199</v>
      </c>
      <c r="H14" s="1731"/>
      <c r="I14" s="1732"/>
      <c r="J14" s="1731"/>
      <c r="K14" s="1732"/>
      <c r="L14" s="1731"/>
      <c r="M14" s="1733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2">
        <f>+A14</f>
        <v>13</v>
      </c>
      <c r="B15" s="1683" t="s">
        <v>1779</v>
      </c>
      <c r="C15" s="1683"/>
      <c r="D15" s="1684" t="str">
        <f t="shared" si="0"/>
        <v>13.01.02.</v>
      </c>
      <c r="E15" s="1408"/>
      <c r="F15" s="1706" t="str">
        <f t="shared" si="1"/>
        <v>13.01.02.</v>
      </c>
      <c r="G15" s="1730" t="s">
        <v>4200</v>
      </c>
      <c r="H15" s="1731"/>
      <c r="I15" s="1732"/>
      <c r="J15" s="1731"/>
      <c r="K15" s="1732"/>
      <c r="L15" s="1731"/>
      <c r="M15" s="1733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2">
        <f>+A15</f>
        <v>13</v>
      </c>
      <c r="B16" s="1683" t="s">
        <v>1788</v>
      </c>
      <c r="C16" s="1684"/>
      <c r="D16" s="1684" t="str">
        <f t="shared" si="0"/>
        <v>13.01.03.</v>
      </c>
      <c r="E16" s="1408"/>
      <c r="F16" s="1709" t="str">
        <f t="shared" si="1"/>
        <v>13.01.03.</v>
      </c>
      <c r="G16" s="1728" t="s">
        <v>4203</v>
      </c>
      <c r="H16" s="1839">
        <f t="shared" ref="H16:M16" si="3">SUM(H17:H18)</f>
        <v>0</v>
      </c>
      <c r="I16" s="1840">
        <f t="shared" si="3"/>
        <v>0</v>
      </c>
      <c r="J16" s="1839">
        <f t="shared" si="3"/>
        <v>0</v>
      </c>
      <c r="K16" s="1840">
        <f t="shared" si="3"/>
        <v>0</v>
      </c>
      <c r="L16" s="1839">
        <f t="shared" si="3"/>
        <v>0</v>
      </c>
      <c r="M16" s="1841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2">
        <f>+A16</f>
        <v>13</v>
      </c>
      <c r="B17" s="1683" t="s">
        <v>1774</v>
      </c>
      <c r="C17" s="1684"/>
      <c r="D17" s="1684" t="str">
        <f t="shared" si="0"/>
        <v>13.01.03.01.</v>
      </c>
      <c r="E17" s="1408"/>
      <c r="F17" s="1706" t="str">
        <f t="shared" si="1"/>
        <v>13.01.03.01.</v>
      </c>
      <c r="G17" s="1867" t="s">
        <v>4205</v>
      </c>
      <c r="H17" s="1731"/>
      <c r="I17" s="1732"/>
      <c r="J17" s="1731"/>
      <c r="K17" s="1732"/>
      <c r="L17" s="1731"/>
      <c r="M17" s="1733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5">
        <f>+A17</f>
        <v>13</v>
      </c>
      <c r="B18" s="1686" t="s">
        <v>1775</v>
      </c>
      <c r="C18" s="1687"/>
      <c r="D18" s="1687" t="str">
        <f t="shared" si="0"/>
        <v>13.01.03.02.</v>
      </c>
      <c r="E18" s="1408"/>
      <c r="F18" s="1707" t="str">
        <f t="shared" si="1"/>
        <v>13.01.03.02.</v>
      </c>
      <c r="G18" s="1868" t="s">
        <v>4211</v>
      </c>
      <c r="H18" s="1734"/>
      <c r="I18" s="1735"/>
      <c r="J18" s="1734"/>
      <c r="K18" s="1735"/>
      <c r="L18" s="1734"/>
      <c r="M18" s="1736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5"/>
      <c r="B19" s="1447"/>
      <c r="C19" s="823"/>
      <c r="D19" s="823"/>
      <c r="E19" s="1408"/>
      <c r="F19" s="1408"/>
      <c r="G19" s="1408"/>
      <c r="H19" s="1466"/>
      <c r="I19" s="1466"/>
      <c r="J19" s="1466"/>
      <c r="K19" s="1466"/>
      <c r="L19" s="1466"/>
      <c r="M19" s="1466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5"/>
      <c r="B20" s="1447"/>
      <c r="C20" s="823"/>
      <c r="D20" s="823"/>
      <c r="E20" s="1408"/>
      <c r="F20" s="1467"/>
      <c r="G20" s="1467"/>
      <c r="H20" s="1467"/>
      <c r="I20" s="1467"/>
      <c r="J20" s="1467"/>
      <c r="K20" s="1467"/>
      <c r="L20" s="1467"/>
      <c r="M20" s="1467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5"/>
      <c r="B21" s="1447"/>
      <c r="C21" s="823"/>
      <c r="D21" s="823"/>
      <c r="E21" s="1408"/>
      <c r="F21" s="1408"/>
      <c r="G21" s="1408"/>
      <c r="H21" s="1466"/>
      <c r="I21" s="1466"/>
      <c r="J21" s="1466"/>
      <c r="K21" s="1466"/>
      <c r="L21" s="1466"/>
      <c r="M21" s="1466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5"/>
      <c r="B22" s="1447"/>
      <c r="C22" s="1468"/>
      <c r="D22" s="1468"/>
      <c r="E22" s="1408"/>
      <c r="F22" s="1771" t="s">
        <v>922</v>
      </c>
      <c r="G22" s="1469"/>
      <c r="J22" s="1470"/>
      <c r="K22" s="1470"/>
      <c r="L22" s="1470"/>
      <c r="M22" s="1470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5"/>
      <c r="B23" s="1447"/>
      <c r="C23" s="2301" t="str">
        <f ca="1">RIGHT(CELL("nombrearchivo",$A$2),LEN(CELL("nombrearchivo",$A$2))-SEARCH("]",CELL("nombrearchivo",$A$2)))</f>
        <v>Tabla IV.2.</v>
      </c>
      <c r="D23" s="2302"/>
      <c r="E23" s="1408"/>
      <c r="F23" s="1763"/>
      <c r="G23" s="1764"/>
      <c r="H23" s="2369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(ENE - MAR)</v>
      </c>
      <c r="I23" s="2378"/>
      <c r="J23" s="2378"/>
      <c r="K23" s="2357"/>
      <c r="L23" s="2356" t="str">
        <f>"Posiciones pendientes al 
final del periodo al cierre de "&amp;IF(TRIM=1,"MARZO",IF(TRIM=2,"JUNIO",IF(TRIM=3,"SETIEMBRE","DICIEMBRE")))</f>
        <v>Posiciones pendientes al 
final del periodo al cierre de MARZO</v>
      </c>
      <c r="M23" s="2357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7" t="s">
        <v>894</v>
      </c>
      <c r="B24" s="1457" t="s">
        <v>895</v>
      </c>
      <c r="C24" s="1366" t="s">
        <v>68</v>
      </c>
      <c r="D24" s="1367" t="s">
        <v>69</v>
      </c>
      <c r="E24" s="1408"/>
      <c r="F24" s="1765"/>
      <c r="G24" s="1762"/>
      <c r="H24" s="2364" t="s">
        <v>905</v>
      </c>
      <c r="I24" s="2365"/>
      <c r="J24" s="2372" t="s">
        <v>906</v>
      </c>
      <c r="K24" s="2373"/>
      <c r="L24" s="1694" t="s">
        <v>907</v>
      </c>
      <c r="M24" s="1672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5"/>
      <c r="B25" s="1447"/>
      <c r="C25" s="1692"/>
      <c r="D25" s="1693"/>
      <c r="E25" s="1408"/>
      <c r="F25" s="1461" t="s">
        <v>801</v>
      </c>
      <c r="G25" s="1678" t="str">
        <f t="shared" ref="G25:G31" si="4">G12</f>
        <v xml:space="preserve">UNIDAD DECLARANTE RESIDENTE Y TIPO DE OPERACIÓN </v>
      </c>
      <c r="H25" s="2374" t="s">
        <v>640</v>
      </c>
      <c r="I25" s="2375"/>
      <c r="J25" s="2366" t="s">
        <v>641</v>
      </c>
      <c r="K25" s="2367"/>
      <c r="L25" s="1462" t="s">
        <v>642</v>
      </c>
      <c r="M25" s="1673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5">
        <f>+A13</f>
        <v>13</v>
      </c>
      <c r="B26" s="1696" t="s">
        <v>1780</v>
      </c>
      <c r="C26" s="1698">
        <v>620</v>
      </c>
      <c r="D26" s="1699" t="str">
        <f t="shared" ref="D26:D31" si="5">CONCATENATE(A26,B26)</f>
        <v>13.02.</v>
      </c>
      <c r="E26" s="1408"/>
      <c r="F26" s="1708" t="str">
        <f t="shared" ref="F26:F31" si="6">+D26</f>
        <v>13.02.</v>
      </c>
      <c r="G26" s="1729" t="str">
        <f t="shared" si="4"/>
        <v>Empresa bancaria como contraparte frente a no residentes</v>
      </c>
      <c r="H26" s="2370">
        <f>SUM(H27:H28)</f>
        <v>0</v>
      </c>
      <c r="I26" s="2371"/>
      <c r="J26" s="2358">
        <f>SUM(J27:J28)</f>
        <v>0</v>
      </c>
      <c r="K26" s="2359"/>
      <c r="L26" s="1834">
        <f>SUM(L27:L28)</f>
        <v>0</v>
      </c>
      <c r="M26" s="1966">
        <f>SUM(M27:M28)</f>
        <v>0</v>
      </c>
      <c r="N26" s="1042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0">
        <f>+A26</f>
        <v>13</v>
      </c>
      <c r="B27" s="1683" t="s">
        <v>1781</v>
      </c>
      <c r="C27" s="1684"/>
      <c r="D27" s="1684" t="str">
        <f t="shared" si="5"/>
        <v>13.02.01.</v>
      </c>
      <c r="E27" s="1408"/>
      <c r="F27" s="1706" t="str">
        <f t="shared" si="6"/>
        <v>13.02.01.</v>
      </c>
      <c r="G27" s="1730" t="str">
        <f t="shared" si="4"/>
        <v>Operaciones de negociación</v>
      </c>
      <c r="H27" s="2311"/>
      <c r="I27" s="2368"/>
      <c r="J27" s="2362"/>
      <c r="K27" s="2313"/>
      <c r="L27" s="1967"/>
      <c r="M27" s="1961"/>
      <c r="N27" s="1042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0">
        <f>+A27</f>
        <v>13</v>
      </c>
      <c r="B28" s="1683" t="s">
        <v>1782</v>
      </c>
      <c r="C28" s="1684"/>
      <c r="D28" s="1684" t="str">
        <f t="shared" si="5"/>
        <v>13.02.02.</v>
      </c>
      <c r="E28" s="1408"/>
      <c r="F28" s="1706" t="str">
        <f t="shared" si="6"/>
        <v>13.02.02.</v>
      </c>
      <c r="G28" s="1730" t="str">
        <f t="shared" si="4"/>
        <v>Operaciones no de negociación (incluye operaciones de cobertura)</v>
      </c>
      <c r="H28" s="2308"/>
      <c r="I28" s="2360"/>
      <c r="J28" s="2363"/>
      <c r="K28" s="2310"/>
      <c r="L28" s="1968"/>
      <c r="M28" s="1960"/>
      <c r="N28" s="1042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0">
        <f>+A28</f>
        <v>13</v>
      </c>
      <c r="B29" s="1683" t="s">
        <v>4152</v>
      </c>
      <c r="C29" s="1684"/>
      <c r="D29" s="1684" t="str">
        <f t="shared" si="5"/>
        <v>13.02.03.</v>
      </c>
      <c r="E29" s="1408"/>
      <c r="F29" s="1709" t="str">
        <f t="shared" si="6"/>
        <v>13.02.03.</v>
      </c>
      <c r="G29" s="1728" t="str">
        <f t="shared" si="4"/>
        <v xml:space="preserve">Empresa no bancaria </v>
      </c>
      <c r="H29" s="2316">
        <f>SUM(H30:H31)</f>
        <v>0</v>
      </c>
      <c r="I29" s="2361"/>
      <c r="J29" s="2317">
        <f>SUM(J30:J31)</f>
        <v>0</v>
      </c>
      <c r="K29" s="2318"/>
      <c r="L29" s="1835">
        <f>SUM(L30:L31)</f>
        <v>0</v>
      </c>
      <c r="M29" s="1962">
        <f>SUM(M30:M31)</f>
        <v>0</v>
      </c>
      <c r="N29" s="1042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0">
        <f>+A29</f>
        <v>13</v>
      </c>
      <c r="B30" s="1683" t="s">
        <v>4153</v>
      </c>
      <c r="C30" s="1684"/>
      <c r="D30" s="1684" t="str">
        <f t="shared" si="5"/>
        <v>13.02.03.01.</v>
      </c>
      <c r="E30" s="1408"/>
      <c r="F30" s="1706" t="str">
        <f t="shared" si="6"/>
        <v>13.02.03.01.</v>
      </c>
      <c r="G30" s="1867" t="str">
        <f t="shared" si="4"/>
        <v>Operaciones con contraparte no residente</v>
      </c>
      <c r="H30" s="2311"/>
      <c r="I30" s="2368"/>
      <c r="J30" s="2362"/>
      <c r="K30" s="2313"/>
      <c r="L30" s="1967"/>
      <c r="M30" s="1961"/>
      <c r="N30" s="1042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1">
        <f>+A30</f>
        <v>13</v>
      </c>
      <c r="B31" s="1702" t="s">
        <v>4154</v>
      </c>
      <c r="C31" s="1703"/>
      <c r="D31" s="1703" t="str">
        <f t="shared" si="5"/>
        <v>13.02.03.02.</v>
      </c>
      <c r="E31" s="1408"/>
      <c r="F31" s="1707" t="str">
        <f t="shared" si="6"/>
        <v>13.02.03.02.</v>
      </c>
      <c r="G31" s="1868" t="str">
        <f t="shared" si="4"/>
        <v>Operaciones con contraparte inmediata residente (p.ej. con la banca local)</v>
      </c>
      <c r="H31" s="2344"/>
      <c r="I31" s="2383"/>
      <c r="J31" s="2384"/>
      <c r="K31" s="2346"/>
      <c r="L31" s="1969"/>
      <c r="M31" s="1963"/>
      <c r="N31" s="1042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5"/>
      <c r="B32" s="1447"/>
      <c r="C32" s="823"/>
      <c r="D32" s="823"/>
      <c r="E32" s="1408"/>
      <c r="F32" s="1408"/>
      <c r="G32" s="1408"/>
      <c r="H32" s="1466"/>
      <c r="I32" s="1466"/>
      <c r="J32" s="1466"/>
      <c r="K32" s="1466"/>
      <c r="L32" s="1466"/>
      <c r="M32" s="1466"/>
      <c r="N32" s="1042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5"/>
      <c r="B33" s="1447"/>
      <c r="C33" s="823"/>
      <c r="D33" s="823"/>
      <c r="E33" s="1408"/>
      <c r="F33" s="1467"/>
      <c r="G33" s="1467"/>
      <c r="H33" s="1467"/>
      <c r="I33" s="1467"/>
      <c r="J33" s="1467"/>
      <c r="K33" s="1467"/>
      <c r="L33" s="1467"/>
      <c r="M33" s="1467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5"/>
      <c r="B34" s="1447"/>
      <c r="C34" s="823"/>
      <c r="D34" s="823"/>
      <c r="E34" s="1408"/>
      <c r="F34" s="1408"/>
      <c r="G34" s="1408"/>
      <c r="H34" s="1466"/>
      <c r="I34" s="1466"/>
      <c r="J34" s="1466"/>
      <c r="K34" s="1466"/>
      <c r="L34" s="1466"/>
      <c r="M34" s="1466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5"/>
      <c r="B35" s="1447"/>
      <c r="C35" s="823"/>
      <c r="D35" s="823"/>
      <c r="E35" s="1408"/>
      <c r="F35" s="1771" t="s">
        <v>4172</v>
      </c>
      <c r="G35" s="1469"/>
      <c r="I35" s="1470"/>
      <c r="J35" s="1470"/>
      <c r="K35" s="1470"/>
      <c r="L35" s="1470"/>
      <c r="M35" s="1470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5"/>
      <c r="B36" s="1447"/>
      <c r="C36" s="2301" t="str">
        <f ca="1">RIGHT(CELL("nombrearchivo",$A$2),LEN(CELL("nombrearchivo",$A$2))-SEARCH("]",CELL("nombrearchivo",$A$2)))</f>
        <v>Tabla IV.2.</v>
      </c>
      <c r="D36" s="2302"/>
      <c r="E36" s="1408"/>
      <c r="F36" s="1770"/>
      <c r="G36" s="1761"/>
      <c r="H36" s="2379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(ENE - MAR)</v>
      </c>
      <c r="I36" s="2380"/>
      <c r="J36" s="2380"/>
      <c r="K36" s="2381"/>
      <c r="L36" s="2382" t="str">
        <f>"Posiciones pendientes al 
final del periodo al cierre de "&amp;IF(TRIM=1,"MARZO",IF(TRIM=2,"JUNIO",IF(TRIM=3,"SETIEMBRE","DICIEMBRE")))</f>
        <v>Posiciones pendientes al 
final del periodo al cierre de MARZO</v>
      </c>
      <c r="M36" s="2381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7" t="s">
        <v>894</v>
      </c>
      <c r="B37" s="1457" t="s">
        <v>895</v>
      </c>
      <c r="C37" s="1366" t="s">
        <v>68</v>
      </c>
      <c r="D37" s="1367" t="s">
        <v>69</v>
      </c>
      <c r="E37" s="1408"/>
      <c r="F37" s="1765"/>
      <c r="G37" s="1762"/>
      <c r="H37" s="2324" t="s">
        <v>905</v>
      </c>
      <c r="I37" s="2325"/>
      <c r="J37" s="2326" t="s">
        <v>906</v>
      </c>
      <c r="K37" s="2327"/>
      <c r="L37" s="1471" t="s">
        <v>907</v>
      </c>
      <c r="M37" s="1472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5"/>
      <c r="B38" s="1447"/>
      <c r="C38" s="823"/>
      <c r="D38" s="823"/>
      <c r="E38" s="1408"/>
      <c r="F38" s="1461" t="s">
        <v>801</v>
      </c>
      <c r="G38" s="1678" t="str">
        <f t="shared" ref="G38:G44" si="7">G12</f>
        <v xml:space="preserve">UNIDAD DECLARANTE RESIDENTE Y TIPO DE OPERACIÓN </v>
      </c>
      <c r="H38" s="2331" t="s">
        <v>640</v>
      </c>
      <c r="I38" s="2331"/>
      <c r="J38" s="2354" t="s">
        <v>641</v>
      </c>
      <c r="K38" s="2355"/>
      <c r="L38" s="1473" t="s">
        <v>642</v>
      </c>
      <c r="M38" s="1674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5">
        <f>+A26</f>
        <v>13</v>
      </c>
      <c r="B39" s="1696" t="s">
        <v>1783</v>
      </c>
      <c r="C39" s="1698">
        <v>620</v>
      </c>
      <c r="D39" s="1699" t="str">
        <f t="shared" ref="D39:D44" si="8">CONCATENATE(A39,B39)</f>
        <v>13.03.</v>
      </c>
      <c r="E39" s="1408"/>
      <c r="F39" s="1708" t="str">
        <f t="shared" ref="F39:F44" si="9">+D39</f>
        <v>13.03.</v>
      </c>
      <c r="G39" s="1729" t="str">
        <f t="shared" si="7"/>
        <v>Empresa bancaria como contraparte frente a no residentes</v>
      </c>
      <c r="H39" s="2328">
        <f>SUM(H40:I41)</f>
        <v>0</v>
      </c>
      <c r="I39" s="2328"/>
      <c r="J39" s="2329">
        <f>SUM(J40:K41)</f>
        <v>0</v>
      </c>
      <c r="K39" s="2330"/>
      <c r="L39" s="1832">
        <f>SUM(L40:L41)</f>
        <v>0</v>
      </c>
      <c r="M39" s="1964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0">
        <f>+A39</f>
        <v>13</v>
      </c>
      <c r="B40" s="1683" t="s">
        <v>1784</v>
      </c>
      <c r="C40" s="1684"/>
      <c r="D40" s="1684" t="str">
        <f t="shared" si="8"/>
        <v>13.03.01.</v>
      </c>
      <c r="E40" s="1408"/>
      <c r="F40" s="1706" t="str">
        <f t="shared" si="9"/>
        <v>13.03.01.</v>
      </c>
      <c r="G40" s="1730" t="str">
        <f t="shared" si="7"/>
        <v>Operaciones de negociación</v>
      </c>
      <c r="H40" s="2336"/>
      <c r="I40" s="2337"/>
      <c r="J40" s="2350"/>
      <c r="K40" s="2351"/>
      <c r="L40" s="1805"/>
      <c r="M40" s="1804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0">
        <f>+A40</f>
        <v>13</v>
      </c>
      <c r="B41" s="1683" t="s">
        <v>1785</v>
      </c>
      <c r="C41" s="1684"/>
      <c r="D41" s="1684" t="str">
        <f t="shared" si="8"/>
        <v>13.03.02.</v>
      </c>
      <c r="E41" s="1408"/>
      <c r="F41" s="1706" t="str">
        <f t="shared" si="9"/>
        <v>13.03.02.</v>
      </c>
      <c r="G41" s="1730" t="str">
        <f t="shared" si="7"/>
        <v>Operaciones no de negociación (incluye operaciones de cobertura)</v>
      </c>
      <c r="H41" s="2336"/>
      <c r="I41" s="2337"/>
      <c r="J41" s="2350"/>
      <c r="K41" s="2351"/>
      <c r="L41" s="1805"/>
      <c r="M41" s="1804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0">
        <f>+A41</f>
        <v>13</v>
      </c>
      <c r="B42" s="1683" t="s">
        <v>4155</v>
      </c>
      <c r="C42" s="1684"/>
      <c r="D42" s="1684" t="str">
        <f t="shared" si="8"/>
        <v>13.03.03.</v>
      </c>
      <c r="E42" s="1408"/>
      <c r="F42" s="1709" t="str">
        <f t="shared" si="9"/>
        <v>13.03.03.</v>
      </c>
      <c r="G42" s="1728" t="str">
        <f t="shared" si="7"/>
        <v xml:space="preserve">Empresa no bancaria </v>
      </c>
      <c r="H42" s="2332">
        <f>SUM(H43:I44)</f>
        <v>0</v>
      </c>
      <c r="I42" s="2333"/>
      <c r="J42" s="2334">
        <f>SUM(J43:K44)</f>
        <v>0</v>
      </c>
      <c r="K42" s="2335"/>
      <c r="L42" s="1833">
        <f>SUM(L43:L44)</f>
        <v>0</v>
      </c>
      <c r="M42" s="1965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0">
        <f>+A42</f>
        <v>13</v>
      </c>
      <c r="B43" s="1683" t="s">
        <v>4156</v>
      </c>
      <c r="C43" s="1684"/>
      <c r="D43" s="1684" t="str">
        <f t="shared" si="8"/>
        <v>13.03.03.01.</v>
      </c>
      <c r="E43" s="1408"/>
      <c r="F43" s="1706" t="str">
        <f t="shared" si="9"/>
        <v>13.03.03.01.</v>
      </c>
      <c r="G43" s="1867" t="str">
        <f t="shared" si="7"/>
        <v>Operaciones con contraparte no residente</v>
      </c>
      <c r="H43" s="2336"/>
      <c r="I43" s="2337"/>
      <c r="J43" s="2350"/>
      <c r="K43" s="2351"/>
      <c r="L43" s="1805"/>
      <c r="M43" s="1804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1">
        <f>+A43</f>
        <v>13</v>
      </c>
      <c r="B44" s="1702" t="s">
        <v>4157</v>
      </c>
      <c r="C44" s="1703"/>
      <c r="D44" s="1703" t="str">
        <f t="shared" si="8"/>
        <v>13.03.03.02.</v>
      </c>
      <c r="E44" s="1408"/>
      <c r="F44" s="1707" t="str">
        <f t="shared" si="9"/>
        <v>13.03.03.02.</v>
      </c>
      <c r="G44" s="1868" t="str">
        <f t="shared" si="7"/>
        <v>Operaciones con contraparte inmediata residente (p.ej. con la banca local)</v>
      </c>
      <c r="H44" s="2322"/>
      <c r="I44" s="2323"/>
      <c r="J44" s="2352"/>
      <c r="K44" s="2353"/>
      <c r="L44" s="1806"/>
      <c r="M44" s="1807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5"/>
      <c r="B45" s="1447"/>
      <c r="C45" s="823"/>
      <c r="D45" s="823"/>
      <c r="E45" s="1408"/>
      <c r="F45" s="1408"/>
      <c r="G45" s="1408"/>
      <c r="H45" s="1737"/>
      <c r="I45" s="1737"/>
      <c r="J45" s="1466"/>
      <c r="K45" s="1466"/>
      <c r="L45" s="1466"/>
      <c r="M45" s="1466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5"/>
      <c r="B46" s="1447"/>
      <c r="C46" s="823"/>
      <c r="D46" s="823"/>
      <c r="E46" s="1408"/>
      <c r="F46" s="1467"/>
      <c r="G46" s="1467"/>
      <c r="H46" s="1467"/>
      <c r="I46" s="1467"/>
      <c r="J46" s="1467"/>
      <c r="K46" s="1467"/>
      <c r="L46" s="1467"/>
      <c r="M46" s="1467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5"/>
      <c r="B47" s="1447"/>
      <c r="C47" s="823"/>
      <c r="D47" s="823"/>
      <c r="E47" s="1408"/>
      <c r="F47" s="1408"/>
      <c r="G47" s="1408"/>
      <c r="H47" s="1466"/>
      <c r="I47" s="1466"/>
      <c r="J47" s="1466"/>
      <c r="K47" s="1466"/>
      <c r="L47" s="1466"/>
      <c r="M47" s="1466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33">
      <c r="A48" s="1675"/>
      <c r="B48" s="1447"/>
      <c r="D48" s="1438"/>
      <c r="E48" s="765"/>
      <c r="F48" s="1781" t="str">
        <f>"PARTE B. Posiciones para recibir y pagar moneda extranjera al cierre del "&amp;Menu!D3&amp;"T"&amp;Menu!C3</f>
        <v>PARTE B. Posiciones para recibir y pagar moneda extranjera al cierre del 1T2020</v>
      </c>
      <c r="G48" s="1782"/>
      <c r="H48" s="1782"/>
      <c r="I48" s="1783"/>
      <c r="J48" s="1783"/>
      <c r="K48" s="1783"/>
      <c r="L48" s="1783"/>
      <c r="M48" s="1783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33.75" thickBot="1">
      <c r="A49" s="1675"/>
      <c r="B49" s="1447"/>
      <c r="D49" s="1438"/>
      <c r="E49" s="765"/>
      <c r="F49" s="1781" t="s">
        <v>1623</v>
      </c>
      <c r="G49" s="1782"/>
      <c r="H49" s="1782"/>
      <c r="I49" s="1783"/>
      <c r="J49" s="1783"/>
      <c r="K49" s="1783"/>
      <c r="L49" s="1783"/>
      <c r="M49" s="1783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1.5" thickTop="1" thickBot="1">
      <c r="A50" s="1675"/>
      <c r="B50" s="1447"/>
      <c r="D50" s="1438"/>
      <c r="E50" s="765"/>
      <c r="F50" s="1771" t="s">
        <v>4173</v>
      </c>
      <c r="G50" s="1474"/>
      <c r="H50" s="1474"/>
      <c r="I50" s="1474"/>
      <c r="J50" s="1469"/>
      <c r="K50" s="1470"/>
      <c r="L50" s="1470"/>
      <c r="M50" s="1470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6"/>
      <c r="B51" s="1449"/>
      <c r="C51" s="2301" t="str">
        <f ca="1">RIGHT(CELL("nombrearchivo",$A$2),LEN(CELL("nombrearchivo",$A$2))-SEARCH("]",CELL("nombrearchivo",$A$2)))</f>
        <v>Tabla IV.2.</v>
      </c>
      <c r="D51" s="2302"/>
      <c r="F51" s="1774"/>
      <c r="G51" s="1772"/>
      <c r="H51" s="1772"/>
      <c r="I51" s="1772"/>
      <c r="J51" s="1773"/>
      <c r="K51" s="2314" t="str">
        <f>"POSICIONES PENDIENTES 
AL FINAL DE "&amp;IF(TRIM=1,"MARZO",IF(TRIM=2,"JUNIO",IF(TRIM=3,"SETIEMBRE","DICIEMBRE")))&amp;" "&amp;Menu!C3</f>
        <v>POSICIONES PENDIENTES 
AL FINAL DE MARZO 2020</v>
      </c>
      <c r="L51" s="2314"/>
      <c r="M51" s="2315"/>
    </row>
    <row r="52" spans="1:64" s="859" customFormat="1" ht="37.5" customHeight="1" thickTop="1" thickBot="1">
      <c r="A52" s="1457" t="s">
        <v>894</v>
      </c>
      <c r="B52" s="1457" t="s">
        <v>895</v>
      </c>
      <c r="C52" s="1366" t="s">
        <v>68</v>
      </c>
      <c r="D52" s="1367" t="s">
        <v>69</v>
      </c>
      <c r="F52" s="1461" t="s">
        <v>801</v>
      </c>
      <c r="G52" s="2319" t="s">
        <v>4206</v>
      </c>
      <c r="H52" s="2320"/>
      <c r="I52" s="2320"/>
      <c r="J52" s="2321"/>
      <c r="K52" s="2338" t="s">
        <v>795</v>
      </c>
      <c r="L52" s="2339"/>
      <c r="M52" s="2340"/>
    </row>
    <row r="53" spans="1:64" s="859" customFormat="1" ht="37.5" customHeight="1" thickTop="1">
      <c r="A53" s="1695">
        <f>+A39+1</f>
        <v>14</v>
      </c>
      <c r="B53" s="1696" t="s">
        <v>1777</v>
      </c>
      <c r="C53" s="1452"/>
      <c r="D53" s="1475" t="str">
        <f t="shared" ref="D53:D66" si="10">CONCATENATE(A53,B53)</f>
        <v>14.01.</v>
      </c>
      <c r="F53" s="1476" t="str">
        <f t="shared" ref="F53:F66" si="11">+D53</f>
        <v>14.01.</v>
      </c>
      <c r="G53" s="1760" t="str">
        <f>+G14</f>
        <v>Operaciones de negociación</v>
      </c>
      <c r="H53" s="1704"/>
      <c r="I53" s="1477"/>
      <c r="J53" s="1478"/>
      <c r="K53" s="2341">
        <f>+K54+K57</f>
        <v>0</v>
      </c>
      <c r="L53" s="2342"/>
      <c r="M53" s="2343"/>
    </row>
    <row r="54" spans="1:64" s="859" customFormat="1" ht="37.5" customHeight="1">
      <c r="A54" s="1700">
        <f>+A53</f>
        <v>14</v>
      </c>
      <c r="B54" s="1683" t="s">
        <v>1778</v>
      </c>
      <c r="C54" s="1479"/>
      <c r="D54" s="1480" t="str">
        <f t="shared" si="10"/>
        <v>14.01.01.</v>
      </c>
      <c r="F54" s="1827" t="str">
        <f t="shared" si="11"/>
        <v>14.01.01.</v>
      </c>
      <c r="G54" s="1828" t="s">
        <v>4170</v>
      </c>
      <c r="H54" s="1829"/>
      <c r="I54" s="1830"/>
      <c r="J54" s="1831"/>
      <c r="K54" s="2316">
        <f>SUM(K55:M56)</f>
        <v>0</v>
      </c>
      <c r="L54" s="2317"/>
      <c r="M54" s="2318"/>
    </row>
    <row r="55" spans="1:64" s="859" customFormat="1" ht="37.5" customHeight="1">
      <c r="A55" s="1700">
        <f>+A54</f>
        <v>14</v>
      </c>
      <c r="B55" s="1683" t="s">
        <v>890</v>
      </c>
      <c r="C55" s="1479"/>
      <c r="D55" s="1480" t="str">
        <f t="shared" si="10"/>
        <v>14.01.01.01.</v>
      </c>
      <c r="F55" s="1481" t="str">
        <f t="shared" si="11"/>
        <v>14.01.01.01.</v>
      </c>
      <c r="G55" s="1759" t="s">
        <v>4180</v>
      </c>
      <c r="H55" s="1705"/>
      <c r="I55" s="1482"/>
      <c r="J55" s="1483"/>
      <c r="K55" s="2311"/>
      <c r="L55" s="2312"/>
      <c r="M55" s="2313"/>
    </row>
    <row r="56" spans="1:64" s="859" customFormat="1" ht="37.5" customHeight="1">
      <c r="A56" s="1697">
        <f t="shared" ref="A56:A66" si="12">+A55</f>
        <v>14</v>
      </c>
      <c r="B56" s="1683" t="s">
        <v>896</v>
      </c>
      <c r="C56" s="1479"/>
      <c r="D56" s="1480" t="str">
        <f t="shared" si="10"/>
        <v>14.01.01.02.</v>
      </c>
      <c r="F56" s="1484" t="str">
        <f t="shared" si="11"/>
        <v>14.01.01.02.</v>
      </c>
      <c r="G56" s="1759" t="s">
        <v>271</v>
      </c>
      <c r="H56" s="1705"/>
      <c r="I56" s="1482"/>
      <c r="J56" s="1483"/>
      <c r="K56" s="2311"/>
      <c r="L56" s="2312"/>
      <c r="M56" s="2313"/>
    </row>
    <row r="57" spans="1:64" s="859" customFormat="1" ht="37.5" customHeight="1">
      <c r="A57" s="1697">
        <f t="shared" si="12"/>
        <v>14</v>
      </c>
      <c r="B57" s="1683" t="s">
        <v>1779</v>
      </c>
      <c r="C57" s="1479"/>
      <c r="D57" s="1480" t="str">
        <f t="shared" si="10"/>
        <v>14.01.02.</v>
      </c>
      <c r="F57" s="1827" t="str">
        <f t="shared" si="11"/>
        <v>14.01.02.</v>
      </c>
      <c r="G57" s="1828" t="s">
        <v>4171</v>
      </c>
      <c r="H57" s="1829"/>
      <c r="I57" s="1830"/>
      <c r="J57" s="1831"/>
      <c r="K57" s="2316">
        <f>SUM(K58:M59)</f>
        <v>0</v>
      </c>
      <c r="L57" s="2317"/>
      <c r="M57" s="2318"/>
    </row>
    <row r="58" spans="1:64" s="859" customFormat="1" ht="37.5" customHeight="1">
      <c r="A58" s="1697">
        <f t="shared" si="12"/>
        <v>14</v>
      </c>
      <c r="B58" s="1683" t="s">
        <v>1809</v>
      </c>
      <c r="C58" s="1479"/>
      <c r="D58" s="1480" t="str">
        <f t="shared" si="10"/>
        <v>14.01.02.01</v>
      </c>
      <c r="F58" s="1484" t="str">
        <f t="shared" si="11"/>
        <v>14.01.02.01</v>
      </c>
      <c r="G58" s="1759" t="s">
        <v>4180</v>
      </c>
      <c r="H58" s="1705"/>
      <c r="I58" s="1482"/>
      <c r="J58" s="1483"/>
      <c r="K58" s="2311"/>
      <c r="L58" s="2312"/>
      <c r="M58" s="2313"/>
    </row>
    <row r="59" spans="1:64" s="859" customFormat="1" ht="37.5" customHeight="1">
      <c r="A59" s="1697">
        <f t="shared" si="12"/>
        <v>14</v>
      </c>
      <c r="B59" s="1683" t="s">
        <v>1810</v>
      </c>
      <c r="C59" s="1479"/>
      <c r="D59" s="1480" t="str">
        <f t="shared" si="10"/>
        <v>14.01.02.02</v>
      </c>
      <c r="F59" s="1484" t="str">
        <f t="shared" si="11"/>
        <v>14.01.02.02</v>
      </c>
      <c r="G59" s="1759" t="s">
        <v>271</v>
      </c>
      <c r="H59" s="1705"/>
      <c r="I59" s="1757"/>
      <c r="J59" s="1758"/>
      <c r="K59" s="2308"/>
      <c r="L59" s="2309"/>
      <c r="M59" s="2310"/>
    </row>
    <row r="60" spans="1:64" s="859" customFormat="1" ht="37.5" customHeight="1">
      <c r="A60" s="1697">
        <f t="shared" si="12"/>
        <v>14</v>
      </c>
      <c r="B60" s="1683" t="s">
        <v>1780</v>
      </c>
      <c r="C60" s="1479"/>
      <c r="D60" s="1480" t="str">
        <f t="shared" si="10"/>
        <v>14.02.</v>
      </c>
      <c r="F60" s="1748" t="str">
        <f t="shared" si="11"/>
        <v>14.02.</v>
      </c>
      <c r="G60" s="1760" t="str">
        <f>+G15</f>
        <v>Operaciones no de negociación (incluye operaciones de cobertura)</v>
      </c>
      <c r="H60" s="1704"/>
      <c r="I60" s="1477"/>
      <c r="J60" s="1478"/>
      <c r="K60" s="2347">
        <f>+K61+K64</f>
        <v>0</v>
      </c>
      <c r="L60" s="2348"/>
      <c r="M60" s="2349"/>
    </row>
    <row r="61" spans="1:64" s="859" customFormat="1" ht="37.5" customHeight="1">
      <c r="A61" s="1697">
        <f t="shared" si="12"/>
        <v>14</v>
      </c>
      <c r="B61" s="1683" t="s">
        <v>1781</v>
      </c>
      <c r="C61" s="1479"/>
      <c r="D61" s="1480" t="str">
        <f t="shared" si="10"/>
        <v>14.02.01.</v>
      </c>
      <c r="F61" s="1827" t="str">
        <f t="shared" si="11"/>
        <v>14.02.01.</v>
      </c>
      <c r="G61" s="1828" t="s">
        <v>4170</v>
      </c>
      <c r="H61" s="1829"/>
      <c r="I61" s="1830"/>
      <c r="J61" s="1831"/>
      <c r="K61" s="2316">
        <f>SUM(K62:M63)</f>
        <v>0</v>
      </c>
      <c r="L61" s="2317"/>
      <c r="M61" s="2318"/>
    </row>
    <row r="62" spans="1:64" s="859" customFormat="1" ht="37.5" customHeight="1">
      <c r="A62" s="1697">
        <f t="shared" si="12"/>
        <v>14</v>
      </c>
      <c r="B62" s="1683" t="s">
        <v>892</v>
      </c>
      <c r="C62" s="1479"/>
      <c r="D62" s="1480" t="str">
        <f t="shared" si="10"/>
        <v>14.02.01.01.</v>
      </c>
      <c r="F62" s="1481" t="str">
        <f t="shared" si="11"/>
        <v>14.02.01.01.</v>
      </c>
      <c r="G62" s="1759" t="s">
        <v>4180</v>
      </c>
      <c r="H62" s="1705"/>
      <c r="I62" s="1482"/>
      <c r="J62" s="1483"/>
      <c r="K62" s="2311"/>
      <c r="L62" s="2312"/>
      <c r="M62" s="2313"/>
    </row>
    <row r="63" spans="1:64" s="859" customFormat="1" ht="37.5" customHeight="1">
      <c r="A63" s="1697">
        <f t="shared" si="12"/>
        <v>14</v>
      </c>
      <c r="B63" s="1683" t="s">
        <v>897</v>
      </c>
      <c r="C63" s="1479"/>
      <c r="D63" s="1480" t="str">
        <f t="shared" si="10"/>
        <v>14.02.01.02.</v>
      </c>
      <c r="F63" s="1484" t="str">
        <f t="shared" si="11"/>
        <v>14.02.01.02.</v>
      </c>
      <c r="G63" s="1759" t="s">
        <v>271</v>
      </c>
      <c r="H63" s="1705"/>
      <c r="I63" s="1482"/>
      <c r="J63" s="1483"/>
      <c r="K63" s="2311"/>
      <c r="L63" s="2312"/>
      <c r="M63" s="2313"/>
    </row>
    <row r="64" spans="1:64" s="859" customFormat="1" ht="37.5" customHeight="1">
      <c r="A64" s="1697">
        <f t="shared" si="12"/>
        <v>14</v>
      </c>
      <c r="B64" s="1683" t="s">
        <v>1782</v>
      </c>
      <c r="C64" s="1479"/>
      <c r="D64" s="1480" t="str">
        <f t="shared" si="10"/>
        <v>14.02.02.</v>
      </c>
      <c r="F64" s="1827" t="str">
        <f t="shared" si="11"/>
        <v>14.02.02.</v>
      </c>
      <c r="G64" s="1828" t="s">
        <v>4171</v>
      </c>
      <c r="H64" s="1829"/>
      <c r="I64" s="1830"/>
      <c r="J64" s="1831"/>
      <c r="K64" s="2316">
        <f>SUM(K65:M66)</f>
        <v>0</v>
      </c>
      <c r="L64" s="2317"/>
      <c r="M64" s="2318"/>
    </row>
    <row r="65" spans="1:13" s="859" customFormat="1" ht="37.5" customHeight="1">
      <c r="A65" s="1697">
        <f t="shared" si="12"/>
        <v>14</v>
      </c>
      <c r="B65" s="1683" t="s">
        <v>4175</v>
      </c>
      <c r="C65" s="1479"/>
      <c r="D65" s="1480" t="str">
        <f t="shared" si="10"/>
        <v>14.02.02.01</v>
      </c>
      <c r="F65" s="1484" t="str">
        <f t="shared" si="11"/>
        <v>14.02.02.01</v>
      </c>
      <c r="G65" s="1759" t="s">
        <v>4180</v>
      </c>
      <c r="H65" s="1705"/>
      <c r="I65" s="1482"/>
      <c r="J65" s="1483"/>
      <c r="K65" s="2311"/>
      <c r="L65" s="2312"/>
      <c r="M65" s="2313"/>
    </row>
    <row r="66" spans="1:13" s="859" customFormat="1" ht="37.5" customHeight="1" thickBot="1">
      <c r="A66" s="1780">
        <f t="shared" si="12"/>
        <v>14</v>
      </c>
      <c r="B66" s="1702" t="s">
        <v>4176</v>
      </c>
      <c r="C66" s="1496"/>
      <c r="D66" s="1497" t="str">
        <f t="shared" si="10"/>
        <v>14.02.02.02</v>
      </c>
      <c r="F66" s="1775" t="str">
        <f t="shared" si="11"/>
        <v>14.02.02.02</v>
      </c>
      <c r="G66" s="1776" t="s">
        <v>271</v>
      </c>
      <c r="H66" s="1777"/>
      <c r="I66" s="1778"/>
      <c r="J66" s="1779"/>
      <c r="K66" s="2344"/>
      <c r="L66" s="2345"/>
      <c r="M66" s="2346"/>
    </row>
    <row r="67" spans="1:13" s="859" customFormat="1" ht="18" customHeight="1">
      <c r="A67" s="1749"/>
      <c r="B67" s="1750"/>
      <c r="C67" s="1468"/>
      <c r="D67" s="1751"/>
      <c r="F67" s="1752"/>
      <c r="G67" s="1753"/>
      <c r="H67" s="1754"/>
      <c r="I67" s="1755"/>
      <c r="J67" s="1755"/>
      <c r="K67" s="1756"/>
      <c r="L67" s="1756"/>
      <c r="M67" s="1756"/>
    </row>
    <row r="68" spans="1:13" s="859" customFormat="1" ht="12" customHeight="1">
      <c r="A68" s="1749"/>
      <c r="B68" s="1750"/>
      <c r="C68" s="1468"/>
      <c r="D68" s="1751"/>
      <c r="F68" s="1467"/>
      <c r="G68" s="1467"/>
      <c r="H68" s="1467"/>
      <c r="I68" s="1467"/>
      <c r="J68" s="1467"/>
      <c r="K68" s="1467"/>
      <c r="L68" s="1467"/>
      <c r="M68" s="1467"/>
    </row>
    <row r="69" spans="1:13" s="859" customFormat="1" ht="19.5" customHeight="1" thickBot="1">
      <c r="A69" s="1749"/>
      <c r="B69" s="1750"/>
      <c r="C69" s="1468"/>
      <c r="D69" s="1751"/>
      <c r="F69" s="1752"/>
      <c r="G69" s="1753"/>
      <c r="H69" s="1754"/>
      <c r="I69" s="1755"/>
      <c r="J69" s="1755"/>
      <c r="K69" s="1756"/>
      <c r="L69" s="1756"/>
      <c r="M69" s="1756"/>
    </row>
    <row r="70" spans="1:13" s="859" customFormat="1" ht="37.5" customHeight="1" thickTop="1" thickBot="1">
      <c r="A70" s="1749"/>
      <c r="B70" s="1750"/>
      <c r="C70" s="782"/>
      <c r="D70" s="1438"/>
      <c r="F70" s="1771" t="s">
        <v>4174</v>
      </c>
      <c r="G70" s="1474"/>
      <c r="H70" s="1474"/>
      <c r="I70" s="1474"/>
      <c r="J70" s="1469"/>
      <c r="K70" s="1470"/>
      <c r="L70" s="1470"/>
      <c r="M70" s="1470"/>
    </row>
    <row r="71" spans="1:13" s="859" customFormat="1" ht="72" customHeight="1" thickTop="1" thickBot="1">
      <c r="A71" s="1749"/>
      <c r="B71" s="1750"/>
      <c r="C71" s="2301" t="str">
        <f ca="1">RIGHT(CELL("nombrearchivo",$A$2),LEN(CELL("nombrearchivo",$A$2))-SEARCH("]",CELL("nombrearchivo",$A$2)))</f>
        <v>Tabla IV.2.</v>
      </c>
      <c r="D71" s="2302"/>
      <c r="F71" s="1774"/>
      <c r="G71" s="1772"/>
      <c r="H71" s="1772"/>
      <c r="I71" s="1772"/>
      <c r="J71" s="1773"/>
      <c r="K71" s="2314" t="str">
        <f>"POSICIONES PENDIENTES 
AL FINAL DE "&amp;IF(TRIM=1,"MARZO",IF(TRIM=2,"JUNIO",IF(TRIM=3,"SETIEMBRE","DICIEMBRE")))&amp;" "&amp;Menu!C3</f>
        <v>POSICIONES PENDIENTES 
AL FINAL DE MARZO 2020</v>
      </c>
      <c r="L71" s="2314"/>
      <c r="M71" s="2315"/>
    </row>
    <row r="72" spans="1:13" s="859" customFormat="1" ht="37.5" customHeight="1" thickTop="1" thickBot="1">
      <c r="A72" s="1457" t="s">
        <v>894</v>
      </c>
      <c r="B72" s="1457" t="s">
        <v>895</v>
      </c>
      <c r="C72" s="1366" t="s">
        <v>68</v>
      </c>
      <c r="D72" s="1367" t="s">
        <v>69</v>
      </c>
      <c r="F72" s="1461" t="s">
        <v>801</v>
      </c>
      <c r="G72" s="2319" t="s">
        <v>4206</v>
      </c>
      <c r="H72" s="2320"/>
      <c r="I72" s="2320"/>
      <c r="J72" s="2321"/>
      <c r="K72" s="2338" t="s">
        <v>795</v>
      </c>
      <c r="L72" s="2339"/>
      <c r="M72" s="2340"/>
    </row>
    <row r="73" spans="1:13" s="859" customFormat="1" ht="37.5" customHeight="1" thickTop="1">
      <c r="A73" s="1695">
        <f>+A59+1</f>
        <v>15</v>
      </c>
      <c r="B73" s="1696" t="s">
        <v>1777</v>
      </c>
      <c r="C73" s="1452"/>
      <c r="D73" s="1475" t="str">
        <f t="shared" ref="D73:D86" si="13">CONCATENATE(A73,B73)</f>
        <v>15.01.</v>
      </c>
      <c r="F73" s="1476" t="str">
        <f t="shared" ref="F73:F86" si="14">+D73</f>
        <v>15.01.</v>
      </c>
      <c r="G73" s="1760" t="str">
        <f>+G17</f>
        <v>Operaciones con contraparte no residente</v>
      </c>
      <c r="H73" s="1704"/>
      <c r="I73" s="1477"/>
      <c r="J73" s="1478"/>
      <c r="K73" s="2341">
        <f>+K74+K77</f>
        <v>0</v>
      </c>
      <c r="L73" s="2342"/>
      <c r="M73" s="2343"/>
    </row>
    <row r="74" spans="1:13" s="859" customFormat="1" ht="37.5" customHeight="1">
      <c r="A74" s="1700">
        <f>+A73</f>
        <v>15</v>
      </c>
      <c r="B74" s="1683" t="s">
        <v>1778</v>
      </c>
      <c r="C74" s="1479"/>
      <c r="D74" s="1480" t="str">
        <f t="shared" si="13"/>
        <v>15.01.01.</v>
      </c>
      <c r="F74" s="1827" t="str">
        <f t="shared" si="14"/>
        <v>15.01.01.</v>
      </c>
      <c r="G74" s="1828" t="s">
        <v>4207</v>
      </c>
      <c r="H74" s="1829"/>
      <c r="I74" s="1830"/>
      <c r="J74" s="1831"/>
      <c r="K74" s="2316">
        <f>SUM(K75:M76)</f>
        <v>0</v>
      </c>
      <c r="L74" s="2317"/>
      <c r="M74" s="2318"/>
    </row>
    <row r="75" spans="1:13" s="859" customFormat="1" ht="37.5" customHeight="1">
      <c r="A75" s="1700">
        <f>+A74</f>
        <v>15</v>
      </c>
      <c r="B75" s="1683" t="s">
        <v>890</v>
      </c>
      <c r="C75" s="1479"/>
      <c r="D75" s="1480" t="str">
        <f t="shared" si="13"/>
        <v>15.01.01.01.</v>
      </c>
      <c r="F75" s="1481" t="str">
        <f t="shared" si="14"/>
        <v>15.01.01.01.</v>
      </c>
      <c r="G75" s="1759" t="s">
        <v>4180</v>
      </c>
      <c r="H75" s="1705"/>
      <c r="I75" s="1482"/>
      <c r="J75" s="1483"/>
      <c r="K75" s="2311"/>
      <c r="L75" s="2312"/>
      <c r="M75" s="2313"/>
    </row>
    <row r="76" spans="1:13" s="859" customFormat="1" ht="37.5" customHeight="1">
      <c r="A76" s="1697">
        <f t="shared" ref="A76:A86" si="15">+A75</f>
        <v>15</v>
      </c>
      <c r="B76" s="1683" t="s">
        <v>896</v>
      </c>
      <c r="C76" s="1479"/>
      <c r="D76" s="1480" t="str">
        <f t="shared" si="13"/>
        <v>15.01.01.02.</v>
      </c>
      <c r="F76" s="1484" t="str">
        <f t="shared" si="14"/>
        <v>15.01.01.02.</v>
      </c>
      <c r="G76" s="1759" t="s">
        <v>271</v>
      </c>
      <c r="H76" s="1705"/>
      <c r="I76" s="1482"/>
      <c r="J76" s="1483"/>
      <c r="K76" s="2311"/>
      <c r="L76" s="2312"/>
      <c r="M76" s="2313"/>
    </row>
    <row r="77" spans="1:13" s="859" customFormat="1" ht="37.5" customHeight="1">
      <c r="A77" s="1697">
        <f t="shared" si="15"/>
        <v>15</v>
      </c>
      <c r="B77" s="1683" t="s">
        <v>1779</v>
      </c>
      <c r="C77" s="1479"/>
      <c r="D77" s="1480" t="str">
        <f t="shared" si="13"/>
        <v>15.01.02.</v>
      </c>
      <c r="F77" s="1827" t="str">
        <f t="shared" si="14"/>
        <v>15.01.02.</v>
      </c>
      <c r="G77" s="1828" t="s">
        <v>4208</v>
      </c>
      <c r="H77" s="1829"/>
      <c r="I77" s="1830"/>
      <c r="J77" s="1831"/>
      <c r="K77" s="2316">
        <f>SUM(K78:M79)</f>
        <v>0</v>
      </c>
      <c r="L77" s="2317"/>
      <c r="M77" s="2318"/>
    </row>
    <row r="78" spans="1:13" s="859" customFormat="1" ht="37.5" customHeight="1">
      <c r="A78" s="1697">
        <f t="shared" si="15"/>
        <v>15</v>
      </c>
      <c r="B78" s="1683" t="s">
        <v>1809</v>
      </c>
      <c r="C78" s="1479"/>
      <c r="D78" s="1480" t="str">
        <f t="shared" si="13"/>
        <v>15.01.02.01</v>
      </c>
      <c r="F78" s="1484" t="str">
        <f t="shared" si="14"/>
        <v>15.01.02.01</v>
      </c>
      <c r="G78" s="1759" t="s">
        <v>4180</v>
      </c>
      <c r="H78" s="1705"/>
      <c r="I78" s="1482"/>
      <c r="J78" s="1483"/>
      <c r="K78" s="2311"/>
      <c r="L78" s="2312"/>
      <c r="M78" s="2313"/>
    </row>
    <row r="79" spans="1:13" s="859" customFormat="1" ht="37.5" customHeight="1">
      <c r="A79" s="1697">
        <f t="shared" si="15"/>
        <v>15</v>
      </c>
      <c r="B79" s="1683" t="s">
        <v>1810</v>
      </c>
      <c r="C79" s="1479"/>
      <c r="D79" s="1480" t="str">
        <f t="shared" si="13"/>
        <v>15.01.02.02</v>
      </c>
      <c r="F79" s="1484" t="str">
        <f t="shared" si="14"/>
        <v>15.01.02.02</v>
      </c>
      <c r="G79" s="1759" t="s">
        <v>271</v>
      </c>
      <c r="H79" s="1705"/>
      <c r="I79" s="1757"/>
      <c r="J79" s="1758"/>
      <c r="K79" s="2308"/>
      <c r="L79" s="2309"/>
      <c r="M79" s="2310"/>
    </row>
    <row r="80" spans="1:13" s="859" customFormat="1" ht="37.5" customHeight="1">
      <c r="A80" s="1697">
        <f t="shared" si="15"/>
        <v>15</v>
      </c>
      <c r="B80" s="1683" t="s">
        <v>1780</v>
      </c>
      <c r="C80" s="1479"/>
      <c r="D80" s="1480" t="str">
        <f t="shared" si="13"/>
        <v>15.02.</v>
      </c>
      <c r="F80" s="1748" t="str">
        <f t="shared" si="14"/>
        <v>15.02.</v>
      </c>
      <c r="G80" s="1760" t="str">
        <f>+G18</f>
        <v>Operaciones con contraparte inmediata residente (p.ej. con la banca local)</v>
      </c>
      <c r="H80" s="1704"/>
      <c r="I80" s="1477"/>
      <c r="J80" s="1478"/>
      <c r="K80" s="2347">
        <f>+K81+K84</f>
        <v>0</v>
      </c>
      <c r="L80" s="2348"/>
      <c r="M80" s="2349"/>
    </row>
    <row r="81" spans="1:13" s="859" customFormat="1" ht="37.5" customHeight="1">
      <c r="A81" s="1697">
        <f t="shared" si="15"/>
        <v>15</v>
      </c>
      <c r="B81" s="1683" t="s">
        <v>1781</v>
      </c>
      <c r="C81" s="1479"/>
      <c r="D81" s="1480" t="str">
        <f t="shared" si="13"/>
        <v>15.02.01.</v>
      </c>
      <c r="F81" s="1827" t="str">
        <f t="shared" si="14"/>
        <v>15.02.01.</v>
      </c>
      <c r="G81" s="1828" t="s">
        <v>4209</v>
      </c>
      <c r="H81" s="1829"/>
      <c r="I81" s="1830"/>
      <c r="J81" s="1831"/>
      <c r="K81" s="2316">
        <f>SUM(K82:M83)</f>
        <v>0</v>
      </c>
      <c r="L81" s="2317"/>
      <c r="M81" s="2318"/>
    </row>
    <row r="82" spans="1:13" s="859" customFormat="1" ht="37.5" customHeight="1">
      <c r="A82" s="1697">
        <f t="shared" si="15"/>
        <v>15</v>
      </c>
      <c r="B82" s="1683" t="s">
        <v>892</v>
      </c>
      <c r="C82" s="1479"/>
      <c r="D82" s="1480" t="str">
        <f t="shared" si="13"/>
        <v>15.02.01.01.</v>
      </c>
      <c r="F82" s="1481" t="str">
        <f t="shared" si="14"/>
        <v>15.02.01.01.</v>
      </c>
      <c r="G82" s="1759" t="s">
        <v>4180</v>
      </c>
      <c r="H82" s="1705"/>
      <c r="I82" s="1482"/>
      <c r="J82" s="1483"/>
      <c r="K82" s="2311"/>
      <c r="L82" s="2312"/>
      <c r="M82" s="2313"/>
    </row>
    <row r="83" spans="1:13" s="859" customFormat="1" ht="37.5" customHeight="1">
      <c r="A83" s="1697">
        <f t="shared" si="15"/>
        <v>15</v>
      </c>
      <c r="B83" s="1683" t="s">
        <v>897</v>
      </c>
      <c r="C83" s="1479"/>
      <c r="D83" s="1480" t="str">
        <f t="shared" si="13"/>
        <v>15.02.01.02.</v>
      </c>
      <c r="F83" s="1484" t="str">
        <f t="shared" si="14"/>
        <v>15.02.01.02.</v>
      </c>
      <c r="G83" s="1759" t="s">
        <v>271</v>
      </c>
      <c r="H83" s="1705"/>
      <c r="I83" s="1482"/>
      <c r="J83" s="1483"/>
      <c r="K83" s="2311"/>
      <c r="L83" s="2312"/>
      <c r="M83" s="2313"/>
    </row>
    <row r="84" spans="1:13" s="859" customFormat="1" ht="37.5" customHeight="1">
      <c r="A84" s="1697">
        <f t="shared" si="15"/>
        <v>15</v>
      </c>
      <c r="B84" s="1683" t="s">
        <v>1782</v>
      </c>
      <c r="C84" s="1479"/>
      <c r="D84" s="1480" t="str">
        <f t="shared" si="13"/>
        <v>15.02.02.</v>
      </c>
      <c r="F84" s="1827" t="str">
        <f t="shared" si="14"/>
        <v>15.02.02.</v>
      </c>
      <c r="G84" s="1828" t="s">
        <v>4210</v>
      </c>
      <c r="H84" s="1829"/>
      <c r="I84" s="1830"/>
      <c r="J84" s="1831"/>
      <c r="K84" s="2316">
        <f>SUM(K85:M86)</f>
        <v>0</v>
      </c>
      <c r="L84" s="2317"/>
      <c r="M84" s="2318"/>
    </row>
    <row r="85" spans="1:13" s="859" customFormat="1" ht="37.5" customHeight="1">
      <c r="A85" s="1697">
        <f t="shared" si="15"/>
        <v>15</v>
      </c>
      <c r="B85" s="1683" t="s">
        <v>4175</v>
      </c>
      <c r="C85" s="1479"/>
      <c r="D85" s="1480" t="str">
        <f t="shared" si="13"/>
        <v>15.02.02.01</v>
      </c>
      <c r="F85" s="1484" t="str">
        <f t="shared" si="14"/>
        <v>15.02.02.01</v>
      </c>
      <c r="G85" s="1759" t="s">
        <v>4180</v>
      </c>
      <c r="H85" s="1705"/>
      <c r="I85" s="1482"/>
      <c r="J85" s="1483"/>
      <c r="K85" s="2311"/>
      <c r="L85" s="2312"/>
      <c r="M85" s="2313"/>
    </row>
    <row r="86" spans="1:13" s="859" customFormat="1" ht="37.5" customHeight="1" thickBot="1">
      <c r="A86" s="1780">
        <f t="shared" si="15"/>
        <v>15</v>
      </c>
      <c r="B86" s="1702" t="s">
        <v>4176</v>
      </c>
      <c r="C86" s="1496"/>
      <c r="D86" s="1497" t="str">
        <f t="shared" si="13"/>
        <v>15.02.02.02</v>
      </c>
      <c r="F86" s="1775" t="str">
        <f t="shared" si="14"/>
        <v>15.02.02.02</v>
      </c>
      <c r="G86" s="1776" t="s">
        <v>271</v>
      </c>
      <c r="H86" s="1777"/>
      <c r="I86" s="1778"/>
      <c r="J86" s="1779"/>
      <c r="K86" s="2344"/>
      <c r="L86" s="2345"/>
      <c r="M86" s="2346"/>
    </row>
    <row r="87" spans="1:13" s="859" customFormat="1" ht="29.25" customHeight="1">
      <c r="A87" s="1676"/>
      <c r="B87" s="1449"/>
    </row>
    <row r="88" spans="1:13" s="859" customFormat="1" ht="29.25" customHeight="1">
      <c r="A88" s="1676"/>
      <c r="B88" s="1449"/>
    </row>
    <row r="89" spans="1:13" s="859" customFormat="1" ht="29.25" customHeight="1">
      <c r="A89" s="1676"/>
      <c r="B89" s="1449"/>
    </row>
    <row r="90" spans="1:13" s="859" customFormat="1" ht="29.25" customHeight="1">
      <c r="A90" s="1676"/>
      <c r="B90" s="1449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password="EC0E" sheet="1" objects="1" scenarios="1"/>
  <mergeCells count="79"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J43:K43"/>
    <mergeCell ref="J44:K44"/>
    <mergeCell ref="J38:K38"/>
    <mergeCell ref="J41:K41"/>
    <mergeCell ref="H41:I41"/>
    <mergeCell ref="H40:I40"/>
    <mergeCell ref="J40:K40"/>
    <mergeCell ref="K61:M61"/>
    <mergeCell ref="K62:M62"/>
    <mergeCell ref="K63:M63"/>
    <mergeCell ref="K64:M64"/>
    <mergeCell ref="K65:M65"/>
    <mergeCell ref="K60:M60"/>
    <mergeCell ref="K52:M52"/>
    <mergeCell ref="K56:M56"/>
    <mergeCell ref="K57:M57"/>
    <mergeCell ref="K58:M58"/>
    <mergeCell ref="K53:M53"/>
    <mergeCell ref="K82:M82"/>
    <mergeCell ref="K83:M83"/>
    <mergeCell ref="K84:M84"/>
    <mergeCell ref="K85:M85"/>
    <mergeCell ref="K86:M86"/>
    <mergeCell ref="K66:M66"/>
    <mergeCell ref="K79:M79"/>
    <mergeCell ref="K80:M80"/>
    <mergeCell ref="K81:M81"/>
    <mergeCell ref="K71:M71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27" thickTop="1" thickBot="1">
      <c r="B2" s="2195" t="s">
        <v>4232</v>
      </c>
      <c r="C2" s="2196"/>
      <c r="D2" s="2196"/>
      <c r="E2" s="2197"/>
    </row>
    <row r="3" spans="2:5" ht="39" customHeight="1" thickTop="1" thickBot="1">
      <c r="B3" s="1863" t="s">
        <v>4181</v>
      </c>
      <c r="C3" s="1864" t="s">
        <v>4182</v>
      </c>
      <c r="D3" s="1864" t="s">
        <v>4185</v>
      </c>
      <c r="E3" s="1871" t="s">
        <v>4198</v>
      </c>
    </row>
    <row r="4" spans="2:5" s="51" customFormat="1" ht="20.25" customHeight="1" thickTop="1">
      <c r="B4" s="1853">
        <v>21</v>
      </c>
      <c r="C4" s="1858">
        <v>43541</v>
      </c>
      <c r="D4" s="1880" t="s">
        <v>4192</v>
      </c>
      <c r="E4" s="1872" t="s">
        <v>4183</v>
      </c>
    </row>
    <row r="5" spans="2:5" s="51" customFormat="1" ht="20.25" customHeight="1">
      <c r="B5" s="1854"/>
      <c r="C5" s="1859">
        <v>43543</v>
      </c>
      <c r="D5" s="1881" t="s">
        <v>4184</v>
      </c>
      <c r="E5" s="1873" t="s">
        <v>4186</v>
      </c>
    </row>
    <row r="6" spans="2:5" s="51" customFormat="1" ht="20.25" customHeight="1">
      <c r="B6" s="1854"/>
      <c r="C6" s="1859"/>
      <c r="D6" s="1881" t="s">
        <v>4190</v>
      </c>
      <c r="E6" s="1874" t="s">
        <v>4188</v>
      </c>
    </row>
    <row r="7" spans="2:5" s="51" customFormat="1" ht="20.25" customHeight="1">
      <c r="B7" s="1855"/>
      <c r="C7" s="1859"/>
      <c r="D7" s="1881" t="s">
        <v>4191</v>
      </c>
      <c r="E7" s="1874" t="s">
        <v>4189</v>
      </c>
    </row>
    <row r="8" spans="2:5" s="51" customFormat="1" ht="40.5" customHeight="1">
      <c r="B8" s="1855"/>
      <c r="C8" s="1859"/>
      <c r="D8" s="1881" t="s">
        <v>4226</v>
      </c>
      <c r="E8" s="1875" t="s">
        <v>4193</v>
      </c>
    </row>
    <row r="9" spans="2:5" s="51" customFormat="1" ht="81.75" customHeight="1">
      <c r="B9" s="1854"/>
      <c r="C9" s="1859"/>
      <c r="D9" s="1881" t="s">
        <v>4225</v>
      </c>
      <c r="E9" s="1875" t="s">
        <v>4194</v>
      </c>
    </row>
    <row r="10" spans="2:5" s="51" customFormat="1" ht="21" customHeight="1">
      <c r="B10" s="1890">
        <v>22</v>
      </c>
      <c r="C10" s="1891">
        <v>43544</v>
      </c>
      <c r="D10" s="1892" t="s">
        <v>4224</v>
      </c>
      <c r="E10" s="1894" t="s">
        <v>4201</v>
      </c>
    </row>
    <row r="11" spans="2:5" s="51" customFormat="1" ht="30" customHeight="1">
      <c r="B11" s="1854"/>
      <c r="C11" s="1866">
        <v>43545</v>
      </c>
      <c r="D11" s="1881" t="s">
        <v>4223</v>
      </c>
      <c r="E11" s="1875" t="s">
        <v>4212</v>
      </c>
    </row>
    <row r="12" spans="2:5" s="51" customFormat="1" ht="34.5" customHeight="1">
      <c r="B12" s="1886"/>
      <c r="C12" s="1895"/>
      <c r="D12" s="1888" t="s">
        <v>4222</v>
      </c>
      <c r="E12" s="1889" t="s">
        <v>4213</v>
      </c>
    </row>
    <row r="13" spans="2:5" s="51" customFormat="1" ht="34.5" customHeight="1">
      <c r="B13" s="1890">
        <v>23</v>
      </c>
      <c r="C13" s="1891">
        <v>43545</v>
      </c>
      <c r="D13" s="1892" t="s">
        <v>4221</v>
      </c>
      <c r="E13" s="1893" t="s">
        <v>4228</v>
      </c>
    </row>
    <row r="14" spans="2:5" s="51" customFormat="1" ht="34.5" customHeight="1">
      <c r="B14" s="1854"/>
      <c r="C14" s="1866">
        <v>43545</v>
      </c>
      <c r="D14" s="1881" t="s">
        <v>4222</v>
      </c>
      <c r="E14" s="1875" t="s">
        <v>4227</v>
      </c>
    </row>
    <row r="15" spans="2:5" s="51" customFormat="1" ht="43.5" customHeight="1">
      <c r="B15" s="1886"/>
      <c r="C15" s="1887">
        <v>43546</v>
      </c>
      <c r="D15" s="1888" t="s">
        <v>4216</v>
      </c>
      <c r="E15" s="1889" t="s">
        <v>4219</v>
      </c>
    </row>
    <row r="16" spans="2:5" s="51" customFormat="1" ht="59.25" customHeight="1">
      <c r="B16" s="1896">
        <v>24</v>
      </c>
      <c r="C16" s="1897">
        <v>43551</v>
      </c>
      <c r="D16" s="1898" t="s">
        <v>4229</v>
      </c>
      <c r="E16" s="1899" t="s">
        <v>4231</v>
      </c>
    </row>
    <row r="17" spans="2:5" s="51" customFormat="1" ht="30.75" customHeight="1">
      <c r="B17" s="1854"/>
      <c r="C17" s="1859"/>
      <c r="D17" s="1881"/>
      <c r="E17" s="1875"/>
    </row>
    <row r="18" spans="2:5" s="51" customFormat="1" ht="30.75" customHeight="1">
      <c r="B18" s="1854"/>
      <c r="C18" s="1859"/>
      <c r="D18" s="1881"/>
      <c r="E18" s="1875"/>
    </row>
    <row r="19" spans="2:5" s="51" customFormat="1" ht="30.75" customHeight="1">
      <c r="B19" s="1854"/>
      <c r="C19" s="1859"/>
      <c r="D19" s="1881"/>
      <c r="E19" s="1875"/>
    </row>
    <row r="20" spans="2:5" s="51" customFormat="1" ht="15">
      <c r="B20" s="1854"/>
      <c r="C20" s="1860"/>
      <c r="D20" s="1881"/>
      <c r="E20" s="1873"/>
    </row>
    <row r="21" spans="2:5" s="51" customFormat="1" ht="15">
      <c r="B21" s="1854"/>
      <c r="C21" s="1860"/>
      <c r="D21" s="1881"/>
      <c r="E21" s="1873"/>
    </row>
    <row r="22" spans="2:5" s="51" customFormat="1" ht="15">
      <c r="B22" s="1854"/>
      <c r="C22" s="1860"/>
      <c r="D22" s="1881"/>
      <c r="E22" s="1876"/>
    </row>
    <row r="23" spans="2:5" s="51" customFormat="1" ht="15">
      <c r="B23" s="1854"/>
      <c r="C23" s="1860"/>
      <c r="D23" s="1881"/>
      <c r="E23" s="1876"/>
    </row>
    <row r="24" spans="2:5" s="51" customFormat="1" ht="15">
      <c r="B24" s="1854"/>
      <c r="C24" s="1860"/>
      <c r="D24" s="1881"/>
      <c r="E24" s="1877"/>
    </row>
    <row r="25" spans="2:5" s="51" customFormat="1" ht="15">
      <c r="B25" s="1854"/>
      <c r="C25" s="1860"/>
      <c r="D25" s="1881"/>
      <c r="E25" s="1877"/>
    </row>
    <row r="26" spans="2:5" s="51" customFormat="1" ht="15">
      <c r="B26" s="1854"/>
      <c r="C26" s="1860"/>
      <c r="D26" s="1881"/>
      <c r="E26" s="1877"/>
    </row>
    <row r="27" spans="2:5" s="51" customFormat="1" ht="15">
      <c r="B27" s="1854"/>
      <c r="C27" s="1860"/>
      <c r="D27" s="1881"/>
      <c r="E27" s="1877"/>
    </row>
    <row r="28" spans="2:5" ht="15">
      <c r="B28" s="1856"/>
      <c r="C28" s="1861"/>
      <c r="D28" s="1882"/>
      <c r="E28" s="1878"/>
    </row>
    <row r="29" spans="2:5" ht="15.75" thickBot="1">
      <c r="B29" s="1857"/>
      <c r="C29" s="1862"/>
      <c r="D29" s="1883"/>
      <c r="E29" s="1879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H10" sqref="H10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</row>
    <row r="2" spans="1:32" s="765" customFormat="1">
      <c r="A2" s="766"/>
      <c r="B2" s="766"/>
      <c r="C2" s="766"/>
      <c r="D2" s="766"/>
      <c r="E2" s="766"/>
    </row>
    <row r="3" spans="1:32" s="1009" customFormat="1" ht="17.25" customHeight="1">
      <c r="C3" s="1010"/>
      <c r="D3" s="1010"/>
      <c r="E3" s="1010"/>
      <c r="F3" s="767"/>
      <c r="G3" s="767"/>
      <c r="H3" s="769"/>
      <c r="I3" s="769"/>
      <c r="J3" s="767"/>
      <c r="K3" s="767"/>
    </row>
    <row r="4" spans="1:32" s="1009" customFormat="1" ht="33.75">
      <c r="D4" s="1010"/>
      <c r="E4" s="1010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2"/>
      <c r="J4" s="770"/>
      <c r="K4" s="770"/>
    </row>
    <row r="5" spans="1:32" s="1009" customFormat="1" ht="36.75" customHeight="1">
      <c r="C5" s="1010"/>
      <c r="D5" s="1010"/>
      <c r="E5" s="1010"/>
      <c r="F5" s="772" t="s">
        <v>918</v>
      </c>
      <c r="G5" s="770"/>
      <c r="H5" s="773"/>
      <c r="I5" s="773"/>
      <c r="J5" s="1013"/>
      <c r="K5" s="770"/>
    </row>
    <row r="6" spans="1:32" s="1009" customFormat="1" ht="19.5" customHeight="1">
      <c r="C6" s="1022" t="str">
        <f ca="1">RIGHT(CELL("nombrearchivo",$A$1),LEN(CELL("nombrearchivo",$A$1))-SEARCH("]",CELL("nombrearchivo",$A$1)))</f>
        <v>Tabla V.</v>
      </c>
      <c r="D6" s="1010"/>
      <c r="E6" s="1010"/>
      <c r="F6" s="767"/>
      <c r="G6" s="767"/>
      <c r="H6" s="1015"/>
      <c r="I6" s="1015"/>
      <c r="J6" s="1016"/>
      <c r="K6" s="1016"/>
    </row>
    <row r="7" spans="1:32" s="765" customFormat="1" ht="15" customHeight="1" thickBot="1">
      <c r="A7" s="766"/>
      <c r="B7" s="766"/>
      <c r="C7" s="766"/>
      <c r="D7" s="766"/>
      <c r="E7" s="766"/>
      <c r="F7" s="1485"/>
      <c r="H7" s="1486"/>
    </row>
    <row r="8" spans="1:32" s="779" customFormat="1" ht="28.5" customHeight="1" thickTop="1" thickBot="1">
      <c r="A8" s="793"/>
      <c r="B8" s="793"/>
      <c r="C8" s="2301" t="str">
        <f ca="1">RIGHT(CELL("nombrearchivo",$A$1),LEN(CELL("nombrearchivo",$A$1))-SEARCH("]",CELL("nombrearchivo",$A$1)))</f>
        <v>Tabla V.</v>
      </c>
      <c r="D8" s="2302"/>
      <c r="E8" s="793"/>
      <c r="F8" s="2385" t="s">
        <v>801</v>
      </c>
      <c r="G8" s="2387" t="s">
        <v>265</v>
      </c>
      <c r="H8" s="1487" t="str">
        <f>"PROYECCIÓN "&amp;$D$18&amp;"/"</f>
        <v>PROYECCIÓN 4/</v>
      </c>
      <c r="I8" s="1488"/>
      <c r="J8" s="1488"/>
      <c r="K8" s="1489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19" t="s">
        <v>894</v>
      </c>
      <c r="B9" s="1520" t="s">
        <v>895</v>
      </c>
      <c r="C9" s="1490" t="s">
        <v>68</v>
      </c>
      <c r="D9" s="1491" t="s">
        <v>69</v>
      </c>
      <c r="E9" s="793"/>
      <c r="F9" s="2386"/>
      <c r="G9" s="2388"/>
      <c r="H9" s="1492" t="str">
        <f>CONCATENATE(Menu!C3)&amp;" "&amp; $D$19&amp;"/"</f>
        <v>2020 5/</v>
      </c>
      <c r="I9" s="1493">
        <f>Menu!C3+1</f>
        <v>2021</v>
      </c>
      <c r="J9" s="1493">
        <f>+I9+1</f>
        <v>2022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5">
        <f>+'Tabla IV.2.'!A86+1</f>
        <v>16</v>
      </c>
      <c r="B10" s="1465" t="s">
        <v>1777</v>
      </c>
      <c r="C10" s="1459" t="s">
        <v>664</v>
      </c>
      <c r="D10" s="1494" t="str">
        <f>CONCATENATE(A10,B10)</f>
        <v>16.01.</v>
      </c>
      <c r="E10" s="793"/>
      <c r="F10" s="1495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5">
        <f>+A10</f>
        <v>16</v>
      </c>
      <c r="B11" s="1465" t="s">
        <v>1780</v>
      </c>
      <c r="C11" s="1479" t="s">
        <v>665</v>
      </c>
      <c r="D11" s="1480" t="str">
        <f>CONCATENATE(A11,B11)</f>
        <v>16.02.</v>
      </c>
      <c r="E11" s="793"/>
      <c r="F11" s="1495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5">
        <f>+A11</f>
        <v>16</v>
      </c>
      <c r="B12" s="1465" t="s">
        <v>1812</v>
      </c>
      <c r="C12" s="1479" t="s">
        <v>666</v>
      </c>
      <c r="D12" s="1480" t="str">
        <f>CONCATENATE(A12,B12)</f>
        <v>16.02.01</v>
      </c>
      <c r="E12" s="793"/>
      <c r="F12" s="1495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5">
        <f>+A12</f>
        <v>16</v>
      </c>
      <c r="B13" s="1465" t="s">
        <v>1813</v>
      </c>
      <c r="C13" s="1496" t="s">
        <v>667</v>
      </c>
      <c r="D13" s="1497" t="str">
        <f>CONCATENATE(A13,B13)</f>
        <v>16.02.02</v>
      </c>
      <c r="E13" s="793"/>
      <c r="F13" s="1495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7" t="s">
        <v>1604</v>
      </c>
      <c r="G14" s="1498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3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499"/>
      <c r="H15" s="1499"/>
      <c r="I15" s="1499"/>
      <c r="J15" s="1499"/>
      <c r="K15" s="1500"/>
    </row>
    <row r="16" spans="1:32" ht="23.25" customHeight="1">
      <c r="C16" s="777"/>
      <c r="D16" s="793">
        <f>COUNTA($D$15:D15)+1</f>
        <v>2</v>
      </c>
      <c r="F16" s="1083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499"/>
      <c r="H16" s="1499"/>
      <c r="I16" s="1499"/>
      <c r="J16" s="1499"/>
      <c r="K16" s="1500"/>
    </row>
    <row r="17" spans="3:11" ht="23.25" customHeight="1">
      <c r="C17" s="777"/>
      <c r="D17" s="793">
        <f>COUNTA($D$15:D16)+1</f>
        <v>3</v>
      </c>
      <c r="E17" s="1501"/>
      <c r="F17" s="1083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2"/>
      <c r="H17" s="1502"/>
      <c r="I17" s="1502"/>
      <c r="J17" s="1502"/>
      <c r="K17" s="1503"/>
    </row>
    <row r="18" spans="3:11" ht="23.25" customHeight="1">
      <c r="C18" s="777"/>
      <c r="D18" s="793">
        <f>COUNTA($D$15:D17)+1</f>
        <v>4</v>
      </c>
      <c r="F18" s="1083" t="str">
        <f>D18&amp;"/ "&amp;"Montos anuales por inversiones nuevas o por inversiones iniciadas con anterioridad al "&amp;Menu!C3&amp;"."</f>
        <v>4/ Montos anuales por inversiones nuevas o por inversiones iniciadas con anterioridad al 2020.</v>
      </c>
      <c r="G18" s="1499"/>
      <c r="H18" s="1499"/>
      <c r="I18" s="1499"/>
      <c r="J18" s="1499"/>
      <c r="K18" s="1500"/>
    </row>
    <row r="19" spans="3:11" ht="23.25" customHeight="1">
      <c r="C19" s="777"/>
      <c r="D19" s="793">
        <f>COUNTA($D$15:D18)+1</f>
        <v>5</v>
      </c>
      <c r="F19" s="1083" t="str">
        <f>D19&amp;"/ "&amp;"Considerar el año completo (ene-dic)."</f>
        <v>5/ Considerar el año completo (ene-dic).</v>
      </c>
      <c r="G19" s="1499"/>
      <c r="H19" s="1499"/>
      <c r="I19" s="1499"/>
      <c r="J19" s="1499"/>
      <c r="K19" s="1500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2022, incluidos los proyectos futuros.</v>
      </c>
      <c r="G20" s="1504"/>
      <c r="H20" s="1504"/>
      <c r="I20" s="1504"/>
      <c r="J20" s="1504"/>
      <c r="K20" s="1505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password="EC0E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50" zoomScaleNormal="50" zoomScaleSheetLayoutView="50" workbookViewId="0">
      <pane xSplit="1" ySplit="5" topLeftCell="J8" activePane="bottomRight" state="frozen"/>
      <selection activeCell="E3" sqref="E3"/>
      <selection pane="topRight" activeCell="F3" sqref="F3"/>
      <selection pane="bottomLeft" activeCell="E8" sqref="E8"/>
      <selection pane="bottomRight" activeCell="H46" sqref="H46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</row>
    <row r="2" spans="1:28" s="765" customFormat="1" ht="23.25">
      <c r="F2" s="1506"/>
    </row>
    <row r="3" spans="1:28" s="1009" customFormat="1" ht="17.25" customHeight="1">
      <c r="C3" s="1010"/>
      <c r="D3" s="1010"/>
      <c r="E3" s="1010"/>
      <c r="F3" s="767"/>
      <c r="G3" s="767"/>
      <c r="H3" s="768"/>
      <c r="I3" s="769"/>
      <c r="J3" s="769"/>
      <c r="K3" s="1011"/>
      <c r="L3" s="1011"/>
      <c r="M3" s="1011"/>
      <c r="N3" s="1011"/>
      <c r="O3" s="1011"/>
      <c r="P3" s="1507"/>
      <c r="Q3" s="1507"/>
    </row>
    <row r="4" spans="1:28" s="1009" customFormat="1" ht="35.25">
      <c r="E4" s="1010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</row>
    <row r="5" spans="1:28" s="1009" customFormat="1" ht="6.75" customHeight="1">
      <c r="C5" s="1010"/>
      <c r="D5" s="1010"/>
      <c r="E5" s="1010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09" customFormat="1" ht="62.25" customHeight="1">
      <c r="C6" s="1010"/>
      <c r="D6" s="1010"/>
      <c r="E6" s="1010"/>
      <c r="F6" s="2389" t="s">
        <v>4323</v>
      </c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390"/>
      <c r="R6" s="2390"/>
      <c r="S6" s="2390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45">
      <c r="A8" s="859"/>
      <c r="B8" s="859"/>
      <c r="D8" s="859"/>
      <c r="F8" s="2073" t="s">
        <v>909</v>
      </c>
      <c r="G8" s="1020"/>
      <c r="H8" s="1020"/>
      <c r="I8" s="1020"/>
      <c r="J8" s="1020"/>
      <c r="K8" s="1020"/>
      <c r="L8" s="1020"/>
      <c r="M8" s="1020"/>
      <c r="N8" s="1020"/>
      <c r="O8" s="1020"/>
      <c r="P8" s="1508"/>
      <c r="Q8" s="1508"/>
    </row>
    <row r="9" spans="1:28" ht="30.75" customHeight="1">
      <c r="A9" s="859"/>
      <c r="B9" s="859"/>
      <c r="C9" s="859"/>
      <c r="D9" s="859"/>
      <c r="F9" s="2074" t="s">
        <v>4196</v>
      </c>
      <c r="G9" s="1020"/>
      <c r="H9" s="1020"/>
      <c r="I9" s="1020"/>
      <c r="J9" s="1020"/>
      <c r="K9" s="1020"/>
      <c r="L9" s="1020"/>
      <c r="M9" s="1020"/>
      <c r="N9" s="1020"/>
      <c r="O9" s="1020"/>
      <c r="P9" s="1508"/>
      <c r="Q9" s="1508"/>
    </row>
    <row r="10" spans="1:28" ht="27.7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09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25" t="str">
        <f ca="1">RIGHT(CELL("nombrearchivo",$A$1),LEN(CELL("nombrearchivo",$A$1))-SEARCH("]",CELL("nombrearchivo",$A$1)))</f>
        <v>Tabla VI.</v>
      </c>
      <c r="D11" s="2226"/>
      <c r="F11" s="1510"/>
      <c r="G11" s="1511"/>
      <c r="H11" s="2421" t="s">
        <v>1908</v>
      </c>
      <c r="I11" s="2406" t="str">
        <f>CONCATENATE("MOVIMIENTO POR TRANSACCIONES Y VARIACIONES DEL ",Menu!D3,"T",Menu!C3," ",Menu!E4, " (*)")</f>
        <v>MOVIMIENTO POR TRANSACCIONES Y VARIACIONES DEL 1T2020 (ENE - MAR) (*)</v>
      </c>
      <c r="J11" s="2406"/>
      <c r="K11" s="2406"/>
      <c r="L11" s="2406"/>
      <c r="M11" s="2406"/>
      <c r="N11" s="2406"/>
      <c r="O11" s="2421" t="s">
        <v>1907</v>
      </c>
      <c r="P11" s="2391"/>
      <c r="Q11" s="2392"/>
    </row>
    <row r="12" spans="1:28" ht="69.75" customHeight="1">
      <c r="C12" s="2426"/>
      <c r="D12" s="2427"/>
      <c r="F12" s="1512"/>
      <c r="G12" s="1513"/>
      <c r="H12" s="2422"/>
      <c r="I12" s="1659" t="s">
        <v>902</v>
      </c>
      <c r="J12" s="2430" t="str">
        <f>"ESTADO DE RESULTADOS "&amp;
"
Ganancia / Pérdida Neta del Ejercicio "&amp;$D$31&amp;"/  "&amp;$D$32&amp;"/"</f>
        <v>ESTADO DE RESULTADOS 
Ganancia / Pérdida Neta del Ejercicio 7/  8/</v>
      </c>
      <c r="K12" s="2431"/>
      <c r="L12" s="2432" t="s">
        <v>900</v>
      </c>
      <c r="M12" s="2433"/>
      <c r="N12" s="2434" t="str">
        <f>"OTRAS
 VARIACIONES "&amp;$D$36&amp;"/"</f>
        <v>OTRAS
 VARIACIONES 11/</v>
      </c>
      <c r="O12" s="2422"/>
      <c r="P12" s="2393"/>
      <c r="Q12" s="2394"/>
    </row>
    <row r="13" spans="1:28" ht="60" customHeight="1" thickBot="1">
      <c r="C13" s="2227"/>
      <c r="D13" s="2228"/>
      <c r="F13" s="2428"/>
      <c r="G13" s="2429"/>
      <c r="H13" s="1658" t="str">
        <f>+'Tabla III.2.'!H10</f>
        <v>SALDO A FINES DE DICIEMBRE 2019</v>
      </c>
      <c r="I13" s="1514" t="s">
        <v>1610</v>
      </c>
      <c r="J13" s="1515" t="s">
        <v>289</v>
      </c>
      <c r="K13" s="1516" t="str">
        <f>"Del cual, exclusiones 
para la
Balanza de Pagos "&amp;$D$33&amp;"/"</f>
        <v>Del cual, exclusiones 
para la
Balanza de Pagos 9/</v>
      </c>
      <c r="L13" s="1517" t="str">
        <f>"Dividendos declarados "&amp;$D$35&amp;"/"</f>
        <v>Dividendos declarados 10/</v>
      </c>
      <c r="M13" s="1518" t="s">
        <v>4230</v>
      </c>
      <c r="N13" s="2435"/>
      <c r="O13" s="1658" t="str">
        <f>+'Tabla III.2.'!L10</f>
        <v>SALDO A FINES DE MARZO 2020</v>
      </c>
      <c r="P13" s="2393"/>
      <c r="Q13" s="2394"/>
    </row>
    <row r="14" spans="1:28" ht="57.75" thickTop="1" thickBot="1">
      <c r="A14" s="1519" t="s">
        <v>894</v>
      </c>
      <c r="B14" s="1520" t="s">
        <v>895</v>
      </c>
      <c r="C14" s="1490" t="s">
        <v>68</v>
      </c>
      <c r="D14" s="1491" t="s">
        <v>69</v>
      </c>
      <c r="F14" s="1667" t="s">
        <v>801</v>
      </c>
      <c r="G14" s="1664" t="s">
        <v>1607</v>
      </c>
      <c r="H14" s="1662" t="s">
        <v>640</v>
      </c>
      <c r="I14" s="1662" t="s">
        <v>641</v>
      </c>
      <c r="J14" s="1663" t="s">
        <v>642</v>
      </c>
      <c r="K14" s="1664" t="s">
        <v>643</v>
      </c>
      <c r="L14" s="1665" t="s">
        <v>644</v>
      </c>
      <c r="M14" s="1666" t="s">
        <v>645</v>
      </c>
      <c r="N14" s="1662" t="s">
        <v>646</v>
      </c>
      <c r="O14" s="1810" t="s">
        <v>4263</v>
      </c>
      <c r="P14" s="2393"/>
      <c r="Q14" s="2394"/>
    </row>
    <row r="15" spans="1:28" s="938" customFormat="1" ht="36" customHeight="1" thickBot="1">
      <c r="A15" s="1172">
        <f>+'Tabla V.'!A13+1</f>
        <v>17</v>
      </c>
      <c r="B15" s="1177" t="s">
        <v>1777</v>
      </c>
      <c r="C15" s="1521"/>
      <c r="D15" s="1522" t="str">
        <f>CONCATENATE(A15,B15)</f>
        <v>17.01.</v>
      </c>
      <c r="E15" s="765"/>
      <c r="F15" s="1660" t="str">
        <f>+D15</f>
        <v>17.01.</v>
      </c>
      <c r="G15" s="1661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393"/>
      <c r="Q15" s="2394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2">
        <f t="shared" ref="A16:A21" si="1">+A15</f>
        <v>17</v>
      </c>
      <c r="B16" s="1177" t="s">
        <v>1778</v>
      </c>
      <c r="C16" s="1523" t="s">
        <v>692</v>
      </c>
      <c r="D16" s="1351" t="str">
        <f t="shared" ref="D16:D21" si="2">CONCATENATE(A16,B16)</f>
        <v>17.01.01.</v>
      </c>
      <c r="E16" s="765"/>
      <c r="F16" s="1652" t="str">
        <f t="shared" ref="F16:F21" si="3">+D16</f>
        <v>17.01.01.</v>
      </c>
      <c r="G16" s="1653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393"/>
      <c r="Q16" s="2394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2">
        <f t="shared" si="1"/>
        <v>17</v>
      </c>
      <c r="B17" s="1177" t="s">
        <v>1805</v>
      </c>
      <c r="C17" s="1524">
        <v>501</v>
      </c>
      <c r="D17" s="1323" t="str">
        <f t="shared" si="2"/>
        <v>17.01.01.01</v>
      </c>
      <c r="E17" s="765"/>
      <c r="F17" s="1654" t="str">
        <f t="shared" si="3"/>
        <v>17.01.01.01</v>
      </c>
      <c r="G17" s="1655" t="str">
        <f>"1.1.  EN EMPRESAS DE INVERSIÓN DIRECTA NO RESIDENTES  "&amp;D26&amp;"/"</f>
        <v>1.1.  EN EMPRESAS DE INVERSIÓN DIRECTA NO RESIDENTES  2/</v>
      </c>
      <c r="H17" s="2044"/>
      <c r="I17" s="2045"/>
      <c r="J17" s="2046"/>
      <c r="K17" s="2047"/>
      <c r="L17" s="2046"/>
      <c r="M17" s="2047"/>
      <c r="N17" s="2045"/>
      <c r="O17" s="1847">
        <f>+H17+I17+J17-L17-M17+N17</f>
        <v>0</v>
      </c>
      <c r="P17" s="2393"/>
      <c r="Q17" s="2394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2">
        <f t="shared" si="1"/>
        <v>17</v>
      </c>
      <c r="B18" s="1177" t="s">
        <v>1806</v>
      </c>
      <c r="C18" s="1188">
        <v>501</v>
      </c>
      <c r="D18" s="1326" t="str">
        <f t="shared" si="2"/>
        <v>17.01.01.02</v>
      </c>
      <c r="E18" s="765"/>
      <c r="F18" s="1495" t="str">
        <f t="shared" si="3"/>
        <v>17.01.01.02</v>
      </c>
      <c r="G18" s="1655" t="str">
        <f>"1.2.  EN EL INVERSIONISTA DIRECTO (ID) NO RESIDENTE  "&amp;D27&amp;"/"</f>
        <v>1.2.  EN EL INVERSIONISTA DIRECTO (ID) NO RESIDENTE  3/</v>
      </c>
      <c r="H18" s="2048"/>
      <c r="I18" s="2049"/>
      <c r="J18" s="2050"/>
      <c r="K18" s="2051"/>
      <c r="L18" s="2050"/>
      <c r="M18" s="2051"/>
      <c r="N18" s="2049"/>
      <c r="O18" s="1848">
        <f t="shared" ref="O18:O21" si="5">+H18+I18+J18-L18-M18+N18</f>
        <v>0</v>
      </c>
      <c r="P18" s="2393"/>
      <c r="Q18" s="2394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2">
        <f t="shared" si="1"/>
        <v>17</v>
      </c>
      <c r="B19" s="1177" t="s">
        <v>1807</v>
      </c>
      <c r="C19" s="1188">
        <v>501</v>
      </c>
      <c r="D19" s="1326" t="str">
        <f t="shared" si="2"/>
        <v>17.01.01.03</v>
      </c>
      <c r="E19" s="765"/>
      <c r="F19" s="1495" t="str">
        <f t="shared" si="3"/>
        <v>17.01.01.03</v>
      </c>
      <c r="G19" s="1655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48"/>
      <c r="I19" s="2049"/>
      <c r="J19" s="2050"/>
      <c r="K19" s="2051"/>
      <c r="L19" s="2050"/>
      <c r="M19" s="2051"/>
      <c r="N19" s="2049"/>
      <c r="O19" s="1848">
        <f t="shared" si="5"/>
        <v>0</v>
      </c>
      <c r="P19" s="2393"/>
      <c r="Q19" s="2394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2">
        <f t="shared" si="1"/>
        <v>17</v>
      </c>
      <c r="B20" s="1177" t="s">
        <v>1808</v>
      </c>
      <c r="C20" s="1188">
        <v>501</v>
      </c>
      <c r="D20" s="1326" t="str">
        <f t="shared" si="2"/>
        <v>17.01.01.04</v>
      </c>
      <c r="E20" s="765"/>
      <c r="F20" s="1495" t="str">
        <f t="shared" si="3"/>
        <v>17.01.01.04</v>
      </c>
      <c r="G20" s="1655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48"/>
      <c r="I20" s="2049"/>
      <c r="J20" s="2050"/>
      <c r="K20" s="2051"/>
      <c r="L20" s="2050"/>
      <c r="M20" s="2051"/>
      <c r="N20" s="2049"/>
      <c r="O20" s="1848">
        <f t="shared" si="5"/>
        <v>0</v>
      </c>
      <c r="P20" s="2393"/>
      <c r="Q20" s="2394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5">
        <f t="shared" si="1"/>
        <v>17</v>
      </c>
      <c r="B21" s="1526" t="s">
        <v>1779</v>
      </c>
      <c r="C21" s="1521">
        <v>502</v>
      </c>
      <c r="D21" s="1522" t="str">
        <f t="shared" si="2"/>
        <v>17.01.02.</v>
      </c>
      <c r="E21" s="765"/>
      <c r="F21" s="1656" t="str">
        <f t="shared" si="3"/>
        <v>17.01.02.</v>
      </c>
      <c r="G21" s="1657" t="str">
        <f>"2. EN EMPRESAS NO RELACIONADAS "&amp;$D$30&amp;"/"</f>
        <v>2. EN EMPRESAS NO RELACIONADAS 6/</v>
      </c>
      <c r="H21" s="2052"/>
      <c r="I21" s="2053"/>
      <c r="J21" s="2054"/>
      <c r="K21" s="2055"/>
      <c r="L21" s="2054"/>
      <c r="M21" s="2055"/>
      <c r="N21" s="2053"/>
      <c r="O21" s="1849">
        <f t="shared" si="5"/>
        <v>0</v>
      </c>
      <c r="P21" s="2395"/>
      <c r="Q21" s="2396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7" t="s">
        <v>1606</v>
      </c>
      <c r="G23" s="1527"/>
      <c r="H23" s="1527"/>
      <c r="I23" s="1527"/>
      <c r="J23" s="1527"/>
      <c r="K23" s="1527"/>
      <c r="L23" s="1527"/>
      <c r="M23" s="1527"/>
      <c r="N23" s="1527"/>
      <c r="O23" s="1527"/>
      <c r="P23" s="1439"/>
      <c r="Q23" s="1440"/>
    </row>
    <row r="24" spans="1:28" ht="33" customHeight="1">
      <c r="F24" s="1528" t="s">
        <v>4136</v>
      </c>
      <c r="G24" s="1529"/>
      <c r="H24" s="1530"/>
      <c r="I24" s="1530"/>
      <c r="J24" s="1530"/>
      <c r="K24" s="1530"/>
      <c r="L24" s="1530"/>
      <c r="M24" s="1530"/>
      <c r="N24" s="1530"/>
      <c r="O24" s="1530"/>
      <c r="P24" s="1442"/>
      <c r="Q24" s="1443"/>
    </row>
    <row r="25" spans="1:28" ht="27.75" customHeight="1">
      <c r="D25" s="831">
        <v>1</v>
      </c>
      <c r="E25" s="1150"/>
      <c r="F25" s="1531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2"/>
      <c r="H25" s="1532"/>
      <c r="I25" s="1532"/>
      <c r="J25" s="1532"/>
      <c r="K25" s="1532"/>
      <c r="L25" s="1532"/>
      <c r="M25" s="1532"/>
      <c r="N25" s="1532"/>
      <c r="O25" s="1532"/>
      <c r="P25" s="1442"/>
      <c r="Q25" s="1443"/>
    </row>
    <row r="26" spans="1:28" ht="27.75" customHeight="1">
      <c r="C26" s="1147"/>
      <c r="D26" s="831">
        <f>COUNTA($D$25:D25)+1</f>
        <v>2</v>
      </c>
      <c r="F26" s="1531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2"/>
      <c r="Q26" s="1443"/>
    </row>
    <row r="27" spans="1:28" ht="27.75" customHeight="1">
      <c r="C27" s="1147"/>
      <c r="D27" s="831">
        <f>COUNTA($D$25:D26)+1</f>
        <v>3</v>
      </c>
      <c r="F27" s="1531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2"/>
      <c r="Q27" s="1443"/>
    </row>
    <row r="28" spans="1:28" ht="27.75" customHeight="1">
      <c r="C28" s="1147"/>
      <c r="D28" s="831">
        <f>COUNTA($D$25:D27)+1</f>
        <v>4</v>
      </c>
      <c r="F28" s="1531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2"/>
      <c r="Q28" s="1443"/>
    </row>
    <row r="29" spans="1:28" ht="27.75" customHeight="1">
      <c r="C29" s="1147"/>
      <c r="D29" s="831">
        <f>COUNTA($D$25:D28)+1</f>
        <v>5</v>
      </c>
      <c r="F29" s="1531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2"/>
      <c r="Q29" s="1443"/>
    </row>
    <row r="30" spans="1:28" ht="27.75" customHeight="1">
      <c r="C30" s="1147"/>
      <c r="D30" s="831">
        <f>COUNTA($D$25:D29)+1</f>
        <v>6</v>
      </c>
      <c r="F30" s="1531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2"/>
      <c r="Q30" s="1443"/>
    </row>
    <row r="31" spans="1:28" ht="27.75" customHeight="1">
      <c r="C31" s="1147"/>
      <c r="D31" s="831">
        <f>COUNTA($D$25:D30)+1</f>
        <v>7</v>
      </c>
      <c r="F31" s="1531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2"/>
      <c r="Q31" s="1443"/>
    </row>
    <row r="32" spans="1:28" ht="27.75" customHeight="1">
      <c r="C32" s="1147"/>
      <c r="D32" s="831">
        <f>COUNTA($D$25:D31)+1</f>
        <v>8</v>
      </c>
      <c r="F32" s="1531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2"/>
      <c r="Q32" s="1443"/>
    </row>
    <row r="33" spans="1:28" ht="27.75" customHeight="1">
      <c r="C33" s="1147"/>
      <c r="D33" s="831">
        <f>COUNTA($D$25:D32)+1</f>
        <v>9</v>
      </c>
      <c r="F33" s="1531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2"/>
      <c r="Q33" s="1443"/>
    </row>
    <row r="34" spans="1:28" ht="27.75" customHeight="1">
      <c r="C34" s="1147"/>
      <c r="D34" s="831"/>
      <c r="F34" s="1531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2"/>
      <c r="Q34" s="1443"/>
    </row>
    <row r="35" spans="1:28" ht="27.75" customHeight="1">
      <c r="C35" s="1147"/>
      <c r="D35" s="831">
        <f>COUNTA($D$25:D33)+1</f>
        <v>10</v>
      </c>
      <c r="F35" s="1531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2"/>
      <c r="Q35" s="1443"/>
    </row>
    <row r="36" spans="1:28" ht="27.75" customHeight="1" thickBot="1">
      <c r="C36" s="1147"/>
      <c r="D36" s="831">
        <f>COUNTA($D$25:D35)+1</f>
        <v>11</v>
      </c>
      <c r="F36" s="1533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4"/>
      <c r="H36" s="1534"/>
      <c r="I36" s="1534"/>
      <c r="J36" s="1534"/>
      <c r="K36" s="1534"/>
      <c r="L36" s="1534"/>
      <c r="M36" s="1534"/>
      <c r="N36" s="1534"/>
      <c r="O36" s="1534"/>
      <c r="P36" s="1535"/>
      <c r="Q36" s="1536"/>
    </row>
    <row r="37" spans="1:28" ht="16.5" thickTop="1"/>
    <row r="38" spans="1:28">
      <c r="E38" s="1150"/>
      <c r="F38" s="1150"/>
      <c r="G38" s="1150"/>
      <c r="H38" s="1150"/>
      <c r="I38" s="1150"/>
      <c r="J38" s="1150"/>
      <c r="K38" s="1150"/>
      <c r="L38" s="1150"/>
      <c r="M38" s="1150"/>
      <c r="N38" s="1150"/>
      <c r="O38" s="1150"/>
    </row>
    <row r="39" spans="1:28">
      <c r="E39" s="1150"/>
      <c r="F39" s="1537"/>
      <c r="G39" s="1537"/>
      <c r="H39" s="1537"/>
      <c r="I39" s="1537"/>
      <c r="J39" s="1537"/>
      <c r="K39" s="1537"/>
      <c r="L39" s="1537"/>
      <c r="M39" s="1537"/>
      <c r="N39" s="1537"/>
      <c r="O39" s="1537"/>
      <c r="P39" s="1507"/>
      <c r="Q39" s="1507"/>
      <c r="R39" s="1507"/>
      <c r="S39" s="1507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45">
      <c r="A41" s="859"/>
      <c r="B41" s="859"/>
      <c r="C41" s="859"/>
      <c r="D41" s="859"/>
      <c r="F41" s="2073" t="s">
        <v>1608</v>
      </c>
      <c r="G41" s="1020"/>
      <c r="H41" s="1020"/>
      <c r="I41" s="1020"/>
      <c r="J41" s="1020"/>
      <c r="K41" s="1020"/>
      <c r="L41" s="1020"/>
      <c r="M41" s="1020"/>
      <c r="N41" s="1020"/>
      <c r="O41" s="1020"/>
      <c r="P41" s="1508"/>
      <c r="Q41" s="1508"/>
    </row>
    <row r="42" spans="1:28" ht="45.75" customHeight="1" thickBot="1">
      <c r="A42" s="859"/>
      <c r="B42" s="859"/>
      <c r="C42" s="859"/>
      <c r="D42" s="859"/>
      <c r="F42" s="2075" t="s">
        <v>4197</v>
      </c>
      <c r="G42" s="2072"/>
      <c r="H42" s="2072"/>
      <c r="I42" s="2072"/>
      <c r="J42" s="2072"/>
      <c r="K42" s="2072"/>
      <c r="L42" s="2072"/>
      <c r="M42" s="2072"/>
      <c r="N42" s="2072"/>
      <c r="O42" s="2072"/>
      <c r="P42" s="2072"/>
      <c r="Q42" s="2072"/>
      <c r="R42" s="2072"/>
      <c r="S42" s="2072"/>
    </row>
    <row r="43" spans="1:28" ht="38.25" customHeight="1" thickTop="1" thickBot="1">
      <c r="A43" s="859"/>
      <c r="B43" s="859"/>
      <c r="C43" s="859"/>
      <c r="D43" s="859"/>
      <c r="F43" s="1509"/>
      <c r="G43" s="765"/>
      <c r="H43" s="765"/>
      <c r="I43" s="2407" t="s">
        <v>918</v>
      </c>
      <c r="J43" s="2408"/>
      <c r="K43" s="2408"/>
      <c r="L43" s="2408"/>
      <c r="M43" s="2408"/>
      <c r="N43" s="2408"/>
      <c r="O43" s="2408"/>
      <c r="P43" s="2409"/>
    </row>
    <row r="44" spans="1:28" ht="41.25" customHeight="1">
      <c r="C44" s="2225" t="str">
        <f ca="1">RIGHT(CELL("nombrearchivo",$A$1),LEN(CELL("nombrearchivo",$A$1))-SEARCH("]",CELL("nombrearchivo",$A$1)))</f>
        <v>Tabla VI.</v>
      </c>
      <c r="D44" s="2226"/>
      <c r="F44" s="1538"/>
      <c r="G44" s="1538"/>
      <c r="H44" s="1539"/>
      <c r="I44" s="2415" t="str">
        <f>"VALOR TOTAL
 DEL PATRIMONIO "&amp;D66&amp;"/"</f>
        <v>VALOR TOTAL
 DEL PATRIMONIO 7/</v>
      </c>
      <c r="J44" s="2410" t="str">
        <f>CONCATENATE("MOVIMIENTO POR TRANSACCIONES Y VARIACIONES EN EL PATRIMONIO: ",Menu!D3,"T",Menu!C3," ",Menu!E4)</f>
        <v>MOVIMIENTO POR TRANSACCIONES Y VARIACIONES EN EL PATRIMONIO: 1T2020 (ENE - MAR)</v>
      </c>
      <c r="K44" s="2411"/>
      <c r="L44" s="2411"/>
      <c r="M44" s="2411"/>
      <c r="N44" s="2411"/>
      <c r="O44" s="2412"/>
      <c r="P44" s="2415" t="str">
        <f>"VALOR TOTAL
 DEL PATRIMONIO "&amp;D66&amp;"/"</f>
        <v>VALOR TOTAL
 DEL PATRIMONIO 7/</v>
      </c>
      <c r="Q44" s="1974"/>
      <c r="AA44" s="765"/>
    </row>
    <row r="45" spans="1:28" ht="53.25" customHeight="1" thickBot="1">
      <c r="C45" s="2426"/>
      <c r="D45" s="2427"/>
      <c r="F45" s="1538"/>
      <c r="G45" s="1538"/>
      <c r="H45" s="1539"/>
      <c r="I45" s="2416"/>
      <c r="J45" s="1540" t="str">
        <f>"PARTICIPACIONES
 DE CAPITAL "&amp;D67&amp;"/"</f>
        <v>PARTICIPACIONES
 DE CAPITAL 8/</v>
      </c>
      <c r="K45" s="2413" t="str">
        <f>"ESTADO DE RESULTADOS"&amp;"
Resultado Neto del Ejercicio "&amp;D68&amp;"/ "&amp;$D$69&amp;"/"</f>
        <v>ESTADO DE RESULTADOS
Resultado Neto del Ejercicio 9/ 10/</v>
      </c>
      <c r="L45" s="2414"/>
      <c r="M45" s="2417" t="s">
        <v>900</v>
      </c>
      <c r="N45" s="2418"/>
      <c r="O45" s="2419" t="str">
        <f>"OTRAS
 VARIACIONES "&amp;D74&amp;"/"</f>
        <v>OTRAS
 VARIACIONES 14/</v>
      </c>
      <c r="P45" s="2416"/>
      <c r="Q45" s="1975"/>
      <c r="AA45" s="765"/>
    </row>
    <row r="46" spans="1:28" ht="109.5" customHeight="1" thickTop="1" thickBot="1">
      <c r="C46" s="2227"/>
      <c r="D46" s="2228"/>
      <c r="F46" s="1541"/>
      <c r="G46" s="1542"/>
      <c r="H46" s="1543" t="str">
        <f>CONCATENATE("PORCENTAJE DE PARTICIPACIÓN ACCIONARIA INMEDIATA 
 A FINES DE","
 ",Menu!F3," ",IF(TRIM&gt;1,Menu!C3,Menu!C3-1))</f>
        <v>PORCENTAJE DE PARTICIPACIÓN ACCIONARIA INMEDIATA 
 A FINES DE
 DICIEMBRE 2019</v>
      </c>
      <c r="I46" s="1544" t="str">
        <f>+H13</f>
        <v>SALDO A FINES DE DICIEMBRE 2019</v>
      </c>
      <c r="J46" s="1514" t="s">
        <v>1610</v>
      </c>
      <c r="K46" s="1545" t="s">
        <v>289</v>
      </c>
      <c r="L46" s="1516" t="str">
        <f>"Del cual: 
exclusiones para la
Balanza de Pagos "&amp;D70&amp;"/"</f>
        <v>Del cual: 
exclusiones para la
Balanza de Pagos 11/</v>
      </c>
      <c r="M46" s="1517" t="str">
        <f>"Dividendos declarados "&amp;D72&amp;"/"</f>
        <v>Dividendos declarados 12/</v>
      </c>
      <c r="N46" s="1518" t="str">
        <f>"Dividendos pagados o utilidades remitidas "&amp;D73&amp;"/"</f>
        <v>Dividendos pagados o utilidades remitidas 13/</v>
      </c>
      <c r="O46" s="2420"/>
      <c r="P46" s="1544" t="str">
        <f>+O13</f>
        <v>SALDO A FINES DE MARZO 2020</v>
      </c>
      <c r="Q46" s="1546" t="str">
        <f>CONCATENATE("PORCENTAJE DE PARTICIPACIÓN ACCIONARIA INMEDIATA
A FINES DE","
 ",Menu!E3," ",Menu!C3)</f>
        <v>PORCENTAJE DE PARTICIPACIÓN ACCIONARIA INMEDIATA
A FINES DE
 MARZO 2020</v>
      </c>
      <c r="R46" s="2024" t="str">
        <f>"Ingrese el Saldo del Patimonio s/Balance a "&amp;Menu!E3&amp;" "&amp;Menu!C3</f>
        <v>Ingrese el Saldo del Patimonio s/Balance a MARZO 2020</v>
      </c>
      <c r="S46" s="2022" t="s">
        <v>4315</v>
      </c>
      <c r="AA46" s="765"/>
    </row>
    <row r="47" spans="1:28" ht="45.75" customHeight="1" thickBot="1">
      <c r="A47" s="1519" t="s">
        <v>894</v>
      </c>
      <c r="B47" s="1520" t="s">
        <v>895</v>
      </c>
      <c r="C47" s="1490" t="s">
        <v>68</v>
      </c>
      <c r="D47" s="1491" t="s">
        <v>69</v>
      </c>
      <c r="F47" s="1547" t="s">
        <v>801</v>
      </c>
      <c r="G47" s="1548" t="s">
        <v>1609</v>
      </c>
      <c r="H47" s="1549" t="s">
        <v>640</v>
      </c>
      <c r="I47" s="1550" t="s">
        <v>641</v>
      </c>
      <c r="J47" s="1550" t="s">
        <v>642</v>
      </c>
      <c r="K47" s="1551" t="s">
        <v>643</v>
      </c>
      <c r="L47" s="1552" t="s">
        <v>644</v>
      </c>
      <c r="M47" s="1553" t="s">
        <v>645</v>
      </c>
      <c r="N47" s="1554" t="s">
        <v>646</v>
      </c>
      <c r="O47" s="1550" t="s">
        <v>901</v>
      </c>
      <c r="P47" s="1555" t="s">
        <v>4262</v>
      </c>
      <c r="Q47" s="1556" t="s">
        <v>926</v>
      </c>
      <c r="R47" s="1550" t="s">
        <v>4267</v>
      </c>
      <c r="S47" s="1550" t="s">
        <v>4268</v>
      </c>
      <c r="AA47" s="765"/>
    </row>
    <row r="48" spans="1:28" s="1561" customFormat="1" ht="42" customHeight="1" thickBot="1">
      <c r="A48" s="1172">
        <f>+A21+1</f>
        <v>18</v>
      </c>
      <c r="B48" s="1177" t="s">
        <v>1777</v>
      </c>
      <c r="C48" s="1521"/>
      <c r="D48" s="1557" t="str">
        <f t="shared" ref="D48:D54" si="6">CONCATENATE(A48,B48)</f>
        <v>18.01.</v>
      </c>
      <c r="E48" s="1558"/>
      <c r="F48" s="1559" t="str">
        <f>+D48</f>
        <v>18.01.</v>
      </c>
      <c r="G48" s="1560" t="str">
        <f>"I. OBLIGACIONES PATRIMONIALES DE LA DECLARANTE (1 + 2 + 3)   "&amp;D60&amp;"/"</f>
        <v>I. OBLIGACIONES PATRIMONIALES DE LA DECLARANTE (1 + 2 + 3)   1/</v>
      </c>
      <c r="H48" s="1649">
        <f>SUM(H49,H54,H55)</f>
        <v>0</v>
      </c>
      <c r="I48" s="2030"/>
      <c r="J48" s="1842">
        <f>SUM(J49,J54,J55)</f>
        <v>0</v>
      </c>
      <c r="K48" s="2035"/>
      <c r="L48" s="2036"/>
      <c r="M48" s="2037"/>
      <c r="N48" s="2036"/>
      <c r="O48" s="2038"/>
      <c r="P48" s="1648">
        <f>+I48+J48+K48-M48-N48+O48</f>
        <v>0</v>
      </c>
      <c r="Q48" s="1649">
        <f>SUM(Q49,Q54,Q55)</f>
        <v>0</v>
      </c>
      <c r="R48" s="2056"/>
      <c r="S48" s="1976">
        <f>+R48-P48</f>
        <v>0</v>
      </c>
      <c r="T48" s="2019"/>
      <c r="U48" s="2020"/>
      <c r="V48" s="2020"/>
      <c r="W48" s="2020"/>
      <c r="X48" s="2020"/>
      <c r="Y48" s="2020"/>
      <c r="Z48" s="2020"/>
      <c r="AA48" s="2021"/>
      <c r="AB48" s="2020"/>
    </row>
    <row r="49" spans="1:28" s="938" customFormat="1" ht="42" customHeight="1">
      <c r="A49" s="1172">
        <f t="shared" ref="A49:A55" si="7">+A48</f>
        <v>18</v>
      </c>
      <c r="B49" s="1177" t="s">
        <v>1778</v>
      </c>
      <c r="C49" s="1523" t="s">
        <v>692</v>
      </c>
      <c r="D49" s="1351" t="str">
        <f t="shared" si="6"/>
        <v>18.01.01.</v>
      </c>
      <c r="E49" s="765"/>
      <c r="F49" s="1559" t="str">
        <f t="shared" ref="F49:F54" si="8">+D49</f>
        <v>18.01.01.</v>
      </c>
      <c r="G49" s="1562" t="s">
        <v>4316</v>
      </c>
      <c r="H49" s="1650">
        <f>SUM(H50:H53)</f>
        <v>0</v>
      </c>
      <c r="I49" s="1648">
        <f>SUM(I50:I53)</f>
        <v>0</v>
      </c>
      <c r="J49" s="1648">
        <f>SUM(J50:J53)</f>
        <v>0</v>
      </c>
      <c r="K49" s="2397" t="s">
        <v>4151</v>
      </c>
      <c r="L49" s="2398"/>
      <c r="M49" s="2398"/>
      <c r="N49" s="2398"/>
      <c r="O49" s="2399"/>
      <c r="P49" s="1648">
        <f>SUM(P50:P53)</f>
        <v>0</v>
      </c>
      <c r="Q49" s="1651">
        <f>SUM(Q50:Q53)</f>
        <v>0</v>
      </c>
      <c r="R49" s="2018"/>
      <c r="S49" s="2018"/>
      <c r="T49" s="2018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2">
        <f t="shared" si="7"/>
        <v>18</v>
      </c>
      <c r="B50" s="1177" t="s">
        <v>1805</v>
      </c>
      <c r="C50" s="1524">
        <v>501</v>
      </c>
      <c r="D50" s="1323" t="str">
        <f t="shared" si="6"/>
        <v>18.01.01.01</v>
      </c>
      <c r="E50" s="765"/>
      <c r="F50" s="1180" t="str">
        <f t="shared" si="8"/>
        <v>18.01.01.01</v>
      </c>
      <c r="G50" s="1563" t="str">
        <f>"1.1.  CON INVERSIONISTAS DIRECTOS DEL EXTERIOR "&amp;D61&amp;"/"</f>
        <v>1.1.  CON INVERSIONISTAS DIRECTOS DEL EXTERIOR 2/</v>
      </c>
      <c r="H50" s="2025"/>
      <c r="I50" s="1843">
        <f>(+H50/100)*$I$48</f>
        <v>0</v>
      </c>
      <c r="J50" s="2031"/>
      <c r="K50" s="2400"/>
      <c r="L50" s="2401"/>
      <c r="M50" s="2401"/>
      <c r="N50" s="2401"/>
      <c r="O50" s="2402"/>
      <c r="P50" s="1843">
        <f>+Q50/100*$P$48</f>
        <v>0</v>
      </c>
      <c r="Q50" s="2039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2">
        <f t="shared" si="7"/>
        <v>18</v>
      </c>
      <c r="B51" s="1177" t="s">
        <v>1806</v>
      </c>
      <c r="C51" s="1188">
        <v>501</v>
      </c>
      <c r="D51" s="1326" t="str">
        <f t="shared" si="6"/>
        <v>18.01.01.02</v>
      </c>
      <c r="E51" s="765"/>
      <c r="F51" s="1219" t="str">
        <f t="shared" si="8"/>
        <v>18.01.01.02</v>
      </c>
      <c r="G51" s="1564" t="str">
        <f>"1.2.  CON EMPRESAS DE INVERSIÓN DIRECTA EN EL EXTERIOR "&amp;D62&amp;"/"</f>
        <v>1.2.  CON EMPRESAS DE INVERSIÓN DIRECTA EN EL EXTERIOR 3/</v>
      </c>
      <c r="H51" s="2026"/>
      <c r="I51" s="1844">
        <f>(+H51/100)*$I$48</f>
        <v>0</v>
      </c>
      <c r="J51" s="2032"/>
      <c r="K51" s="2400"/>
      <c r="L51" s="2401"/>
      <c r="M51" s="2401"/>
      <c r="N51" s="2401"/>
      <c r="O51" s="2402"/>
      <c r="P51" s="1844">
        <f>+Q51/100*$P$48</f>
        <v>0</v>
      </c>
      <c r="Q51" s="2040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2">
        <f t="shared" si="7"/>
        <v>18</v>
      </c>
      <c r="B52" s="1177" t="s">
        <v>1807</v>
      </c>
      <c r="C52" s="1188">
        <v>501</v>
      </c>
      <c r="D52" s="1326" t="str">
        <f t="shared" si="6"/>
        <v>18.01.01.03</v>
      </c>
      <c r="E52" s="765"/>
      <c r="F52" s="1219" t="str">
        <f t="shared" si="8"/>
        <v>18.01.01.03</v>
      </c>
      <c r="G52" s="1564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6"/>
      <c r="I52" s="1844">
        <f>(+H52/100)*$I$48</f>
        <v>0</v>
      </c>
      <c r="J52" s="2032"/>
      <c r="K52" s="2400"/>
      <c r="L52" s="2401"/>
      <c r="M52" s="2401"/>
      <c r="N52" s="2401"/>
      <c r="O52" s="2402"/>
      <c r="P52" s="1844">
        <f>+Q52/100*$P$48</f>
        <v>0</v>
      </c>
      <c r="Q52" s="2040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2">
        <f t="shared" si="7"/>
        <v>18</v>
      </c>
      <c r="B53" s="1177" t="s">
        <v>1808</v>
      </c>
      <c r="C53" s="1188">
        <v>501</v>
      </c>
      <c r="D53" s="1326" t="str">
        <f t="shared" si="6"/>
        <v>18.01.01.04</v>
      </c>
      <c r="E53" s="765"/>
      <c r="F53" s="1219" t="str">
        <f t="shared" si="8"/>
        <v>18.01.01.04</v>
      </c>
      <c r="G53" s="1564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7"/>
      <c r="I53" s="1843">
        <f>(+H53/100)*$I$48</f>
        <v>0</v>
      </c>
      <c r="J53" s="2031"/>
      <c r="K53" s="2400"/>
      <c r="L53" s="2401"/>
      <c r="M53" s="2401"/>
      <c r="N53" s="2401"/>
      <c r="O53" s="2402"/>
      <c r="P53" s="1843">
        <f>+Q53/100*$P$48</f>
        <v>0</v>
      </c>
      <c r="Q53" s="2041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5">
        <f t="shared" si="7"/>
        <v>18</v>
      </c>
      <c r="B54" s="1526" t="s">
        <v>1779</v>
      </c>
      <c r="C54" s="1523">
        <v>502</v>
      </c>
      <c r="D54" s="1351" t="str">
        <f t="shared" si="6"/>
        <v>18.01.02.</v>
      </c>
      <c r="E54" s="765"/>
      <c r="F54" s="1565" t="str">
        <f t="shared" si="8"/>
        <v>18.01.02.</v>
      </c>
      <c r="G54" s="1566" t="str">
        <f>"2. CON NO RESIDENTES: NO RELACIONADOS "&amp;D64&amp;"/"</f>
        <v>2. CON NO RESIDENTES: NO RELACIONADOS 5/</v>
      </c>
      <c r="H54" s="2028"/>
      <c r="I54" s="1845">
        <f>(+H54/100)*$I$48</f>
        <v>0</v>
      </c>
      <c r="J54" s="2033"/>
      <c r="K54" s="2400"/>
      <c r="L54" s="2401"/>
      <c r="M54" s="2401"/>
      <c r="N54" s="2401"/>
      <c r="O54" s="2402"/>
      <c r="P54" s="1845">
        <f>+Q54/100*$P$48</f>
        <v>0</v>
      </c>
      <c r="Q54" s="2042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5">
        <f t="shared" si="7"/>
        <v>18</v>
      </c>
      <c r="B55" s="1526" t="s">
        <v>1788</v>
      </c>
      <c r="C55" s="1523" t="s">
        <v>692</v>
      </c>
      <c r="D55" s="1351" t="str">
        <f>CONCATENATE(A55,B55)</f>
        <v>18.01.03.</v>
      </c>
      <c r="E55" s="1567"/>
      <c r="F55" s="1568" t="str">
        <f>+D55</f>
        <v>18.01.03.</v>
      </c>
      <c r="G55" s="1569" t="str">
        <f>"3. CON RESIDENTES (relacionados / no relacionados) "&amp;D65&amp;"/"</f>
        <v>3. CON RESIDENTES (relacionados / no relacionados) 6/</v>
      </c>
      <c r="H55" s="2029"/>
      <c r="I55" s="1846">
        <f>+I48-I49-I54</f>
        <v>0</v>
      </c>
      <c r="J55" s="2034"/>
      <c r="K55" s="2403"/>
      <c r="L55" s="2404"/>
      <c r="M55" s="2404"/>
      <c r="N55" s="2404"/>
      <c r="O55" s="2405"/>
      <c r="P55" s="1846">
        <f>+P48-P49-P54</f>
        <v>0</v>
      </c>
      <c r="Q55" s="2043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2"/>
      <c r="B56" s="1177"/>
      <c r="F56" s="765"/>
      <c r="G56" s="2071" t="s">
        <v>4317</v>
      </c>
      <c r="H56" s="2023">
        <f>100-SUM(H50:H55)</f>
        <v>100</v>
      </c>
      <c r="I56" s="2423"/>
      <c r="J56" s="2424"/>
      <c r="K56" s="2424"/>
      <c r="L56" s="2424"/>
      <c r="M56" s="2424"/>
      <c r="N56" s="2424"/>
      <c r="O56" s="2424"/>
      <c r="P56" s="2425"/>
      <c r="Q56" s="2023">
        <f>100-SUM(Q50:Q55)</f>
        <v>100</v>
      </c>
    </row>
    <row r="57" spans="1:28" ht="39.75" customHeight="1" thickTop="1" thickBot="1">
      <c r="A57" s="1172"/>
      <c r="B57" s="1177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0" t="s">
        <v>1605</v>
      </c>
      <c r="G58" s="1851"/>
      <c r="H58" s="1851"/>
      <c r="I58" s="1851"/>
      <c r="J58" s="1851"/>
      <c r="K58" s="1851"/>
      <c r="L58" s="1851"/>
      <c r="M58" s="1851"/>
      <c r="N58" s="1851"/>
      <c r="O58" s="1851"/>
      <c r="P58" s="1439"/>
      <c r="Q58" s="1440"/>
    </row>
    <row r="59" spans="1:28" ht="27.75" customHeight="1">
      <c r="F59" s="1852" t="s">
        <v>4195</v>
      </c>
      <c r="G59" s="2061"/>
      <c r="H59" s="2061"/>
      <c r="I59" s="2061"/>
      <c r="J59" s="2061"/>
      <c r="K59" s="2061"/>
      <c r="L59" s="2061"/>
      <c r="M59" s="2061"/>
      <c r="N59" s="2061"/>
      <c r="O59" s="2061"/>
      <c r="P59" s="2062"/>
      <c r="Q59" s="2063"/>
    </row>
    <row r="60" spans="1:28" s="765" customFormat="1" ht="27.75" customHeight="1">
      <c r="D60" s="831">
        <v>1</v>
      </c>
      <c r="E60" s="777"/>
      <c r="F60" s="1531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7"/>
      <c r="H60" s="2057"/>
      <c r="I60" s="2057"/>
      <c r="J60" s="2057"/>
      <c r="K60" s="2057"/>
      <c r="L60" s="2057"/>
      <c r="M60" s="2057"/>
      <c r="N60" s="2057"/>
      <c r="O60" s="2058"/>
      <c r="P60" s="2061"/>
      <c r="Q60" s="2064"/>
    </row>
    <row r="61" spans="1:28" ht="27.75" customHeight="1">
      <c r="C61" s="1147"/>
      <c r="D61" s="831">
        <f>COUNTA($D$60:D60)+1</f>
        <v>2</v>
      </c>
      <c r="F61" s="1531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1"/>
      <c r="H61" s="2061"/>
      <c r="I61" s="2061"/>
      <c r="J61" s="2061"/>
      <c r="K61" s="2061"/>
      <c r="L61" s="2061"/>
      <c r="M61" s="2061"/>
      <c r="N61" s="2061"/>
      <c r="O61" s="2061"/>
      <c r="P61" s="2062"/>
      <c r="Q61" s="2063"/>
    </row>
    <row r="62" spans="1:28" ht="27.75" customHeight="1">
      <c r="C62" s="1147"/>
      <c r="D62" s="831">
        <f>COUNTA($D$60:D61)+1</f>
        <v>3</v>
      </c>
      <c r="F62" s="1531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1"/>
      <c r="H62" s="2061"/>
      <c r="I62" s="2061"/>
      <c r="J62" s="2061"/>
      <c r="K62" s="2061"/>
      <c r="L62" s="2061"/>
      <c r="M62" s="2061"/>
      <c r="N62" s="2061"/>
      <c r="O62" s="2061"/>
      <c r="P62" s="2062"/>
      <c r="Q62" s="2063"/>
    </row>
    <row r="63" spans="1:28" ht="27.75" customHeight="1">
      <c r="C63" s="1147"/>
      <c r="D63" s="831">
        <f>COUNTA($D$60:D62)+1</f>
        <v>4</v>
      </c>
      <c r="F63" s="1531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1"/>
      <c r="H63" s="2061"/>
      <c r="I63" s="2061"/>
      <c r="J63" s="2061"/>
      <c r="K63" s="2061"/>
      <c r="L63" s="2061"/>
      <c r="M63" s="2061"/>
      <c r="N63" s="2061"/>
      <c r="O63" s="2061"/>
      <c r="P63" s="2062"/>
      <c r="Q63" s="2063"/>
    </row>
    <row r="64" spans="1:28" ht="27.75" customHeight="1">
      <c r="C64" s="1147"/>
      <c r="D64" s="831">
        <f>COUNTA($D$60:D63)+1</f>
        <v>5</v>
      </c>
      <c r="F64" s="1531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1"/>
      <c r="H64" s="2061"/>
      <c r="I64" s="2061"/>
      <c r="J64" s="2061"/>
      <c r="K64" s="2061"/>
      <c r="L64" s="2061"/>
      <c r="M64" s="2061"/>
      <c r="N64" s="2061"/>
      <c r="O64" s="2061"/>
      <c r="P64" s="2062"/>
      <c r="Q64" s="2063"/>
    </row>
    <row r="65" spans="3:17" ht="27.75" customHeight="1">
      <c r="C65" s="1147"/>
      <c r="D65" s="831">
        <f>COUNTA($D$60:D64)+1</f>
        <v>6</v>
      </c>
      <c r="F65" s="1531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1"/>
      <c r="H65" s="2061"/>
      <c r="I65" s="2061"/>
      <c r="J65" s="2061"/>
      <c r="K65" s="2061"/>
      <c r="L65" s="2061"/>
      <c r="M65" s="2061"/>
      <c r="N65" s="2061"/>
      <c r="O65" s="2061"/>
      <c r="P65" s="2062"/>
      <c r="Q65" s="2063"/>
    </row>
    <row r="66" spans="3:17" ht="27.75" customHeight="1">
      <c r="D66" s="831">
        <f>COUNTA($D$60:D65)+1</f>
        <v>7</v>
      </c>
      <c r="E66" s="1150"/>
      <c r="F66" s="1531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5"/>
      <c r="H66" s="2065"/>
      <c r="I66" s="2065"/>
      <c r="J66" s="2065"/>
      <c r="K66" s="2065"/>
      <c r="L66" s="2065"/>
      <c r="M66" s="2065"/>
      <c r="N66" s="2065"/>
      <c r="O66" s="2065"/>
      <c r="P66" s="2062"/>
      <c r="Q66" s="2063"/>
    </row>
    <row r="67" spans="3:17" s="765" customFormat="1" ht="27.75" customHeight="1">
      <c r="D67" s="831">
        <f>COUNTA($D$60:D66)+1</f>
        <v>8</v>
      </c>
      <c r="F67" s="1531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7"/>
      <c r="H67" s="2057"/>
      <c r="I67" s="2057"/>
      <c r="J67" s="2057"/>
      <c r="K67" s="2057"/>
      <c r="L67" s="2057"/>
      <c r="M67" s="2057"/>
      <c r="N67" s="2057"/>
      <c r="O67" s="2058"/>
      <c r="P67" s="2061"/>
      <c r="Q67" s="2064"/>
    </row>
    <row r="68" spans="3:17" s="765" customFormat="1" ht="27.75" customHeight="1">
      <c r="D68" s="831">
        <f>COUNTA($D$60:D67)+1</f>
        <v>9</v>
      </c>
      <c r="F68" s="1531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7"/>
      <c r="H68" s="2057"/>
      <c r="I68" s="2057"/>
      <c r="J68" s="2057"/>
      <c r="K68" s="2057"/>
      <c r="L68" s="2057"/>
      <c r="M68" s="2057"/>
      <c r="N68" s="2057"/>
      <c r="O68" s="2058"/>
      <c r="P68" s="2061"/>
      <c r="Q68" s="2064"/>
    </row>
    <row r="69" spans="3:17" s="765" customFormat="1" ht="27.75" customHeight="1">
      <c r="D69" s="831">
        <f>COUNTA($D$60:D68)+1</f>
        <v>10</v>
      </c>
      <c r="E69" s="777"/>
      <c r="F69" s="1531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7"/>
      <c r="H69" s="2057"/>
      <c r="I69" s="2057"/>
      <c r="J69" s="2057"/>
      <c r="K69" s="2057"/>
      <c r="L69" s="2057"/>
      <c r="M69" s="2057"/>
      <c r="N69" s="2057"/>
      <c r="O69" s="2058"/>
      <c r="P69" s="2061"/>
      <c r="Q69" s="2064"/>
    </row>
    <row r="70" spans="3:17" s="765" customFormat="1" ht="27.75" customHeight="1">
      <c r="D70" s="831">
        <f>COUNTA($D$60:D69)+1</f>
        <v>11</v>
      </c>
      <c r="E70" s="777"/>
      <c r="F70" s="1531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7"/>
      <c r="H70" s="2057"/>
      <c r="I70" s="2057"/>
      <c r="J70" s="2057"/>
      <c r="K70" s="2057"/>
      <c r="L70" s="2057"/>
      <c r="M70" s="2057"/>
      <c r="N70" s="2057"/>
      <c r="O70" s="2058"/>
      <c r="P70" s="2061"/>
      <c r="Q70" s="2064"/>
    </row>
    <row r="71" spans="3:17" s="765" customFormat="1" ht="27.75" customHeight="1">
      <c r="D71" s="831"/>
      <c r="E71" s="777"/>
      <c r="F71" s="1531" t="s">
        <v>4215</v>
      </c>
      <c r="G71" s="2057"/>
      <c r="H71" s="2057"/>
      <c r="I71" s="2057"/>
      <c r="J71" s="2057"/>
      <c r="K71" s="2057"/>
      <c r="L71" s="2057"/>
      <c r="M71" s="2057"/>
      <c r="N71" s="2057"/>
      <c r="O71" s="2058"/>
      <c r="P71" s="2061"/>
      <c r="Q71" s="2064"/>
    </row>
    <row r="72" spans="3:17" s="765" customFormat="1" ht="27.75" customHeight="1">
      <c r="D72" s="831">
        <f>COUNTA($D$60:D70)+1</f>
        <v>12</v>
      </c>
      <c r="E72" s="777"/>
      <c r="F72" s="1531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7"/>
      <c r="H72" s="2057"/>
      <c r="I72" s="2057"/>
      <c r="J72" s="2057"/>
      <c r="K72" s="2057"/>
      <c r="L72" s="2057"/>
      <c r="M72" s="2057"/>
      <c r="N72" s="2057"/>
      <c r="O72" s="2058"/>
      <c r="P72" s="2061"/>
      <c r="Q72" s="2064"/>
    </row>
    <row r="73" spans="3:17" s="765" customFormat="1" ht="27.75" customHeight="1">
      <c r="D73" s="831">
        <f>COUNTA($D$60:D72)+1</f>
        <v>13</v>
      </c>
      <c r="E73" s="777"/>
      <c r="F73" s="1531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7"/>
      <c r="H73" s="2057"/>
      <c r="I73" s="2057"/>
      <c r="J73" s="2057"/>
      <c r="K73" s="2057"/>
      <c r="L73" s="2057"/>
      <c r="M73" s="2057"/>
      <c r="N73" s="2057"/>
      <c r="O73" s="2058"/>
      <c r="P73" s="2061"/>
      <c r="Q73" s="2064"/>
    </row>
    <row r="74" spans="3:17" s="765" customFormat="1" ht="27.75" customHeight="1" thickBot="1">
      <c r="D74" s="831">
        <f>COUNTA($D$60:D73)+1</f>
        <v>14</v>
      </c>
      <c r="E74" s="777"/>
      <c r="F74" s="1533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59"/>
      <c r="H74" s="2059"/>
      <c r="I74" s="2059"/>
      <c r="J74" s="2059"/>
      <c r="K74" s="2059"/>
      <c r="L74" s="2059"/>
      <c r="M74" s="2059"/>
      <c r="N74" s="2059"/>
      <c r="O74" s="2060"/>
      <c r="P74" s="2066"/>
      <c r="Q74" s="2067"/>
    </row>
    <row r="75" spans="3:17" ht="16.5" thickTop="1"/>
  </sheetData>
  <sheetProtection password="EC0E" sheet="1" objects="1" scenarios="1"/>
  <mergeCells count="20">
    <mergeCell ref="I56:P56"/>
    <mergeCell ref="C44:D46"/>
    <mergeCell ref="F13:G13"/>
    <mergeCell ref="J12:K12"/>
    <mergeCell ref="L12:M12"/>
    <mergeCell ref="N12:N13"/>
    <mergeCell ref="H11:H12"/>
    <mergeCell ref="C11:D13"/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60" zoomScaleNormal="60" workbookViewId="0">
      <pane xSplit="1" ySplit="6" topLeftCell="G114" activePane="bottomRight" state="frozen"/>
      <selection activeCell="F3" sqref="F3"/>
      <selection pane="topRight" activeCell="G3" sqref="G3"/>
      <selection pane="bottomLeft" activeCell="F9" sqref="F9"/>
      <selection pane="bottomRight" activeCell="L12" sqref="L12"/>
    </sheetView>
  </sheetViews>
  <sheetFormatPr baseColWidth="10" defaultRowHeight="15.75"/>
  <cols>
    <col min="1" max="1" width="11.42578125" style="1577" hidden="1" customWidth="1"/>
    <col min="2" max="2" width="22.140625" style="1577" hidden="1" customWidth="1"/>
    <col min="3" max="3" width="23.42578125" style="1646" hidden="1" customWidth="1"/>
    <col min="4" max="4" width="23.7109375" style="1577" hidden="1" customWidth="1"/>
    <col min="5" max="5" width="29.42578125" style="1577" hidden="1" customWidth="1"/>
    <col min="6" max="6" width="7" style="1010" customWidth="1"/>
    <col min="7" max="7" width="21.42578125" style="1159" customWidth="1"/>
    <col min="8" max="8" width="153.5703125" style="1159" customWidth="1"/>
    <col min="9" max="9" width="32" style="1159" customWidth="1"/>
    <col min="10" max="10" width="23.140625" style="1010" customWidth="1"/>
    <col min="11" max="15" width="11.42578125" style="1009"/>
    <col min="16" max="16384" width="11.42578125" style="1159"/>
  </cols>
  <sheetData>
    <row r="1" spans="1:15" ht="25.5" customHeight="1">
      <c r="A1" s="1010"/>
      <c r="B1" s="1010"/>
      <c r="C1" s="1575"/>
      <c r="D1" s="1010"/>
      <c r="E1" s="1010"/>
      <c r="G1" s="1306" t="s">
        <v>1897</v>
      </c>
      <c r="H1" s="1306"/>
      <c r="I1" s="1308" t="s">
        <v>1898</v>
      </c>
      <c r="J1" s="1308" t="s">
        <v>1899</v>
      </c>
    </row>
    <row r="2" spans="1:15" ht="8.25" customHeight="1">
      <c r="A2" s="1010"/>
      <c r="B2" s="1010"/>
      <c r="C2" s="1575"/>
      <c r="D2" s="1010"/>
      <c r="E2" s="1010"/>
      <c r="G2" s="1009"/>
      <c r="H2" s="1009"/>
      <c r="I2" s="1009"/>
    </row>
    <row r="3" spans="1:15" s="1009" customFormat="1" ht="17.25" customHeight="1">
      <c r="A3" s="1010"/>
      <c r="B3" s="1010"/>
      <c r="C3" s="1575"/>
      <c r="D3" s="1010"/>
      <c r="E3" s="1010"/>
      <c r="F3" s="1010"/>
      <c r="G3" s="1999"/>
      <c r="H3" s="2000"/>
      <c r="I3" s="2000"/>
      <c r="J3" s="2001"/>
    </row>
    <row r="4" spans="1:15" s="1009" customFormat="1" ht="35.25">
      <c r="A4" s="1010"/>
      <c r="C4" s="1575"/>
      <c r="D4" s="1010"/>
      <c r="E4" s="1010"/>
      <c r="F4" s="1010"/>
      <c r="G4" s="186" t="str">
        <f ca="1">$B$10&amp;"  Inversión directa por país de origen y de destino."</f>
        <v>Tabla VII.1.  Inversión directa por país de origen y de destino.</v>
      </c>
      <c r="H4" s="771"/>
      <c r="I4" s="1012"/>
      <c r="J4" s="770"/>
    </row>
    <row r="5" spans="1:15" s="1009" customFormat="1" ht="70.5" customHeight="1">
      <c r="A5" s="1010"/>
      <c r="B5" s="1010"/>
      <c r="C5" s="1575"/>
      <c r="D5" s="1010"/>
      <c r="E5" s="1010"/>
      <c r="F5" s="1010"/>
      <c r="G5" s="2443" t="s">
        <v>1637</v>
      </c>
      <c r="H5" s="2443"/>
      <c r="I5" s="2443"/>
      <c r="J5" s="2443"/>
    </row>
    <row r="6" spans="1:15" s="1009" customFormat="1" ht="36.75" customHeight="1">
      <c r="A6" s="1010"/>
      <c r="B6" s="1010"/>
      <c r="C6" s="1575"/>
      <c r="D6" s="1010"/>
      <c r="E6" s="1010"/>
      <c r="F6" s="1010"/>
      <c r="G6" s="2014" t="s">
        <v>1629</v>
      </c>
      <c r="H6" s="773"/>
      <c r="I6" s="773"/>
      <c r="J6" s="1013"/>
    </row>
    <row r="7" spans="1:15" s="1009" customFormat="1" ht="39.75" customHeight="1">
      <c r="A7" s="1010"/>
      <c r="B7" s="1010"/>
      <c r="C7" s="1575"/>
      <c r="D7" s="1010"/>
      <c r="E7" s="1010"/>
      <c r="F7" s="1010"/>
      <c r="G7" s="2444" t="s">
        <v>4295</v>
      </c>
      <c r="H7" s="2444"/>
      <c r="I7" s="2444"/>
      <c r="J7" s="2444"/>
    </row>
    <row r="8" spans="1:15" s="1009" customFormat="1" ht="15" customHeight="1">
      <c r="A8" s="1010"/>
      <c r="C8" s="1575"/>
      <c r="D8" s="1010"/>
      <c r="E8" s="1010"/>
      <c r="F8" s="1010"/>
      <c r="G8" s="772"/>
      <c r="H8" s="773"/>
      <c r="I8" s="773"/>
      <c r="J8" s="1013"/>
    </row>
    <row r="9" spans="1:15" s="1009" customFormat="1" ht="30">
      <c r="A9" s="1010"/>
      <c r="B9" s="1010"/>
      <c r="C9" s="1575"/>
      <c r="D9" s="1010"/>
      <c r="E9" s="1010"/>
      <c r="F9" s="1010"/>
      <c r="G9" s="181" t="s">
        <v>4177</v>
      </c>
      <c r="H9" s="1012"/>
      <c r="I9" s="1012"/>
      <c r="J9" s="770"/>
    </row>
    <row r="10" spans="1:15" s="1009" customFormat="1" ht="23.25" thickBot="1">
      <c r="A10" s="1010"/>
      <c r="B10" s="1576" t="str">
        <f ca="1">RIGHT(CELL("nombrearchivo",$A$1),LEN(CELL("nombrearchivo",$A$1))-SEARCH("]",CELL("nombrearchivo",$A$1)))</f>
        <v>Tabla VII.1.</v>
      </c>
      <c r="C10" s="1575"/>
      <c r="D10" s="1010"/>
      <c r="E10" s="1010"/>
      <c r="F10" s="1010"/>
      <c r="G10" s="203" t="s">
        <v>920</v>
      </c>
      <c r="H10" s="770"/>
      <c r="I10" s="770"/>
      <c r="J10" s="770"/>
    </row>
    <row r="11" spans="1:15" ht="92.25" customHeight="1" thickTop="1">
      <c r="B11" s="2436" t="str">
        <f ca="1">RIGHT(CELL("nombrearchivo",$A$1),LEN(CELL("nombrearchivo",$A$1))-SEARCH("]",CELL("nombrearchivo",$A$1)))</f>
        <v>Tabla VII.1.</v>
      </c>
      <c r="C11" s="2437"/>
      <c r="D11" s="2437"/>
      <c r="E11" s="2438"/>
      <c r="G11" s="1578"/>
      <c r="H11" s="1579"/>
      <c r="I11" s="1580" t="str">
        <f>"VALOR DE LA PARTICIPACIÓN PATRIMONIAL DE LA EMPRESA DECLARANTE "&amp;E63&amp;"/"</f>
        <v>VALOR DE LA PARTICIPACIÓN PATRIMONIAL DE LA EMPRESA DECLARANTE 1/</v>
      </c>
      <c r="J11" s="1581"/>
      <c r="K11" s="1582"/>
      <c r="L11" s="1582"/>
      <c r="M11" s="1582"/>
      <c r="N11" s="1582"/>
      <c r="O11" s="1582"/>
    </row>
    <row r="12" spans="1:15" ht="56.25" customHeight="1" thickBot="1">
      <c r="B12" s="2439"/>
      <c r="C12" s="2440"/>
      <c r="D12" s="2440"/>
      <c r="E12" s="2441"/>
      <c r="G12" s="1512"/>
      <c r="H12" s="1583"/>
      <c r="I12" s="1584" t="str">
        <f>CONCATENATE("SALDO A FINES DE"," ",Menu!$E$3," ",Menu!$C$3)</f>
        <v>SALDO A FINES DE MARZO 2020</v>
      </c>
      <c r="J12" s="1585"/>
      <c r="K12" s="1582"/>
      <c r="L12" s="1582"/>
      <c r="M12" s="1582"/>
      <c r="N12" s="1582"/>
      <c r="O12" s="1582"/>
    </row>
    <row r="13" spans="1:15" s="1171" customFormat="1" ht="27.75" customHeight="1" thickBot="1">
      <c r="A13" s="1586"/>
      <c r="B13" s="1587" t="s">
        <v>65</v>
      </c>
      <c r="C13" s="1588" t="s">
        <v>66</v>
      </c>
      <c r="D13" s="1589" t="s">
        <v>67</v>
      </c>
      <c r="E13" s="1590" t="s">
        <v>686</v>
      </c>
      <c r="F13" s="1316"/>
      <c r="G13" s="1591" t="s">
        <v>1896</v>
      </c>
      <c r="H13" s="1592" t="s">
        <v>1895</v>
      </c>
      <c r="I13" s="1593" t="s">
        <v>795</v>
      </c>
      <c r="J13" s="1594"/>
      <c r="K13" s="1595"/>
      <c r="L13" s="1595"/>
      <c r="M13" s="1595"/>
      <c r="N13" s="1595"/>
      <c r="O13" s="1595"/>
    </row>
    <row r="14" spans="1:15" s="1171" customFormat="1" ht="27.75" customHeight="1" thickTop="1" thickBot="1">
      <c r="A14" s="1586">
        <v>1</v>
      </c>
      <c r="B14" s="1596"/>
      <c r="C14" s="1597" t="s">
        <v>1703</v>
      </c>
      <c r="D14" s="1598" t="str">
        <f>+'Tabla VI.'!F17</f>
        <v>17.01.01.01</v>
      </c>
      <c r="E14" s="1599" t="s">
        <v>685</v>
      </c>
      <c r="F14" s="1316"/>
      <c r="G14" s="1600" t="str">
        <f>+C14</f>
        <v>01.01.01.</v>
      </c>
      <c r="H14" s="1601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4"/>
      <c r="K14" s="1042"/>
      <c r="L14" s="1595"/>
      <c r="M14" s="1595"/>
      <c r="N14" s="1595"/>
      <c r="O14" s="1595"/>
    </row>
    <row r="15" spans="1:15" s="1171" customFormat="1" ht="27.75" customHeight="1" thickTop="1">
      <c r="A15" s="1586">
        <f>+A14+1</f>
        <v>2</v>
      </c>
      <c r="B15" s="1602"/>
      <c r="C15" s="1603" t="s">
        <v>802</v>
      </c>
      <c r="D15" s="1604"/>
      <c r="E15" s="1605"/>
      <c r="F15" s="1316"/>
      <c r="G15" s="1606" t="str">
        <f t="shared" ref="G15:G61" si="0">+C15</f>
        <v>01.01.01.01.</v>
      </c>
      <c r="H15" s="1571" t="s">
        <v>61</v>
      </c>
      <c r="I15" s="498"/>
      <c r="J15" s="1594"/>
      <c r="K15" s="1042"/>
      <c r="L15" s="1595"/>
      <c r="M15" s="1595"/>
      <c r="N15" s="1595"/>
      <c r="O15" s="1595"/>
    </row>
    <row r="16" spans="1:15" s="1171" customFormat="1" ht="27.75" customHeight="1">
      <c r="A16" s="1586">
        <f t="shared" ref="A16:A61" si="1">+A15+1</f>
        <v>3</v>
      </c>
      <c r="B16" s="1602"/>
      <c r="C16" s="1603" t="s">
        <v>803</v>
      </c>
      <c r="D16" s="1604"/>
      <c r="E16" s="1605"/>
      <c r="F16" s="1316"/>
      <c r="G16" s="1606" t="str">
        <f t="shared" si="0"/>
        <v>01.01.01.02.</v>
      </c>
      <c r="H16" s="1571" t="s">
        <v>61</v>
      </c>
      <c r="I16" s="498"/>
      <c r="J16" s="1594"/>
      <c r="K16" s="1042"/>
      <c r="L16" s="1595"/>
      <c r="M16" s="1595"/>
      <c r="N16" s="1595"/>
      <c r="O16" s="1595"/>
    </row>
    <row r="17" spans="1:15" s="1171" customFormat="1" ht="27.75" customHeight="1">
      <c r="A17" s="1586">
        <f t="shared" si="1"/>
        <v>4</v>
      </c>
      <c r="B17" s="1602"/>
      <c r="C17" s="1603" t="s">
        <v>804</v>
      </c>
      <c r="D17" s="1604"/>
      <c r="E17" s="1605"/>
      <c r="F17" s="1316"/>
      <c r="G17" s="1606" t="str">
        <f t="shared" si="0"/>
        <v>01.01.01.03.</v>
      </c>
      <c r="H17" s="1571" t="s">
        <v>61</v>
      </c>
      <c r="I17" s="498"/>
      <c r="J17" s="1594"/>
      <c r="K17" s="1042"/>
      <c r="L17" s="1595"/>
      <c r="M17" s="1595"/>
      <c r="N17" s="1595"/>
      <c r="O17" s="1595"/>
    </row>
    <row r="18" spans="1:15" s="1171" customFormat="1" ht="27.75" customHeight="1">
      <c r="A18" s="1586">
        <f t="shared" si="1"/>
        <v>5</v>
      </c>
      <c r="B18" s="1602"/>
      <c r="C18" s="1603" t="s">
        <v>805</v>
      </c>
      <c r="D18" s="1604"/>
      <c r="E18" s="1605"/>
      <c r="F18" s="1316"/>
      <c r="G18" s="1606" t="str">
        <f t="shared" si="0"/>
        <v>01.01.01.04.</v>
      </c>
      <c r="H18" s="1571" t="s">
        <v>61</v>
      </c>
      <c r="I18" s="498"/>
      <c r="J18" s="1594"/>
      <c r="K18" s="1042"/>
      <c r="L18" s="1595"/>
      <c r="M18" s="1595"/>
      <c r="N18" s="1595"/>
      <c r="O18" s="1595"/>
    </row>
    <row r="19" spans="1:15" s="1171" customFormat="1" ht="27.75" customHeight="1">
      <c r="A19" s="1586">
        <f t="shared" si="1"/>
        <v>6</v>
      </c>
      <c r="B19" s="1602"/>
      <c r="C19" s="1603" t="s">
        <v>806</v>
      </c>
      <c r="D19" s="1604"/>
      <c r="E19" s="1605"/>
      <c r="F19" s="1316"/>
      <c r="G19" s="1606" t="str">
        <f t="shared" si="0"/>
        <v>01.01.01.05.</v>
      </c>
      <c r="H19" s="1571" t="s">
        <v>61</v>
      </c>
      <c r="I19" s="498"/>
      <c r="J19" s="1594"/>
      <c r="K19" s="1042"/>
      <c r="L19" s="1595"/>
      <c r="M19" s="1595"/>
      <c r="N19" s="1595"/>
      <c r="O19" s="1595"/>
    </row>
    <row r="20" spans="1:15" s="1171" customFormat="1" ht="27.75" customHeight="1">
      <c r="A20" s="1586">
        <f t="shared" si="1"/>
        <v>7</v>
      </c>
      <c r="B20" s="1602"/>
      <c r="C20" s="1603" t="s">
        <v>807</v>
      </c>
      <c r="D20" s="1604"/>
      <c r="E20" s="1605"/>
      <c r="F20" s="1316"/>
      <c r="G20" s="1606" t="str">
        <f t="shared" si="0"/>
        <v>01.01.01.06.</v>
      </c>
      <c r="H20" s="1571" t="s">
        <v>61</v>
      </c>
      <c r="I20" s="498"/>
      <c r="J20" s="1594"/>
      <c r="K20" s="1042"/>
      <c r="L20" s="1595"/>
      <c r="M20" s="1595"/>
      <c r="N20" s="1595"/>
      <c r="O20" s="1595"/>
    </row>
    <row r="21" spans="1:15" s="1171" customFormat="1" ht="27.75" customHeight="1">
      <c r="A21" s="1586">
        <f t="shared" si="1"/>
        <v>8</v>
      </c>
      <c r="B21" s="1602"/>
      <c r="C21" s="1603" t="s">
        <v>808</v>
      </c>
      <c r="D21" s="1604"/>
      <c r="E21" s="1605"/>
      <c r="F21" s="1316"/>
      <c r="G21" s="1606" t="str">
        <f t="shared" si="0"/>
        <v>01.01.01.07.</v>
      </c>
      <c r="H21" s="1571" t="s">
        <v>61</v>
      </c>
      <c r="I21" s="498"/>
      <c r="J21" s="1594"/>
      <c r="K21" s="1042"/>
      <c r="L21" s="1595"/>
      <c r="M21" s="1595"/>
      <c r="N21" s="1595"/>
      <c r="O21" s="1595"/>
    </row>
    <row r="22" spans="1:15" s="1171" customFormat="1" ht="27.75" customHeight="1">
      <c r="A22" s="1586">
        <f t="shared" si="1"/>
        <v>9</v>
      </c>
      <c r="B22" s="1602"/>
      <c r="C22" s="1603" t="s">
        <v>809</v>
      </c>
      <c r="D22" s="1604"/>
      <c r="E22" s="1605"/>
      <c r="F22" s="1316"/>
      <c r="G22" s="1606" t="str">
        <f t="shared" si="0"/>
        <v>01.01.01.08.</v>
      </c>
      <c r="H22" s="1571" t="s">
        <v>61</v>
      </c>
      <c r="I22" s="498"/>
      <c r="J22" s="1594"/>
      <c r="K22" s="1042"/>
      <c r="L22" s="1595"/>
      <c r="M22" s="1595"/>
      <c r="N22" s="1595"/>
      <c r="O22" s="1595"/>
    </row>
    <row r="23" spans="1:15" s="1171" customFormat="1" ht="27.75" customHeight="1">
      <c r="A23" s="1586">
        <f t="shared" si="1"/>
        <v>10</v>
      </c>
      <c r="B23" s="1602"/>
      <c r="C23" s="1603" t="s">
        <v>810</v>
      </c>
      <c r="D23" s="1604"/>
      <c r="E23" s="1605"/>
      <c r="F23" s="1316"/>
      <c r="G23" s="1606" t="str">
        <f t="shared" si="0"/>
        <v>01.01.01.09.</v>
      </c>
      <c r="H23" s="1571" t="s">
        <v>61</v>
      </c>
      <c r="I23" s="498"/>
      <c r="J23" s="1594"/>
      <c r="K23" s="1042"/>
      <c r="L23" s="1595"/>
      <c r="M23" s="1595"/>
      <c r="N23" s="1595"/>
      <c r="O23" s="1595"/>
    </row>
    <row r="24" spans="1:15" s="1171" customFormat="1" ht="27.75" customHeight="1">
      <c r="A24" s="1586">
        <f t="shared" si="1"/>
        <v>11</v>
      </c>
      <c r="B24" s="1607"/>
      <c r="C24" s="1608" t="s">
        <v>811</v>
      </c>
      <c r="D24" s="1609"/>
      <c r="E24" s="1610"/>
      <c r="F24" s="1316"/>
      <c r="G24" s="1611" t="str">
        <f t="shared" si="0"/>
        <v>01.01.01.10.</v>
      </c>
      <c r="H24" s="1571" t="s">
        <v>61</v>
      </c>
      <c r="I24" s="499"/>
      <c r="J24" s="1594"/>
      <c r="K24" s="1042"/>
      <c r="L24" s="1595"/>
      <c r="M24" s="1595"/>
      <c r="N24" s="1595"/>
      <c r="O24" s="1595"/>
    </row>
    <row r="25" spans="1:15" s="1171" customFormat="1" ht="27.75" customHeight="1" thickBot="1">
      <c r="A25" s="1586">
        <f t="shared" si="1"/>
        <v>12</v>
      </c>
      <c r="B25" s="1607"/>
      <c r="C25" s="1608" t="s">
        <v>1919</v>
      </c>
      <c r="D25" s="1609"/>
      <c r="E25" s="1610"/>
      <c r="F25" s="1316"/>
      <c r="G25" s="1612" t="str">
        <f t="shared" si="0"/>
        <v>01.01.01.11.</v>
      </c>
      <c r="H25" s="1572" t="s">
        <v>1918</v>
      </c>
      <c r="I25" s="505">
        <f>+I14-SUM(I15:I24)</f>
        <v>0</v>
      </c>
      <c r="J25" s="1594"/>
      <c r="K25" s="1042"/>
      <c r="L25" s="1595"/>
      <c r="M25" s="1595"/>
      <c r="N25" s="1595"/>
      <c r="O25" s="1595"/>
    </row>
    <row r="26" spans="1:15" s="1171" customFormat="1" ht="27.75" customHeight="1" thickTop="1" thickBot="1">
      <c r="A26" s="1586">
        <f t="shared" si="1"/>
        <v>13</v>
      </c>
      <c r="B26" s="1614"/>
      <c r="C26" s="1615" t="s">
        <v>1704</v>
      </c>
      <c r="D26" s="1616" t="str">
        <f>+'Tabla VI.'!F18</f>
        <v>17.01.01.02</v>
      </c>
      <c r="E26" s="1617" t="s">
        <v>684</v>
      </c>
      <c r="F26" s="1316"/>
      <c r="G26" s="1355" t="str">
        <f t="shared" si="0"/>
        <v>01.01.02.</v>
      </c>
      <c r="H26" s="1618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4"/>
      <c r="K26" s="1042"/>
      <c r="L26" s="1595"/>
      <c r="M26" s="1595"/>
      <c r="N26" s="1595"/>
      <c r="O26" s="1595"/>
    </row>
    <row r="27" spans="1:15" s="1171" customFormat="1" ht="27.75" customHeight="1" thickTop="1">
      <c r="A27" s="1586">
        <f t="shared" si="1"/>
        <v>14</v>
      </c>
      <c r="B27" s="1602"/>
      <c r="C27" s="1603" t="s">
        <v>812</v>
      </c>
      <c r="D27" s="1604"/>
      <c r="E27" s="1605"/>
      <c r="F27" s="1316"/>
      <c r="G27" s="1606" t="str">
        <f t="shared" si="0"/>
        <v>01.01.02.01.</v>
      </c>
      <c r="H27" s="1571" t="s">
        <v>61</v>
      </c>
      <c r="I27" s="498"/>
      <c r="J27" s="1594"/>
      <c r="K27" s="1042"/>
      <c r="L27" s="1595"/>
      <c r="M27" s="1595"/>
      <c r="N27" s="1595"/>
      <c r="O27" s="1595"/>
    </row>
    <row r="28" spans="1:15" s="1171" customFormat="1" ht="27.75" customHeight="1">
      <c r="A28" s="1586">
        <f t="shared" si="1"/>
        <v>15</v>
      </c>
      <c r="B28" s="1602"/>
      <c r="C28" s="1603" t="s">
        <v>813</v>
      </c>
      <c r="D28" s="1604"/>
      <c r="E28" s="1605"/>
      <c r="F28" s="1316"/>
      <c r="G28" s="1606" t="str">
        <f t="shared" si="0"/>
        <v>01.01.02.02.</v>
      </c>
      <c r="H28" s="1571" t="s">
        <v>61</v>
      </c>
      <c r="I28" s="498"/>
      <c r="J28" s="1594"/>
      <c r="K28" s="1042"/>
      <c r="L28" s="1595"/>
      <c r="M28" s="1595"/>
      <c r="N28" s="1595"/>
      <c r="O28" s="1595"/>
    </row>
    <row r="29" spans="1:15" s="1171" customFormat="1" ht="27.75" customHeight="1">
      <c r="A29" s="1586">
        <f t="shared" si="1"/>
        <v>16</v>
      </c>
      <c r="B29" s="1602"/>
      <c r="C29" s="1603" t="s">
        <v>814</v>
      </c>
      <c r="D29" s="1604"/>
      <c r="E29" s="1605"/>
      <c r="F29" s="1316"/>
      <c r="G29" s="1606" t="str">
        <f t="shared" si="0"/>
        <v>01.01.02.03.</v>
      </c>
      <c r="H29" s="1571" t="s">
        <v>61</v>
      </c>
      <c r="I29" s="498"/>
      <c r="J29" s="1594"/>
      <c r="K29" s="1042"/>
      <c r="L29" s="1595"/>
      <c r="M29" s="1595"/>
      <c r="N29" s="1595"/>
      <c r="O29" s="1595"/>
    </row>
    <row r="30" spans="1:15" s="1171" customFormat="1" ht="27.75" customHeight="1">
      <c r="A30" s="1586">
        <f t="shared" si="1"/>
        <v>17</v>
      </c>
      <c r="B30" s="1602"/>
      <c r="C30" s="1603" t="s">
        <v>815</v>
      </c>
      <c r="D30" s="1604"/>
      <c r="E30" s="1605"/>
      <c r="F30" s="1316"/>
      <c r="G30" s="1606" t="str">
        <f t="shared" si="0"/>
        <v>01.01.02.04.</v>
      </c>
      <c r="H30" s="1571" t="s">
        <v>61</v>
      </c>
      <c r="I30" s="498"/>
      <c r="J30" s="1594"/>
      <c r="K30" s="1042"/>
      <c r="L30" s="1595"/>
      <c r="M30" s="1595"/>
      <c r="N30" s="1595"/>
      <c r="O30" s="1595"/>
    </row>
    <row r="31" spans="1:15" s="1171" customFormat="1" ht="27.75" customHeight="1">
      <c r="A31" s="1586">
        <f t="shared" si="1"/>
        <v>18</v>
      </c>
      <c r="B31" s="1602"/>
      <c r="C31" s="1603" t="s">
        <v>816</v>
      </c>
      <c r="D31" s="1604"/>
      <c r="E31" s="1605"/>
      <c r="F31" s="1316"/>
      <c r="G31" s="1606" t="str">
        <f t="shared" si="0"/>
        <v>01.01.02.05.</v>
      </c>
      <c r="H31" s="1571" t="s">
        <v>61</v>
      </c>
      <c r="I31" s="498"/>
      <c r="J31" s="1594"/>
      <c r="K31" s="1042"/>
      <c r="L31" s="1595"/>
      <c r="M31" s="1595"/>
      <c r="N31" s="1595"/>
      <c r="O31" s="1595"/>
    </row>
    <row r="32" spans="1:15" s="1171" customFormat="1" ht="27.75" customHeight="1">
      <c r="A32" s="1586">
        <f t="shared" si="1"/>
        <v>19</v>
      </c>
      <c r="B32" s="1602"/>
      <c r="C32" s="1603" t="s">
        <v>817</v>
      </c>
      <c r="D32" s="1604"/>
      <c r="E32" s="1605"/>
      <c r="F32" s="1316"/>
      <c r="G32" s="1606" t="str">
        <f t="shared" si="0"/>
        <v>01.01.02.06.</v>
      </c>
      <c r="H32" s="1571" t="s">
        <v>61</v>
      </c>
      <c r="I32" s="498"/>
      <c r="J32" s="1594"/>
      <c r="K32" s="1042"/>
      <c r="L32" s="1595"/>
      <c r="M32" s="1595"/>
      <c r="N32" s="1595"/>
      <c r="O32" s="1595"/>
    </row>
    <row r="33" spans="1:15" s="1171" customFormat="1" ht="27.75" customHeight="1">
      <c r="A33" s="1586">
        <f t="shared" si="1"/>
        <v>20</v>
      </c>
      <c r="B33" s="1602"/>
      <c r="C33" s="1603" t="s">
        <v>818</v>
      </c>
      <c r="D33" s="1604"/>
      <c r="E33" s="1605"/>
      <c r="F33" s="1316"/>
      <c r="G33" s="1606" t="str">
        <f t="shared" si="0"/>
        <v>01.01.02.07.</v>
      </c>
      <c r="H33" s="1571" t="s">
        <v>61</v>
      </c>
      <c r="I33" s="498"/>
      <c r="J33" s="1594"/>
      <c r="K33" s="1042"/>
      <c r="L33" s="1595"/>
      <c r="M33" s="1595"/>
      <c r="N33" s="1595"/>
      <c r="O33" s="1595"/>
    </row>
    <row r="34" spans="1:15" s="1171" customFormat="1" ht="27.75" customHeight="1">
      <c r="A34" s="1586">
        <f t="shared" si="1"/>
        <v>21</v>
      </c>
      <c r="B34" s="1602"/>
      <c r="C34" s="1603" t="s">
        <v>819</v>
      </c>
      <c r="D34" s="1604"/>
      <c r="E34" s="1605"/>
      <c r="F34" s="1316"/>
      <c r="G34" s="1606" t="str">
        <f t="shared" si="0"/>
        <v>01.01.02.08.</v>
      </c>
      <c r="H34" s="1571" t="s">
        <v>61</v>
      </c>
      <c r="I34" s="498"/>
      <c r="J34" s="1594"/>
      <c r="K34" s="1042"/>
      <c r="L34" s="1595"/>
      <c r="M34" s="1595"/>
      <c r="N34" s="1595"/>
      <c r="O34" s="1595"/>
    </row>
    <row r="35" spans="1:15" s="1171" customFormat="1" ht="27.75" customHeight="1">
      <c r="A35" s="1586">
        <f t="shared" si="1"/>
        <v>22</v>
      </c>
      <c r="B35" s="1602"/>
      <c r="C35" s="1603" t="s">
        <v>820</v>
      </c>
      <c r="D35" s="1604"/>
      <c r="E35" s="1605"/>
      <c r="F35" s="1316"/>
      <c r="G35" s="1606" t="str">
        <f t="shared" si="0"/>
        <v>01.01.02.09.</v>
      </c>
      <c r="H35" s="1571" t="s">
        <v>61</v>
      </c>
      <c r="I35" s="498"/>
      <c r="J35" s="1594"/>
      <c r="K35" s="1042"/>
      <c r="L35" s="1595"/>
      <c r="M35" s="1595"/>
      <c r="N35" s="1595"/>
      <c r="O35" s="1595"/>
    </row>
    <row r="36" spans="1:15" s="1171" customFormat="1" ht="27.75" customHeight="1">
      <c r="A36" s="1586">
        <f t="shared" si="1"/>
        <v>23</v>
      </c>
      <c r="B36" s="1602"/>
      <c r="C36" s="1603" t="s">
        <v>821</v>
      </c>
      <c r="D36" s="1604"/>
      <c r="E36" s="1605"/>
      <c r="F36" s="1316"/>
      <c r="G36" s="1611" t="str">
        <f t="shared" si="0"/>
        <v>01.01.02.10.</v>
      </c>
      <c r="H36" s="1571" t="s">
        <v>61</v>
      </c>
      <c r="I36" s="499"/>
      <c r="J36" s="1594"/>
      <c r="K36" s="1042"/>
      <c r="L36" s="1595"/>
      <c r="M36" s="1595"/>
      <c r="N36" s="1595"/>
      <c r="O36" s="1595"/>
    </row>
    <row r="37" spans="1:15" s="1171" customFormat="1" ht="27.75" customHeight="1" thickBot="1">
      <c r="A37" s="1586">
        <f t="shared" si="1"/>
        <v>24</v>
      </c>
      <c r="B37" s="1607"/>
      <c r="C37" s="1608" t="s">
        <v>1920</v>
      </c>
      <c r="D37" s="1609"/>
      <c r="E37" s="1610"/>
      <c r="F37" s="1316"/>
      <c r="G37" s="1619" t="str">
        <f t="shared" si="0"/>
        <v>01.01.02.11.</v>
      </c>
      <c r="H37" s="1572" t="s">
        <v>1918</v>
      </c>
      <c r="I37" s="505">
        <f>+I26-SUM(I27:I36)</f>
        <v>0</v>
      </c>
      <c r="J37" s="1594"/>
      <c r="K37" s="1042"/>
      <c r="L37" s="1595"/>
      <c r="M37" s="1595"/>
      <c r="N37" s="1595"/>
      <c r="O37" s="1595"/>
    </row>
    <row r="38" spans="1:15" s="1171" customFormat="1" ht="27.75" customHeight="1" thickTop="1" thickBot="1">
      <c r="A38" s="1586">
        <f t="shared" si="1"/>
        <v>25</v>
      </c>
      <c r="B38" s="1614" t="s">
        <v>687</v>
      </c>
      <c r="C38" s="1615" t="s">
        <v>1705</v>
      </c>
      <c r="D38" s="1616" t="str">
        <f>+'Tabla VI.'!F19</f>
        <v>17.01.01.03</v>
      </c>
      <c r="E38" s="1617" t="s">
        <v>684</v>
      </c>
      <c r="F38" s="1316"/>
      <c r="G38" s="1355" t="str">
        <f t="shared" si="0"/>
        <v>01.01.03.</v>
      </c>
      <c r="H38" s="1620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4"/>
      <c r="K38" s="1042"/>
      <c r="L38" s="1595"/>
      <c r="M38" s="1595"/>
      <c r="N38" s="1595"/>
      <c r="O38" s="1595"/>
    </row>
    <row r="39" spans="1:15" s="1171" customFormat="1" ht="27.75" customHeight="1" thickTop="1">
      <c r="A39" s="1586">
        <f t="shared" si="1"/>
        <v>26</v>
      </c>
      <c r="B39" s="1602"/>
      <c r="C39" s="1603" t="s">
        <v>1815</v>
      </c>
      <c r="D39" s="1604"/>
      <c r="E39" s="1605"/>
      <c r="F39" s="1316"/>
      <c r="G39" s="1606" t="str">
        <f t="shared" si="0"/>
        <v>01.01.03.01.</v>
      </c>
      <c r="H39" s="1573" t="s">
        <v>61</v>
      </c>
      <c r="I39" s="498"/>
      <c r="J39" s="1594"/>
      <c r="K39" s="1042"/>
      <c r="L39" s="1595"/>
      <c r="M39" s="1595"/>
      <c r="N39" s="1595"/>
      <c r="O39" s="1595"/>
    </row>
    <row r="40" spans="1:15" s="1171" customFormat="1" ht="27.75" customHeight="1">
      <c r="A40" s="1586">
        <f t="shared" si="1"/>
        <v>27</v>
      </c>
      <c r="B40" s="1602"/>
      <c r="C40" s="1603" t="s">
        <v>1816</v>
      </c>
      <c r="D40" s="1604"/>
      <c r="E40" s="1605"/>
      <c r="F40" s="1316"/>
      <c r="G40" s="1606" t="str">
        <f t="shared" si="0"/>
        <v>01.01.03.02.</v>
      </c>
      <c r="H40" s="1573" t="s">
        <v>61</v>
      </c>
      <c r="I40" s="498"/>
      <c r="J40" s="1594"/>
      <c r="K40" s="1042"/>
      <c r="L40" s="1595"/>
      <c r="M40" s="1595"/>
      <c r="N40" s="1595"/>
      <c r="O40" s="1595"/>
    </row>
    <row r="41" spans="1:15" s="1171" customFormat="1" ht="27.75" customHeight="1">
      <c r="A41" s="1586">
        <f t="shared" si="1"/>
        <v>28</v>
      </c>
      <c r="B41" s="1602"/>
      <c r="C41" s="1603" t="s">
        <v>1817</v>
      </c>
      <c r="D41" s="1604"/>
      <c r="E41" s="1605"/>
      <c r="F41" s="1316"/>
      <c r="G41" s="1606" t="str">
        <f t="shared" si="0"/>
        <v>01.01.03.03.</v>
      </c>
      <c r="H41" s="1573" t="s">
        <v>61</v>
      </c>
      <c r="I41" s="498"/>
      <c r="J41" s="1594"/>
      <c r="K41" s="1042"/>
      <c r="L41" s="1595"/>
      <c r="M41" s="1595"/>
      <c r="N41" s="1595"/>
      <c r="O41" s="1595"/>
    </row>
    <row r="42" spans="1:15" s="1171" customFormat="1" ht="27.75" customHeight="1">
      <c r="A42" s="1586">
        <f t="shared" si="1"/>
        <v>29</v>
      </c>
      <c r="B42" s="1602"/>
      <c r="C42" s="1603" t="s">
        <v>1818</v>
      </c>
      <c r="D42" s="1604"/>
      <c r="E42" s="1605"/>
      <c r="F42" s="1316"/>
      <c r="G42" s="1606" t="str">
        <f t="shared" si="0"/>
        <v>01.01.03.04.</v>
      </c>
      <c r="H42" s="1573" t="s">
        <v>61</v>
      </c>
      <c r="I42" s="498"/>
      <c r="J42" s="1594"/>
      <c r="K42" s="1042"/>
      <c r="L42" s="1595"/>
      <c r="M42" s="1595"/>
      <c r="N42" s="1595"/>
      <c r="O42" s="1595"/>
    </row>
    <row r="43" spans="1:15" s="1171" customFormat="1" ht="27.75" customHeight="1">
      <c r="A43" s="1586">
        <f t="shared" si="1"/>
        <v>30</v>
      </c>
      <c r="B43" s="1602"/>
      <c r="C43" s="1603" t="s">
        <v>1819</v>
      </c>
      <c r="D43" s="1604"/>
      <c r="E43" s="1605"/>
      <c r="F43" s="1316"/>
      <c r="G43" s="1606" t="str">
        <f t="shared" si="0"/>
        <v>01.01.03.05.</v>
      </c>
      <c r="H43" s="1573" t="s">
        <v>61</v>
      </c>
      <c r="I43" s="498"/>
      <c r="J43" s="1594"/>
      <c r="K43" s="1042"/>
      <c r="L43" s="1595"/>
      <c r="M43" s="1595"/>
      <c r="N43" s="1595"/>
      <c r="O43" s="1595"/>
    </row>
    <row r="44" spans="1:15" s="1171" customFormat="1" ht="27.75" customHeight="1">
      <c r="A44" s="1586">
        <f t="shared" si="1"/>
        <v>31</v>
      </c>
      <c r="B44" s="1602"/>
      <c r="C44" s="1603" t="s">
        <v>1820</v>
      </c>
      <c r="D44" s="1604"/>
      <c r="E44" s="1605"/>
      <c r="F44" s="1316"/>
      <c r="G44" s="1606" t="str">
        <f t="shared" si="0"/>
        <v>01.01.03.06.</v>
      </c>
      <c r="H44" s="1573" t="s">
        <v>61</v>
      </c>
      <c r="I44" s="498"/>
      <c r="J44" s="1594"/>
      <c r="K44" s="1042"/>
      <c r="L44" s="1595"/>
      <c r="M44" s="1595"/>
      <c r="N44" s="1595"/>
      <c r="O44" s="1595"/>
    </row>
    <row r="45" spans="1:15" s="1171" customFormat="1" ht="27.75" customHeight="1">
      <c r="A45" s="1586">
        <f t="shared" si="1"/>
        <v>32</v>
      </c>
      <c r="B45" s="1602"/>
      <c r="C45" s="1603" t="s">
        <v>1821</v>
      </c>
      <c r="D45" s="1604"/>
      <c r="E45" s="1605"/>
      <c r="F45" s="1316"/>
      <c r="G45" s="1606" t="str">
        <f t="shared" si="0"/>
        <v>01.01.03.07.</v>
      </c>
      <c r="H45" s="1573" t="s">
        <v>61</v>
      </c>
      <c r="I45" s="498"/>
      <c r="J45" s="1594"/>
      <c r="K45" s="1042"/>
      <c r="L45" s="1595"/>
      <c r="M45" s="1595"/>
      <c r="N45" s="1595"/>
      <c r="O45" s="1595"/>
    </row>
    <row r="46" spans="1:15" s="1171" customFormat="1" ht="27.75" customHeight="1">
      <c r="A46" s="1586">
        <f t="shared" si="1"/>
        <v>33</v>
      </c>
      <c r="B46" s="1602"/>
      <c r="C46" s="1603" t="s">
        <v>1822</v>
      </c>
      <c r="D46" s="1604"/>
      <c r="E46" s="1605"/>
      <c r="F46" s="1316"/>
      <c r="G46" s="1606" t="str">
        <f t="shared" si="0"/>
        <v>01.01.03.08.</v>
      </c>
      <c r="H46" s="1573" t="s">
        <v>61</v>
      </c>
      <c r="I46" s="498"/>
      <c r="J46" s="1594"/>
      <c r="K46" s="1042"/>
      <c r="L46" s="1595"/>
      <c r="M46" s="1595"/>
      <c r="N46" s="1595"/>
      <c r="O46" s="1595"/>
    </row>
    <row r="47" spans="1:15" s="1171" customFormat="1" ht="27.75" customHeight="1">
      <c r="A47" s="1586">
        <f t="shared" si="1"/>
        <v>34</v>
      </c>
      <c r="B47" s="1602"/>
      <c r="C47" s="1603" t="s">
        <v>1823</v>
      </c>
      <c r="D47" s="1604"/>
      <c r="E47" s="1605"/>
      <c r="F47" s="1316"/>
      <c r="G47" s="1606" t="str">
        <f t="shared" si="0"/>
        <v>01.01.03.09.</v>
      </c>
      <c r="H47" s="1573" t="s">
        <v>61</v>
      </c>
      <c r="I47" s="498"/>
      <c r="J47" s="1594"/>
      <c r="K47" s="1042"/>
      <c r="L47" s="1595"/>
      <c r="M47" s="1595"/>
      <c r="N47" s="1595"/>
      <c r="O47" s="1595"/>
    </row>
    <row r="48" spans="1:15" s="1171" customFormat="1" ht="27.75" customHeight="1">
      <c r="A48" s="1586">
        <f t="shared" si="1"/>
        <v>35</v>
      </c>
      <c r="B48" s="1602"/>
      <c r="C48" s="1603" t="s">
        <v>1824</v>
      </c>
      <c r="D48" s="1604"/>
      <c r="E48" s="1605"/>
      <c r="F48" s="1316"/>
      <c r="G48" s="1611" t="str">
        <f t="shared" si="0"/>
        <v>01.01.03.10.</v>
      </c>
      <c r="H48" s="1573" t="s">
        <v>61</v>
      </c>
      <c r="I48" s="499"/>
      <c r="J48" s="1594"/>
      <c r="K48" s="1042"/>
      <c r="L48" s="1595"/>
      <c r="M48" s="1595"/>
      <c r="N48" s="1595"/>
      <c r="O48" s="1595"/>
    </row>
    <row r="49" spans="1:15" s="1171" customFormat="1" ht="27.75" customHeight="1" thickBot="1">
      <c r="A49" s="1586">
        <f t="shared" si="1"/>
        <v>36</v>
      </c>
      <c r="B49" s="1607"/>
      <c r="C49" s="1603" t="s">
        <v>1921</v>
      </c>
      <c r="D49" s="1609"/>
      <c r="E49" s="1610"/>
      <c r="F49" s="1316"/>
      <c r="G49" s="1612" t="str">
        <f t="shared" si="0"/>
        <v>01.01.03.11.</v>
      </c>
      <c r="H49" s="1572" t="s">
        <v>1918</v>
      </c>
      <c r="I49" s="505">
        <f>+I38-SUM(I39:I48)</f>
        <v>0</v>
      </c>
      <c r="J49" s="1594"/>
      <c r="K49" s="1042"/>
      <c r="L49" s="1595"/>
      <c r="M49" s="1595"/>
      <c r="N49" s="1595"/>
      <c r="O49" s="1595"/>
    </row>
    <row r="50" spans="1:15" s="1171" customFormat="1" ht="27.75" customHeight="1" thickTop="1" thickBot="1">
      <c r="A50" s="1586">
        <f t="shared" si="1"/>
        <v>37</v>
      </c>
      <c r="B50" s="1614" t="s">
        <v>679</v>
      </c>
      <c r="C50" s="1615" t="s">
        <v>1706</v>
      </c>
      <c r="D50" s="1616" t="str">
        <f>+'Tabla VI.'!F20</f>
        <v>17.01.01.04</v>
      </c>
      <c r="E50" s="1617" t="s">
        <v>685</v>
      </c>
      <c r="F50" s="1316"/>
      <c r="G50" s="1355" t="str">
        <f t="shared" si="0"/>
        <v>01.01.04.</v>
      </c>
      <c r="H50" s="1620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4"/>
      <c r="K50" s="1042"/>
      <c r="L50" s="1595"/>
      <c r="M50" s="1595"/>
      <c r="N50" s="1595"/>
      <c r="O50" s="1595"/>
    </row>
    <row r="51" spans="1:15" s="1171" customFormat="1" ht="27.75" customHeight="1" thickTop="1">
      <c r="A51" s="1586">
        <f t="shared" si="1"/>
        <v>38</v>
      </c>
      <c r="B51" s="1602"/>
      <c r="C51" s="1603" t="s">
        <v>1825</v>
      </c>
      <c r="D51" s="1604"/>
      <c r="E51" s="1605"/>
      <c r="F51" s="1316"/>
      <c r="G51" s="1606" t="str">
        <f t="shared" si="0"/>
        <v>01.01.04.01.</v>
      </c>
      <c r="H51" s="1573" t="s">
        <v>61</v>
      </c>
      <c r="I51" s="498"/>
      <c r="J51" s="1594"/>
      <c r="K51" s="1042"/>
      <c r="L51" s="1595"/>
      <c r="M51" s="1595"/>
      <c r="N51" s="1595"/>
      <c r="O51" s="1595"/>
    </row>
    <row r="52" spans="1:15" s="1171" customFormat="1" ht="27.75" customHeight="1">
      <c r="A52" s="1586">
        <f t="shared" si="1"/>
        <v>39</v>
      </c>
      <c r="B52" s="1602"/>
      <c r="C52" s="1603" t="s">
        <v>1826</v>
      </c>
      <c r="D52" s="1604"/>
      <c r="E52" s="1605"/>
      <c r="F52" s="1316"/>
      <c r="G52" s="1606" t="str">
        <f t="shared" si="0"/>
        <v>01.01.04.02.</v>
      </c>
      <c r="H52" s="1573" t="s">
        <v>61</v>
      </c>
      <c r="I52" s="498"/>
      <c r="J52" s="1594"/>
      <c r="K52" s="1042"/>
      <c r="L52" s="1595"/>
      <c r="M52" s="1595"/>
      <c r="N52" s="1595"/>
      <c r="O52" s="1595"/>
    </row>
    <row r="53" spans="1:15" s="1171" customFormat="1" ht="27.75" customHeight="1">
      <c r="A53" s="1586">
        <f t="shared" si="1"/>
        <v>40</v>
      </c>
      <c r="B53" s="1602"/>
      <c r="C53" s="1603" t="s">
        <v>1827</v>
      </c>
      <c r="D53" s="1604"/>
      <c r="E53" s="1605"/>
      <c r="F53" s="1316"/>
      <c r="G53" s="1606" t="str">
        <f t="shared" si="0"/>
        <v>01.01.04.03.</v>
      </c>
      <c r="H53" s="1573" t="s">
        <v>61</v>
      </c>
      <c r="I53" s="498"/>
      <c r="J53" s="1594"/>
      <c r="K53" s="1042"/>
      <c r="L53" s="1595"/>
      <c r="M53" s="1595"/>
      <c r="N53" s="1595"/>
      <c r="O53" s="1595"/>
    </row>
    <row r="54" spans="1:15" s="1171" customFormat="1" ht="27.75" customHeight="1">
      <c r="A54" s="1586">
        <f t="shared" si="1"/>
        <v>41</v>
      </c>
      <c r="B54" s="1602"/>
      <c r="C54" s="1603" t="s">
        <v>1828</v>
      </c>
      <c r="D54" s="1604"/>
      <c r="E54" s="1605"/>
      <c r="F54" s="1316"/>
      <c r="G54" s="1606" t="str">
        <f t="shared" si="0"/>
        <v>01.01.04.04.</v>
      </c>
      <c r="H54" s="1573" t="s">
        <v>61</v>
      </c>
      <c r="I54" s="498"/>
      <c r="J54" s="1594"/>
      <c r="K54" s="1042"/>
      <c r="L54" s="1595"/>
      <c r="M54" s="1595"/>
      <c r="N54" s="1595"/>
      <c r="O54" s="1595"/>
    </row>
    <row r="55" spans="1:15" s="1171" customFormat="1" ht="27.75" customHeight="1">
      <c r="A55" s="1586">
        <f t="shared" si="1"/>
        <v>42</v>
      </c>
      <c r="B55" s="1602"/>
      <c r="C55" s="1603" t="s">
        <v>1829</v>
      </c>
      <c r="D55" s="1604"/>
      <c r="E55" s="1605"/>
      <c r="F55" s="1316"/>
      <c r="G55" s="1606" t="str">
        <f t="shared" si="0"/>
        <v>01.01.04.05.</v>
      </c>
      <c r="H55" s="1573" t="s">
        <v>61</v>
      </c>
      <c r="I55" s="498"/>
      <c r="J55" s="1594"/>
      <c r="K55" s="1042"/>
      <c r="L55" s="1595"/>
      <c r="M55" s="1595"/>
      <c r="N55" s="1595"/>
      <c r="O55" s="1595"/>
    </row>
    <row r="56" spans="1:15" s="1171" customFormat="1" ht="27.75" customHeight="1">
      <c r="A56" s="1586">
        <f t="shared" si="1"/>
        <v>43</v>
      </c>
      <c r="B56" s="1602"/>
      <c r="C56" s="1603" t="s">
        <v>1830</v>
      </c>
      <c r="D56" s="1604"/>
      <c r="E56" s="1605"/>
      <c r="F56" s="1316"/>
      <c r="G56" s="1606" t="str">
        <f t="shared" si="0"/>
        <v>01.01.04.06.</v>
      </c>
      <c r="H56" s="1573" t="s">
        <v>61</v>
      </c>
      <c r="I56" s="498"/>
      <c r="J56" s="1594"/>
      <c r="K56" s="1042"/>
      <c r="L56" s="1595"/>
      <c r="M56" s="1595"/>
      <c r="N56" s="1595"/>
      <c r="O56" s="1595"/>
    </row>
    <row r="57" spans="1:15" s="1171" customFormat="1" ht="27.75" customHeight="1">
      <c r="A57" s="1586">
        <f t="shared" si="1"/>
        <v>44</v>
      </c>
      <c r="B57" s="1602"/>
      <c r="C57" s="1603" t="s">
        <v>1831</v>
      </c>
      <c r="D57" s="1604"/>
      <c r="E57" s="1605"/>
      <c r="F57" s="1316"/>
      <c r="G57" s="1606" t="str">
        <f t="shared" si="0"/>
        <v>01.01.04.07.</v>
      </c>
      <c r="H57" s="1573" t="s">
        <v>61</v>
      </c>
      <c r="I57" s="498"/>
      <c r="J57" s="1594"/>
      <c r="K57" s="1042"/>
      <c r="L57" s="1595"/>
      <c r="M57" s="1595"/>
      <c r="N57" s="1595"/>
      <c r="O57" s="1595"/>
    </row>
    <row r="58" spans="1:15" s="1171" customFormat="1" ht="27.75" customHeight="1">
      <c r="A58" s="1586">
        <f t="shared" si="1"/>
        <v>45</v>
      </c>
      <c r="B58" s="1602"/>
      <c r="C58" s="1603" t="s">
        <v>1832</v>
      </c>
      <c r="D58" s="1604"/>
      <c r="E58" s="1605"/>
      <c r="F58" s="1316"/>
      <c r="G58" s="1606" t="str">
        <f t="shared" si="0"/>
        <v>01.01.04.08.</v>
      </c>
      <c r="H58" s="1573" t="s">
        <v>61</v>
      </c>
      <c r="I58" s="498"/>
      <c r="J58" s="1594"/>
      <c r="K58" s="1042"/>
      <c r="L58" s="1595"/>
      <c r="M58" s="1595"/>
      <c r="N58" s="1595"/>
      <c r="O58" s="1595"/>
    </row>
    <row r="59" spans="1:15" s="1171" customFormat="1" ht="27.75" customHeight="1">
      <c r="A59" s="1586">
        <f t="shared" si="1"/>
        <v>46</v>
      </c>
      <c r="B59" s="1602"/>
      <c r="C59" s="1603" t="s">
        <v>1833</v>
      </c>
      <c r="D59" s="1604"/>
      <c r="E59" s="1605"/>
      <c r="F59" s="1316"/>
      <c r="G59" s="1606" t="str">
        <f t="shared" si="0"/>
        <v>01.01.04.09.</v>
      </c>
      <c r="H59" s="1573" t="s">
        <v>61</v>
      </c>
      <c r="I59" s="498"/>
      <c r="J59" s="1594"/>
      <c r="K59" s="1042"/>
      <c r="L59" s="1595"/>
      <c r="M59" s="1595"/>
      <c r="N59" s="1595"/>
      <c r="O59" s="1595"/>
    </row>
    <row r="60" spans="1:15" s="1171" customFormat="1" ht="27.75" customHeight="1">
      <c r="A60" s="1586">
        <f t="shared" si="1"/>
        <v>47</v>
      </c>
      <c r="B60" s="1602"/>
      <c r="C60" s="1603" t="s">
        <v>1834</v>
      </c>
      <c r="D60" s="1604"/>
      <c r="E60" s="1605"/>
      <c r="F60" s="1316"/>
      <c r="G60" s="1381" t="str">
        <f t="shared" si="0"/>
        <v>01.01.04.10.</v>
      </c>
      <c r="H60" s="1573" t="s">
        <v>61</v>
      </c>
      <c r="I60" s="499"/>
      <c r="J60" s="1594"/>
      <c r="K60" s="1042"/>
      <c r="L60" s="1595"/>
      <c r="M60" s="1595"/>
      <c r="N60" s="1595"/>
      <c r="O60" s="1595"/>
    </row>
    <row r="61" spans="1:15" s="1171" customFormat="1" ht="27.75" customHeight="1" thickBot="1">
      <c r="A61" s="1586">
        <f t="shared" si="1"/>
        <v>48</v>
      </c>
      <c r="B61" s="1621"/>
      <c r="C61" s="1622" t="s">
        <v>1922</v>
      </c>
      <c r="D61" s="1623"/>
      <c r="E61" s="1624"/>
      <c r="F61" s="1316"/>
      <c r="G61" s="1625" t="str">
        <f t="shared" si="0"/>
        <v>01.01.04.11.</v>
      </c>
      <c r="H61" s="1572" t="s">
        <v>1918</v>
      </c>
      <c r="I61" s="505">
        <f>+I50-SUM(I51:I60)</f>
        <v>0</v>
      </c>
      <c r="J61" s="1626"/>
      <c r="K61" s="1042"/>
      <c r="L61" s="1595"/>
      <c r="M61" s="1595"/>
      <c r="N61" s="1595"/>
      <c r="O61" s="1595"/>
    </row>
    <row r="62" spans="1:15" s="1171" customFormat="1" ht="27.75" customHeight="1" thickTop="1">
      <c r="A62" s="1586"/>
      <c r="B62" s="1194"/>
      <c r="C62" s="1627"/>
      <c r="D62" s="1628"/>
      <c r="E62" s="1194"/>
      <c r="F62" s="1316"/>
      <c r="G62" s="817" t="s">
        <v>1604</v>
      </c>
      <c r="H62" s="1629"/>
      <c r="I62" s="1630"/>
      <c r="J62" s="1631"/>
      <c r="K62" s="1595"/>
      <c r="L62" s="1595"/>
      <c r="M62" s="1595"/>
      <c r="N62" s="1595"/>
      <c r="O62" s="1595"/>
    </row>
    <row r="63" spans="1:15" s="1171" customFormat="1" ht="27.75" customHeight="1">
      <c r="A63" s="1586"/>
      <c r="B63" s="1194"/>
      <c r="C63" s="1627"/>
      <c r="D63" s="1628"/>
      <c r="E63" s="1628">
        <v>1</v>
      </c>
      <c r="F63" s="1316"/>
      <c r="G63" s="1083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2"/>
      <c r="I63" s="1633"/>
      <c r="J63" s="1634"/>
      <c r="K63" s="1595"/>
      <c r="L63" s="1595"/>
      <c r="M63" s="1595"/>
      <c r="N63" s="1595"/>
      <c r="O63" s="1595"/>
    </row>
    <row r="64" spans="1:15" s="1171" customFormat="1" ht="27.75" customHeight="1" thickBot="1">
      <c r="A64" s="1586"/>
      <c r="B64" s="1194"/>
      <c r="C64" s="1627"/>
      <c r="D64" s="1628"/>
      <c r="E64" s="1628">
        <v>2</v>
      </c>
      <c r="F64" s="1316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5"/>
      <c r="I64" s="1636"/>
      <c r="J64" s="1637"/>
      <c r="K64" s="1595"/>
      <c r="L64" s="1595"/>
      <c r="M64" s="1595"/>
      <c r="N64" s="1595"/>
      <c r="O64" s="1595"/>
    </row>
    <row r="65" spans="1:15" s="1171" customFormat="1" ht="27.75" customHeight="1" thickTop="1">
      <c r="A65" s="1586"/>
      <c r="B65" s="1194"/>
      <c r="C65" s="1627"/>
      <c r="D65" s="1628"/>
      <c r="E65" s="1638"/>
      <c r="F65" s="1316"/>
      <c r="G65" s="1639"/>
      <c r="H65" s="1632"/>
      <c r="I65" s="1633"/>
      <c r="J65" s="1633"/>
      <c r="K65" s="1595"/>
      <c r="L65" s="1595"/>
      <c r="M65" s="1595"/>
      <c r="N65" s="1595"/>
      <c r="O65" s="1595"/>
    </row>
    <row r="66" spans="1:15" s="1171" customFormat="1" ht="17.25" customHeight="1">
      <c r="A66" s="1586"/>
      <c r="B66" s="1194"/>
      <c r="C66" s="1627"/>
      <c r="D66" s="1628"/>
      <c r="E66" s="1194"/>
      <c r="F66" s="1316"/>
      <c r="G66" s="1640"/>
      <c r="H66" s="1641"/>
      <c r="I66" s="1642"/>
      <c r="J66" s="1642"/>
      <c r="K66" s="1595"/>
      <c r="L66" s="1595"/>
      <c r="M66" s="1595"/>
      <c r="N66" s="1595"/>
      <c r="O66" s="1595"/>
    </row>
    <row r="67" spans="1:15" s="1171" customFormat="1" ht="13.5" customHeight="1">
      <c r="A67" s="1586"/>
      <c r="B67" s="1194"/>
      <c r="C67" s="1627"/>
      <c r="D67" s="1628"/>
      <c r="E67" s="1194"/>
      <c r="F67" s="1316"/>
      <c r="G67" s="1639"/>
      <c r="H67" s="1632"/>
      <c r="I67" s="1633"/>
      <c r="J67" s="1633"/>
      <c r="K67" s="1595"/>
      <c r="L67" s="1595"/>
      <c r="M67" s="1595"/>
      <c r="N67" s="1595"/>
      <c r="O67" s="1595"/>
    </row>
    <row r="68" spans="1:15" s="1171" customFormat="1" ht="30">
      <c r="A68" s="1586"/>
      <c r="B68" s="1194"/>
      <c r="C68" s="1627"/>
      <c r="D68" s="1628"/>
      <c r="E68" s="1194"/>
      <c r="F68" s="1316"/>
      <c r="G68" s="181" t="s">
        <v>1814</v>
      </c>
      <c r="H68" s="1643"/>
      <c r="I68" s="1644"/>
      <c r="J68" s="1644"/>
      <c r="K68" s="1595"/>
      <c r="L68" s="1595"/>
      <c r="M68" s="1595"/>
      <c r="N68" s="1595"/>
      <c r="O68" s="1595"/>
    </row>
    <row r="69" spans="1:15" s="1171" customFormat="1" ht="23.25" thickBot="1">
      <c r="A69" s="1586"/>
      <c r="B69" s="1194"/>
      <c r="C69" s="1627"/>
      <c r="D69" s="1628"/>
      <c r="E69" s="1194"/>
      <c r="F69" s="1316"/>
      <c r="G69" s="203" t="s">
        <v>920</v>
      </c>
      <c r="H69" s="1643"/>
      <c r="I69" s="1644"/>
      <c r="J69" s="1644"/>
      <c r="K69" s="1595"/>
      <c r="L69" s="1595"/>
      <c r="M69" s="1595"/>
      <c r="N69" s="1595"/>
      <c r="O69" s="1595"/>
    </row>
    <row r="70" spans="1:15" ht="94.5" thickTop="1">
      <c r="B70" s="2436" t="str">
        <f ca="1">RIGHT(CELL("nombrearchivo",$A$1),LEN(CELL("nombrearchivo",$A$1))-SEARCH("]",CELL("nombrearchivo",$A$1)))</f>
        <v>Tabla VII.1.</v>
      </c>
      <c r="C70" s="2437"/>
      <c r="D70" s="2437"/>
      <c r="E70" s="2438"/>
      <c r="G70" s="1578"/>
      <c r="H70" s="1579"/>
      <c r="I70" s="1580" t="str">
        <f>"VALOR DE LA PARTCIPACIÓN PATRIMONIAL DEL INVERSIONISTA DIRECTO "&amp;E122&amp;"/"</f>
        <v>VALOR DE LA PARTCIPACIÓN PATRIMONIAL DEL INVERSIONISTA DIRECTO 1/</v>
      </c>
      <c r="J70" s="2280" t="s">
        <v>919</v>
      </c>
      <c r="K70" s="1582"/>
      <c r="L70" s="1582"/>
      <c r="M70" s="1582"/>
      <c r="N70" s="1582"/>
      <c r="O70" s="1582"/>
    </row>
    <row r="71" spans="1:15" ht="56.25" customHeight="1" thickBot="1">
      <c r="B71" s="2439"/>
      <c r="C71" s="2440"/>
      <c r="D71" s="2440"/>
      <c r="E71" s="2441"/>
      <c r="G71" s="1512"/>
      <c r="H71" s="1583"/>
      <c r="I71" s="1584" t="str">
        <f>CONCATENATE("SALDO A FINES DE"," ",Menu!$E$3," ",Menu!$C$3)</f>
        <v>SALDO A FINES DE MARZO 2020</v>
      </c>
      <c r="J71" s="2442"/>
      <c r="K71" s="1582"/>
      <c r="L71" s="1582"/>
      <c r="M71" s="1582"/>
      <c r="N71" s="1582"/>
      <c r="O71" s="1582"/>
    </row>
    <row r="72" spans="1:15" s="1171" customFormat="1" ht="27.75" customHeight="1" thickBot="1">
      <c r="A72" s="1586"/>
      <c r="B72" s="1587" t="s">
        <v>65</v>
      </c>
      <c r="C72" s="1588" t="s">
        <v>66</v>
      </c>
      <c r="D72" s="1589" t="s">
        <v>67</v>
      </c>
      <c r="E72" s="1590" t="s">
        <v>686</v>
      </c>
      <c r="F72" s="1316"/>
      <c r="G72" s="1591" t="s">
        <v>1896</v>
      </c>
      <c r="H72" s="1592" t="s">
        <v>1895</v>
      </c>
      <c r="I72" s="1593" t="s">
        <v>795</v>
      </c>
      <c r="J72" s="1593" t="s">
        <v>796</v>
      </c>
      <c r="K72" s="1595"/>
      <c r="L72" s="1595"/>
      <c r="M72" s="1595"/>
      <c r="N72" s="1595"/>
      <c r="O72" s="1595"/>
    </row>
    <row r="73" spans="1:15" s="1171" customFormat="1" ht="27.75" customHeight="1" thickTop="1" thickBot="1">
      <c r="A73" s="1586">
        <f>+A61+1</f>
        <v>49</v>
      </c>
      <c r="B73" s="1596" t="s">
        <v>647</v>
      </c>
      <c r="C73" s="1597" t="s">
        <v>1714</v>
      </c>
      <c r="D73" s="1598" t="str">
        <f>+'Tabla VI.'!F50</f>
        <v>18.01.01.01</v>
      </c>
      <c r="E73" s="1599" t="s">
        <v>682</v>
      </c>
      <c r="F73" s="1595"/>
      <c r="G73" s="1355" t="str">
        <f>+C73</f>
        <v>01.02.01.</v>
      </c>
      <c r="H73" s="1601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2"/>
      <c r="L73" s="1170"/>
      <c r="M73" s="1170"/>
      <c r="N73" s="1170"/>
      <c r="O73" s="1170"/>
    </row>
    <row r="74" spans="1:15" s="1171" customFormat="1" ht="27.75" customHeight="1" thickTop="1">
      <c r="A74" s="1586">
        <f>+A73+1</f>
        <v>50</v>
      </c>
      <c r="B74" s="1602"/>
      <c r="C74" s="1603" t="s">
        <v>822</v>
      </c>
      <c r="D74" s="1604"/>
      <c r="E74" s="1605"/>
      <c r="F74" s="1316"/>
      <c r="G74" s="1606" t="str">
        <f t="shared" ref="G74:G120" si="2">+C74</f>
        <v>01.02.01.01.</v>
      </c>
      <c r="H74" s="1573" t="s">
        <v>61</v>
      </c>
      <c r="I74" s="498"/>
      <c r="J74" s="497"/>
      <c r="K74" s="1042"/>
      <c r="L74" s="1595"/>
      <c r="M74" s="1595"/>
      <c r="N74" s="1595"/>
      <c r="O74" s="1595"/>
    </row>
    <row r="75" spans="1:15" s="1171" customFormat="1" ht="27.75" customHeight="1">
      <c r="A75" s="1586">
        <f t="shared" ref="A75:A120" si="3">+A74+1</f>
        <v>51</v>
      </c>
      <c r="B75" s="1602"/>
      <c r="C75" s="1603" t="s">
        <v>823</v>
      </c>
      <c r="D75" s="1604"/>
      <c r="E75" s="1605"/>
      <c r="F75" s="1316"/>
      <c r="G75" s="1606" t="str">
        <f t="shared" si="2"/>
        <v>01.02.01.02.</v>
      </c>
      <c r="H75" s="1573" t="s">
        <v>61</v>
      </c>
      <c r="I75" s="498"/>
      <c r="J75" s="497"/>
      <c r="K75" s="1042"/>
      <c r="L75" s="1595"/>
      <c r="M75" s="1595"/>
      <c r="N75" s="1595"/>
      <c r="O75" s="1595"/>
    </row>
    <row r="76" spans="1:15" s="1171" customFormat="1" ht="27.75" customHeight="1">
      <c r="A76" s="1586">
        <f t="shared" si="3"/>
        <v>52</v>
      </c>
      <c r="B76" s="1602"/>
      <c r="C76" s="1603" t="s">
        <v>824</v>
      </c>
      <c r="D76" s="1604"/>
      <c r="E76" s="1605"/>
      <c r="F76" s="1316"/>
      <c r="G76" s="1606" t="str">
        <f t="shared" si="2"/>
        <v>01.02.01.03.</v>
      </c>
      <c r="H76" s="1573" t="s">
        <v>61</v>
      </c>
      <c r="I76" s="498"/>
      <c r="J76" s="497"/>
      <c r="K76" s="1042"/>
      <c r="L76" s="1595"/>
      <c r="M76" s="1595"/>
      <c r="N76" s="1595"/>
      <c r="O76" s="1595"/>
    </row>
    <row r="77" spans="1:15" s="1171" customFormat="1" ht="27.75" customHeight="1">
      <c r="A77" s="1586">
        <f t="shared" si="3"/>
        <v>53</v>
      </c>
      <c r="B77" s="1602"/>
      <c r="C77" s="1603" t="s">
        <v>825</v>
      </c>
      <c r="D77" s="1604"/>
      <c r="E77" s="1605"/>
      <c r="F77" s="1316"/>
      <c r="G77" s="1606" t="str">
        <f t="shared" si="2"/>
        <v>01.02.01.04.</v>
      </c>
      <c r="H77" s="1573" t="s">
        <v>61</v>
      </c>
      <c r="I77" s="498"/>
      <c r="J77" s="497"/>
      <c r="K77" s="1042"/>
      <c r="L77" s="1595"/>
      <c r="M77" s="1595"/>
      <c r="N77" s="1595"/>
      <c r="O77" s="1595"/>
    </row>
    <row r="78" spans="1:15" s="1171" customFormat="1" ht="27.75" customHeight="1">
      <c r="A78" s="1586">
        <f t="shared" si="3"/>
        <v>54</v>
      </c>
      <c r="B78" s="1602"/>
      <c r="C78" s="1603" t="s">
        <v>826</v>
      </c>
      <c r="D78" s="1604"/>
      <c r="E78" s="1605"/>
      <c r="F78" s="1316"/>
      <c r="G78" s="1606" t="str">
        <f t="shared" si="2"/>
        <v>01.02.01.05.</v>
      </c>
      <c r="H78" s="1573" t="s">
        <v>61</v>
      </c>
      <c r="I78" s="498"/>
      <c r="J78" s="497"/>
      <c r="K78" s="1042"/>
      <c r="L78" s="1595"/>
      <c r="M78" s="1595"/>
      <c r="N78" s="1595"/>
      <c r="O78" s="1595"/>
    </row>
    <row r="79" spans="1:15" s="1171" customFormat="1" ht="27.75" customHeight="1">
      <c r="A79" s="1586">
        <f t="shared" si="3"/>
        <v>55</v>
      </c>
      <c r="B79" s="1602"/>
      <c r="C79" s="1603" t="s">
        <v>827</v>
      </c>
      <c r="D79" s="1604"/>
      <c r="E79" s="1605"/>
      <c r="F79" s="1316"/>
      <c r="G79" s="1606" t="str">
        <f t="shared" si="2"/>
        <v>01.02.01.06.</v>
      </c>
      <c r="H79" s="1573" t="s">
        <v>61</v>
      </c>
      <c r="I79" s="498"/>
      <c r="J79" s="497"/>
      <c r="K79" s="1042"/>
      <c r="L79" s="1595"/>
      <c r="M79" s="1595"/>
      <c r="N79" s="1595"/>
      <c r="O79" s="1595"/>
    </row>
    <row r="80" spans="1:15" s="1171" customFormat="1" ht="27.75" customHeight="1">
      <c r="A80" s="1586">
        <f t="shared" si="3"/>
        <v>56</v>
      </c>
      <c r="B80" s="1602"/>
      <c r="C80" s="1603" t="s">
        <v>828</v>
      </c>
      <c r="D80" s="1604"/>
      <c r="E80" s="1605"/>
      <c r="F80" s="1316"/>
      <c r="G80" s="1606" t="str">
        <f t="shared" si="2"/>
        <v>01.02.01.07.</v>
      </c>
      <c r="H80" s="1573" t="s">
        <v>61</v>
      </c>
      <c r="I80" s="498"/>
      <c r="J80" s="497"/>
      <c r="K80" s="1042"/>
      <c r="L80" s="1595"/>
      <c r="M80" s="1595"/>
      <c r="N80" s="1595"/>
      <c r="O80" s="1595"/>
    </row>
    <row r="81" spans="1:15" s="1171" customFormat="1" ht="27.75" customHeight="1">
      <c r="A81" s="1586">
        <f t="shared" si="3"/>
        <v>57</v>
      </c>
      <c r="B81" s="1602"/>
      <c r="C81" s="1603" t="s">
        <v>829</v>
      </c>
      <c r="D81" s="1604"/>
      <c r="E81" s="1605"/>
      <c r="F81" s="1316"/>
      <c r="G81" s="1606" t="str">
        <f t="shared" si="2"/>
        <v>01.02.01.08.</v>
      </c>
      <c r="H81" s="1573" t="s">
        <v>61</v>
      </c>
      <c r="I81" s="498"/>
      <c r="J81" s="497"/>
      <c r="K81" s="1042"/>
      <c r="L81" s="1595"/>
      <c r="M81" s="1595"/>
      <c r="N81" s="1595"/>
      <c r="O81" s="1595"/>
    </row>
    <row r="82" spans="1:15" s="1171" customFormat="1" ht="27.75" customHeight="1">
      <c r="A82" s="1586">
        <f t="shared" si="3"/>
        <v>58</v>
      </c>
      <c r="B82" s="1602"/>
      <c r="C82" s="1603" t="s">
        <v>830</v>
      </c>
      <c r="D82" s="1604"/>
      <c r="E82" s="1605"/>
      <c r="F82" s="1316"/>
      <c r="G82" s="1606" t="str">
        <f t="shared" si="2"/>
        <v>01.02.01.09.</v>
      </c>
      <c r="H82" s="1573" t="s">
        <v>61</v>
      </c>
      <c r="I82" s="498"/>
      <c r="J82" s="497"/>
      <c r="K82" s="1042"/>
      <c r="L82" s="1595"/>
      <c r="M82" s="1595"/>
      <c r="N82" s="1595"/>
      <c r="O82" s="1595"/>
    </row>
    <row r="83" spans="1:15" s="1171" customFormat="1" ht="27.75" customHeight="1">
      <c r="A83" s="1586">
        <f t="shared" si="3"/>
        <v>59</v>
      </c>
      <c r="B83" s="1602"/>
      <c r="C83" s="1603" t="s">
        <v>831</v>
      </c>
      <c r="D83" s="1604"/>
      <c r="E83" s="1605"/>
      <c r="F83" s="1316"/>
      <c r="G83" s="1611" t="str">
        <f t="shared" si="2"/>
        <v>01.02.01.10.</v>
      </c>
      <c r="H83" s="1573" t="s">
        <v>61</v>
      </c>
      <c r="I83" s="498"/>
      <c r="J83" s="502"/>
      <c r="K83" s="1042"/>
      <c r="L83" s="1595"/>
      <c r="M83" s="1595"/>
      <c r="N83" s="1595"/>
      <c r="O83" s="1595"/>
    </row>
    <row r="84" spans="1:15" s="1171" customFormat="1" ht="27.75" customHeight="1" thickBot="1">
      <c r="A84" s="1586">
        <f t="shared" si="3"/>
        <v>60</v>
      </c>
      <c r="B84" s="1607"/>
      <c r="C84" s="1608" t="s">
        <v>1924</v>
      </c>
      <c r="D84" s="1609"/>
      <c r="E84" s="1610"/>
      <c r="F84" s="1316"/>
      <c r="G84" s="1612" t="str">
        <f t="shared" si="2"/>
        <v>01.02.01.11.</v>
      </c>
      <c r="H84" s="1572" t="s">
        <v>1918</v>
      </c>
      <c r="I84" s="505">
        <f>+I73-SUM(I74:I83)</f>
        <v>0</v>
      </c>
      <c r="J84" s="611">
        <f>+J73-SUM(J74:J83)</f>
        <v>0</v>
      </c>
      <c r="K84" s="1042"/>
      <c r="L84" s="1595"/>
      <c r="M84" s="1595"/>
      <c r="N84" s="1595"/>
      <c r="O84" s="1595"/>
    </row>
    <row r="85" spans="1:15" s="1171" customFormat="1" ht="27.75" customHeight="1" thickTop="1" thickBot="1">
      <c r="A85" s="1586">
        <f t="shared" si="3"/>
        <v>61</v>
      </c>
      <c r="B85" s="1614" t="s">
        <v>689</v>
      </c>
      <c r="C85" s="1615" t="s">
        <v>1715</v>
      </c>
      <c r="D85" s="1616" t="str">
        <f>+'Tabla VI.'!F51</f>
        <v>18.01.01.02</v>
      </c>
      <c r="E85" s="1617" t="s">
        <v>683</v>
      </c>
      <c r="F85" s="1595"/>
      <c r="G85" s="1355" t="str">
        <f t="shared" si="2"/>
        <v>01.02.02.</v>
      </c>
      <c r="H85" s="1618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2"/>
      <c r="L85" s="1170"/>
      <c r="M85" s="1170"/>
      <c r="N85" s="1170"/>
      <c r="O85" s="1170"/>
    </row>
    <row r="86" spans="1:15" s="1171" customFormat="1" ht="27.75" customHeight="1" thickTop="1">
      <c r="A86" s="1586">
        <f t="shared" si="3"/>
        <v>62</v>
      </c>
      <c r="B86" s="1602"/>
      <c r="C86" s="1603" t="s">
        <v>832</v>
      </c>
      <c r="D86" s="1604"/>
      <c r="E86" s="1605"/>
      <c r="F86" s="1316"/>
      <c r="G86" s="1606" t="str">
        <f t="shared" si="2"/>
        <v>01.02.02.01.</v>
      </c>
      <c r="H86" s="1573" t="s">
        <v>61</v>
      </c>
      <c r="I86" s="498"/>
      <c r="J86" s="497"/>
      <c r="K86" s="1042"/>
      <c r="L86" s="1595"/>
      <c r="M86" s="1595"/>
      <c r="N86" s="1595"/>
      <c r="O86" s="1595"/>
    </row>
    <row r="87" spans="1:15" s="1171" customFormat="1" ht="27.75" customHeight="1">
      <c r="A87" s="1586">
        <f t="shared" si="3"/>
        <v>63</v>
      </c>
      <c r="B87" s="1602"/>
      <c r="C87" s="1603" t="s">
        <v>833</v>
      </c>
      <c r="D87" s="1604"/>
      <c r="E87" s="1605"/>
      <c r="F87" s="1316"/>
      <c r="G87" s="1606" t="str">
        <f t="shared" si="2"/>
        <v>01.02.02.02.</v>
      </c>
      <c r="H87" s="1573" t="s">
        <v>61</v>
      </c>
      <c r="I87" s="498"/>
      <c r="J87" s="497"/>
      <c r="K87" s="1042"/>
      <c r="L87" s="1595"/>
      <c r="M87" s="1595"/>
      <c r="N87" s="1595"/>
      <c r="O87" s="1595"/>
    </row>
    <row r="88" spans="1:15" s="1171" customFormat="1" ht="27.75" customHeight="1">
      <c r="A88" s="1586">
        <f t="shared" si="3"/>
        <v>64</v>
      </c>
      <c r="B88" s="1602"/>
      <c r="C88" s="1603" t="s">
        <v>834</v>
      </c>
      <c r="D88" s="1604"/>
      <c r="E88" s="1605"/>
      <c r="F88" s="1316"/>
      <c r="G88" s="1606" t="str">
        <f t="shared" si="2"/>
        <v>01.02.02.03.</v>
      </c>
      <c r="H88" s="1573" t="s">
        <v>61</v>
      </c>
      <c r="I88" s="498"/>
      <c r="J88" s="497"/>
      <c r="K88" s="1042"/>
      <c r="L88" s="1595"/>
      <c r="M88" s="1595"/>
      <c r="N88" s="1595"/>
      <c r="O88" s="1595"/>
    </row>
    <row r="89" spans="1:15" s="1171" customFormat="1" ht="27.75" customHeight="1">
      <c r="A89" s="1586">
        <f t="shared" si="3"/>
        <v>65</v>
      </c>
      <c r="B89" s="1602"/>
      <c r="C89" s="1603" t="s">
        <v>835</v>
      </c>
      <c r="D89" s="1604"/>
      <c r="E89" s="1605"/>
      <c r="F89" s="1316"/>
      <c r="G89" s="1606" t="str">
        <f t="shared" si="2"/>
        <v>01.02.02.04.</v>
      </c>
      <c r="H89" s="1573" t="s">
        <v>61</v>
      </c>
      <c r="I89" s="498"/>
      <c r="J89" s="497"/>
      <c r="K89" s="1042"/>
      <c r="L89" s="1595"/>
      <c r="M89" s="1595"/>
      <c r="N89" s="1595"/>
      <c r="O89" s="1595"/>
    </row>
    <row r="90" spans="1:15" s="1171" customFormat="1" ht="27.75" customHeight="1">
      <c r="A90" s="1586">
        <f t="shared" si="3"/>
        <v>66</v>
      </c>
      <c r="B90" s="1602"/>
      <c r="C90" s="1603" t="s">
        <v>836</v>
      </c>
      <c r="D90" s="1604"/>
      <c r="E90" s="1605"/>
      <c r="F90" s="1316"/>
      <c r="G90" s="1606" t="str">
        <f t="shared" si="2"/>
        <v>01.02.02.05.</v>
      </c>
      <c r="H90" s="1573" t="s">
        <v>61</v>
      </c>
      <c r="I90" s="498"/>
      <c r="J90" s="497"/>
      <c r="K90" s="1042"/>
      <c r="L90" s="1595"/>
      <c r="M90" s="1595"/>
      <c r="N90" s="1595"/>
      <c r="O90" s="1595"/>
    </row>
    <row r="91" spans="1:15" s="1171" customFormat="1" ht="27.75" customHeight="1">
      <c r="A91" s="1586">
        <f t="shared" si="3"/>
        <v>67</v>
      </c>
      <c r="B91" s="1602"/>
      <c r="C91" s="1603" t="s">
        <v>837</v>
      </c>
      <c r="D91" s="1604"/>
      <c r="E91" s="1605"/>
      <c r="F91" s="1316"/>
      <c r="G91" s="1606" t="str">
        <f t="shared" si="2"/>
        <v>01.02.02.06.</v>
      </c>
      <c r="H91" s="1573" t="s">
        <v>61</v>
      </c>
      <c r="I91" s="498"/>
      <c r="J91" s="497"/>
      <c r="K91" s="1042"/>
      <c r="L91" s="1595"/>
      <c r="M91" s="1595"/>
      <c r="N91" s="1595"/>
      <c r="O91" s="1595"/>
    </row>
    <row r="92" spans="1:15" s="1171" customFormat="1" ht="27.75" customHeight="1">
      <c r="A92" s="1586">
        <f t="shared" si="3"/>
        <v>68</v>
      </c>
      <c r="B92" s="1602"/>
      <c r="C92" s="1603" t="s">
        <v>838</v>
      </c>
      <c r="D92" s="1604"/>
      <c r="E92" s="1605"/>
      <c r="F92" s="1316"/>
      <c r="G92" s="1606" t="str">
        <f t="shared" si="2"/>
        <v>01.02.02.07.</v>
      </c>
      <c r="H92" s="1573" t="s">
        <v>61</v>
      </c>
      <c r="I92" s="498"/>
      <c r="J92" s="497"/>
      <c r="K92" s="1042"/>
      <c r="L92" s="1595"/>
      <c r="M92" s="1595"/>
      <c r="N92" s="1595"/>
      <c r="O92" s="1595"/>
    </row>
    <row r="93" spans="1:15" s="1171" customFormat="1" ht="27.75" customHeight="1">
      <c r="A93" s="1586">
        <f t="shared" si="3"/>
        <v>69</v>
      </c>
      <c r="B93" s="1602"/>
      <c r="C93" s="1603" t="s">
        <v>839</v>
      </c>
      <c r="D93" s="1604"/>
      <c r="E93" s="1605"/>
      <c r="F93" s="1316"/>
      <c r="G93" s="1606" t="str">
        <f t="shared" si="2"/>
        <v>01.02.02.08.</v>
      </c>
      <c r="H93" s="1573" t="s">
        <v>61</v>
      </c>
      <c r="I93" s="498"/>
      <c r="J93" s="497"/>
      <c r="K93" s="1042"/>
      <c r="L93" s="1595"/>
      <c r="M93" s="1595"/>
      <c r="N93" s="1595"/>
      <c r="O93" s="1595"/>
    </row>
    <row r="94" spans="1:15" s="1171" customFormat="1" ht="27.75" customHeight="1">
      <c r="A94" s="1586">
        <f t="shared" si="3"/>
        <v>70</v>
      </c>
      <c r="B94" s="1602"/>
      <c r="C94" s="1603" t="s">
        <v>840</v>
      </c>
      <c r="D94" s="1604"/>
      <c r="E94" s="1605"/>
      <c r="F94" s="1316"/>
      <c r="G94" s="1606" t="str">
        <f t="shared" si="2"/>
        <v>01.02.02.09.</v>
      </c>
      <c r="H94" s="1573" t="s">
        <v>61</v>
      </c>
      <c r="I94" s="498"/>
      <c r="J94" s="497"/>
      <c r="K94" s="1042"/>
      <c r="L94" s="1595"/>
      <c r="M94" s="1595"/>
      <c r="N94" s="1595"/>
      <c r="O94" s="1595"/>
    </row>
    <row r="95" spans="1:15" s="1171" customFormat="1" ht="27.75" customHeight="1">
      <c r="A95" s="1586">
        <f t="shared" si="3"/>
        <v>71</v>
      </c>
      <c r="B95" s="1602"/>
      <c r="C95" s="1603" t="s">
        <v>841</v>
      </c>
      <c r="D95" s="1604"/>
      <c r="E95" s="1605"/>
      <c r="F95" s="1316"/>
      <c r="G95" s="1611" t="str">
        <f t="shared" si="2"/>
        <v>01.02.02.10.</v>
      </c>
      <c r="H95" s="1573" t="s">
        <v>61</v>
      </c>
      <c r="I95" s="499"/>
      <c r="J95" s="502"/>
      <c r="K95" s="1042"/>
      <c r="L95" s="1595"/>
      <c r="M95" s="1595"/>
      <c r="N95" s="1595"/>
      <c r="O95" s="1595"/>
    </row>
    <row r="96" spans="1:15" s="1171" customFormat="1" ht="27.75" customHeight="1" thickBot="1">
      <c r="A96" s="1586">
        <f t="shared" si="3"/>
        <v>72</v>
      </c>
      <c r="B96" s="1607"/>
      <c r="C96" s="1608" t="s">
        <v>1926</v>
      </c>
      <c r="D96" s="1609"/>
      <c r="E96" s="1610"/>
      <c r="F96" s="1316"/>
      <c r="G96" s="1619" t="str">
        <f t="shared" si="2"/>
        <v>01.02.02.11.</v>
      </c>
      <c r="H96" s="1572" t="s">
        <v>1918</v>
      </c>
      <c r="I96" s="505">
        <f>+I85-SUM(I86:I95)</f>
        <v>0</v>
      </c>
      <c r="J96" s="611">
        <f>+J85-SUM(J86:J95)</f>
        <v>0</v>
      </c>
      <c r="K96" s="1042"/>
      <c r="L96" s="1595"/>
      <c r="M96" s="1595"/>
      <c r="N96" s="1595"/>
      <c r="O96" s="1595"/>
    </row>
    <row r="97" spans="1:15" s="1171" customFormat="1" ht="30.75" customHeight="1" thickTop="1" thickBot="1">
      <c r="A97" s="1586">
        <f t="shared" si="3"/>
        <v>73</v>
      </c>
      <c r="B97" s="1614" t="s">
        <v>688</v>
      </c>
      <c r="C97" s="1615" t="s">
        <v>1716</v>
      </c>
      <c r="D97" s="1616" t="str">
        <f>+'Tabla VI.'!F52</f>
        <v>18.01.01.03</v>
      </c>
      <c r="E97" s="1617" t="s">
        <v>682</v>
      </c>
      <c r="F97" s="1595"/>
      <c r="G97" s="1355" t="str">
        <f t="shared" si="2"/>
        <v>01.02.03.</v>
      </c>
      <c r="H97" s="1645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2"/>
      <c r="L97" s="1170"/>
      <c r="M97" s="1170"/>
      <c r="N97" s="1170"/>
      <c r="O97" s="1170"/>
    </row>
    <row r="98" spans="1:15" s="1171" customFormat="1" ht="27.75" customHeight="1" thickTop="1">
      <c r="A98" s="1586">
        <f t="shared" si="3"/>
        <v>74</v>
      </c>
      <c r="B98" s="1602"/>
      <c r="C98" s="1603" t="s">
        <v>1835</v>
      </c>
      <c r="D98" s="1604"/>
      <c r="E98" s="1605"/>
      <c r="F98" s="1316"/>
      <c r="G98" s="1606" t="str">
        <f t="shared" si="2"/>
        <v>01.02.03.01.</v>
      </c>
      <c r="H98" s="1573" t="s">
        <v>61</v>
      </c>
      <c r="I98" s="498"/>
      <c r="J98" s="497"/>
      <c r="K98" s="1042"/>
      <c r="L98" s="1595"/>
      <c r="M98" s="1595"/>
      <c r="N98" s="1595"/>
      <c r="O98" s="1595"/>
    </row>
    <row r="99" spans="1:15" s="1171" customFormat="1" ht="27.75" customHeight="1">
      <c r="A99" s="1586">
        <f t="shared" si="3"/>
        <v>75</v>
      </c>
      <c r="B99" s="1602"/>
      <c r="C99" s="1603" t="s">
        <v>1836</v>
      </c>
      <c r="D99" s="1604"/>
      <c r="E99" s="1605"/>
      <c r="F99" s="1316"/>
      <c r="G99" s="1606" t="str">
        <f t="shared" si="2"/>
        <v>01.02.03.02.</v>
      </c>
      <c r="H99" s="1573" t="s">
        <v>61</v>
      </c>
      <c r="I99" s="498"/>
      <c r="J99" s="497"/>
      <c r="K99" s="1042"/>
      <c r="L99" s="1595"/>
      <c r="M99" s="1595"/>
      <c r="N99" s="1595"/>
      <c r="O99" s="1595"/>
    </row>
    <row r="100" spans="1:15" s="1171" customFormat="1" ht="27.75" customHeight="1">
      <c r="A100" s="1586">
        <f t="shared" si="3"/>
        <v>76</v>
      </c>
      <c r="B100" s="1602"/>
      <c r="C100" s="1603" t="s">
        <v>1837</v>
      </c>
      <c r="D100" s="1604"/>
      <c r="E100" s="1605"/>
      <c r="F100" s="1316"/>
      <c r="G100" s="1606" t="str">
        <f t="shared" si="2"/>
        <v>01.02.03.03.</v>
      </c>
      <c r="H100" s="1573" t="s">
        <v>61</v>
      </c>
      <c r="I100" s="498"/>
      <c r="J100" s="497"/>
      <c r="K100" s="1042"/>
      <c r="L100" s="1595"/>
      <c r="M100" s="1595"/>
      <c r="N100" s="1595"/>
      <c r="O100" s="1595"/>
    </row>
    <row r="101" spans="1:15" s="1171" customFormat="1" ht="27.75" customHeight="1">
      <c r="A101" s="1586">
        <f t="shared" si="3"/>
        <v>77</v>
      </c>
      <c r="B101" s="1602"/>
      <c r="C101" s="1603" t="s">
        <v>1838</v>
      </c>
      <c r="D101" s="1604"/>
      <c r="E101" s="1605"/>
      <c r="F101" s="1316"/>
      <c r="G101" s="1606" t="str">
        <f t="shared" si="2"/>
        <v>01.02.03.04.</v>
      </c>
      <c r="H101" s="1573" t="s">
        <v>61</v>
      </c>
      <c r="I101" s="498"/>
      <c r="J101" s="497"/>
      <c r="K101" s="1042"/>
      <c r="L101" s="1595"/>
      <c r="M101" s="1595"/>
      <c r="N101" s="1595"/>
      <c r="O101" s="1595"/>
    </row>
    <row r="102" spans="1:15" s="1171" customFormat="1" ht="27.75" customHeight="1">
      <c r="A102" s="1586">
        <f t="shared" si="3"/>
        <v>78</v>
      </c>
      <c r="B102" s="1602"/>
      <c r="C102" s="1603" t="s">
        <v>1839</v>
      </c>
      <c r="D102" s="1604"/>
      <c r="E102" s="1605"/>
      <c r="F102" s="1316"/>
      <c r="G102" s="1606" t="str">
        <f t="shared" si="2"/>
        <v>01.02.03.05.</v>
      </c>
      <c r="H102" s="1573" t="s">
        <v>61</v>
      </c>
      <c r="I102" s="498"/>
      <c r="J102" s="497"/>
      <c r="K102" s="1042"/>
      <c r="L102" s="1595"/>
      <c r="M102" s="1595"/>
      <c r="N102" s="1595"/>
      <c r="O102" s="1595"/>
    </row>
    <row r="103" spans="1:15" s="1171" customFormat="1" ht="27.75" customHeight="1">
      <c r="A103" s="1586">
        <f t="shared" si="3"/>
        <v>79</v>
      </c>
      <c r="B103" s="1602"/>
      <c r="C103" s="1603" t="s">
        <v>1840</v>
      </c>
      <c r="D103" s="1604"/>
      <c r="E103" s="1605"/>
      <c r="F103" s="1316"/>
      <c r="G103" s="1606" t="str">
        <f t="shared" si="2"/>
        <v>01.02.03.06.</v>
      </c>
      <c r="H103" s="1573" t="s">
        <v>61</v>
      </c>
      <c r="I103" s="498"/>
      <c r="J103" s="497"/>
      <c r="K103" s="1042"/>
      <c r="L103" s="1595"/>
      <c r="M103" s="1595"/>
      <c r="N103" s="1595"/>
      <c r="O103" s="1595"/>
    </row>
    <row r="104" spans="1:15" s="1171" customFormat="1" ht="27.75" customHeight="1">
      <c r="A104" s="1586">
        <f t="shared" si="3"/>
        <v>80</v>
      </c>
      <c r="B104" s="1602"/>
      <c r="C104" s="1603" t="s">
        <v>1841</v>
      </c>
      <c r="D104" s="1604"/>
      <c r="E104" s="1605"/>
      <c r="F104" s="1316"/>
      <c r="G104" s="1606" t="str">
        <f t="shared" si="2"/>
        <v>01.02.03.07.</v>
      </c>
      <c r="H104" s="1573" t="s">
        <v>61</v>
      </c>
      <c r="I104" s="498"/>
      <c r="J104" s="497"/>
      <c r="K104" s="1042"/>
      <c r="L104" s="1595"/>
      <c r="M104" s="1595"/>
      <c r="N104" s="1595"/>
      <c r="O104" s="1595"/>
    </row>
    <row r="105" spans="1:15" s="1171" customFormat="1" ht="27.75" customHeight="1">
      <c r="A105" s="1586">
        <f t="shared" si="3"/>
        <v>81</v>
      </c>
      <c r="B105" s="1602"/>
      <c r="C105" s="1603" t="s">
        <v>1842</v>
      </c>
      <c r="D105" s="1604"/>
      <c r="E105" s="1605"/>
      <c r="F105" s="1316"/>
      <c r="G105" s="1606" t="str">
        <f t="shared" si="2"/>
        <v>01.02.03.08.</v>
      </c>
      <c r="H105" s="1573" t="s">
        <v>61</v>
      </c>
      <c r="I105" s="498"/>
      <c r="J105" s="497"/>
      <c r="K105" s="1042"/>
      <c r="L105" s="1595"/>
      <c r="M105" s="1595"/>
      <c r="N105" s="1595"/>
      <c r="O105" s="1595"/>
    </row>
    <row r="106" spans="1:15" s="1171" customFormat="1" ht="27.75" customHeight="1">
      <c r="A106" s="1586">
        <f t="shared" si="3"/>
        <v>82</v>
      </c>
      <c r="B106" s="1602"/>
      <c r="C106" s="1603" t="s">
        <v>1843</v>
      </c>
      <c r="D106" s="1604"/>
      <c r="E106" s="1605"/>
      <c r="F106" s="1316"/>
      <c r="G106" s="1606" t="str">
        <f t="shared" si="2"/>
        <v>01.02.03.09.</v>
      </c>
      <c r="H106" s="1573" t="s">
        <v>61</v>
      </c>
      <c r="I106" s="498"/>
      <c r="J106" s="497"/>
      <c r="K106" s="1042"/>
      <c r="L106" s="1595"/>
      <c r="M106" s="1595"/>
      <c r="N106" s="1595"/>
      <c r="O106" s="1595"/>
    </row>
    <row r="107" spans="1:15" s="1171" customFormat="1" ht="27.75" customHeight="1">
      <c r="A107" s="1586">
        <f t="shared" si="3"/>
        <v>83</v>
      </c>
      <c r="B107" s="1602"/>
      <c r="C107" s="1603" t="s">
        <v>1844</v>
      </c>
      <c r="D107" s="1604"/>
      <c r="E107" s="1605"/>
      <c r="F107" s="1316"/>
      <c r="G107" s="1611" t="str">
        <f t="shared" si="2"/>
        <v>01.02.03.10.</v>
      </c>
      <c r="H107" s="1574" t="s">
        <v>61</v>
      </c>
      <c r="I107" s="499"/>
      <c r="J107" s="502"/>
      <c r="K107" s="1042"/>
      <c r="L107" s="1595"/>
      <c r="M107" s="1595"/>
      <c r="N107" s="1595"/>
      <c r="O107" s="1595"/>
    </row>
    <row r="108" spans="1:15" s="1171" customFormat="1" ht="27.75" customHeight="1" thickBot="1">
      <c r="A108" s="1586">
        <f t="shared" si="3"/>
        <v>84</v>
      </c>
      <c r="B108" s="1607"/>
      <c r="C108" s="1608" t="s">
        <v>1925</v>
      </c>
      <c r="D108" s="1609"/>
      <c r="E108" s="1610"/>
      <c r="F108" s="1316"/>
      <c r="G108" s="1612" t="str">
        <f t="shared" si="2"/>
        <v>01.02.03.11.</v>
      </c>
      <c r="H108" s="1572" t="s">
        <v>1918</v>
      </c>
      <c r="I108" s="505">
        <f>+I97-SUM(I98:I107)</f>
        <v>0</v>
      </c>
      <c r="J108" s="611">
        <f>+J97-SUM(J98:J107)</f>
        <v>0</v>
      </c>
      <c r="K108" s="1042"/>
      <c r="L108" s="1595"/>
      <c r="M108" s="1595"/>
      <c r="N108" s="1595"/>
      <c r="O108" s="1595"/>
    </row>
    <row r="109" spans="1:15" s="1171" customFormat="1" ht="30.75" customHeight="1" thickTop="1" thickBot="1">
      <c r="A109" s="1586">
        <f t="shared" si="3"/>
        <v>85</v>
      </c>
      <c r="B109" s="1614" t="s">
        <v>681</v>
      </c>
      <c r="C109" s="1615" t="s">
        <v>1717</v>
      </c>
      <c r="D109" s="1616" t="str">
        <f>+'Tabla VI.'!F53</f>
        <v>18.01.01.04</v>
      </c>
      <c r="E109" s="1617" t="s">
        <v>683</v>
      </c>
      <c r="F109" s="1595"/>
      <c r="G109" s="1355" t="str">
        <f t="shared" si="2"/>
        <v>01.02.04.</v>
      </c>
      <c r="H109" s="1618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2"/>
      <c r="L109" s="1170"/>
      <c r="M109" s="1170"/>
      <c r="N109" s="1170"/>
      <c r="O109" s="1170"/>
    </row>
    <row r="110" spans="1:15" s="1171" customFormat="1" ht="27.75" customHeight="1" thickTop="1">
      <c r="A110" s="1586">
        <f t="shared" si="3"/>
        <v>86</v>
      </c>
      <c r="B110" s="1602"/>
      <c r="C110" s="1603" t="s">
        <v>1845</v>
      </c>
      <c r="D110" s="1604"/>
      <c r="E110" s="1605"/>
      <c r="F110" s="1316"/>
      <c r="G110" s="1606" t="str">
        <f t="shared" si="2"/>
        <v>01.02.04.01.</v>
      </c>
      <c r="H110" s="1573" t="s">
        <v>61</v>
      </c>
      <c r="I110" s="498"/>
      <c r="J110" s="497"/>
      <c r="K110" s="1042"/>
      <c r="L110" s="1595"/>
      <c r="M110" s="1595"/>
      <c r="N110" s="1595"/>
      <c r="O110" s="1595"/>
    </row>
    <row r="111" spans="1:15" s="1171" customFormat="1" ht="27.75" customHeight="1">
      <c r="A111" s="1586">
        <f t="shared" si="3"/>
        <v>87</v>
      </c>
      <c r="B111" s="1602"/>
      <c r="C111" s="1603" t="s">
        <v>1846</v>
      </c>
      <c r="D111" s="1604"/>
      <c r="E111" s="1605"/>
      <c r="F111" s="1316"/>
      <c r="G111" s="1606" t="str">
        <f t="shared" si="2"/>
        <v>01.02.04.02.</v>
      </c>
      <c r="H111" s="1573" t="s">
        <v>61</v>
      </c>
      <c r="I111" s="498"/>
      <c r="J111" s="497"/>
      <c r="K111" s="1042"/>
      <c r="L111" s="1595"/>
      <c r="M111" s="1595"/>
      <c r="N111" s="1595"/>
      <c r="O111" s="1595"/>
    </row>
    <row r="112" spans="1:15" s="1171" customFormat="1" ht="27.75" customHeight="1">
      <c r="A112" s="1586">
        <f t="shared" si="3"/>
        <v>88</v>
      </c>
      <c r="B112" s="1602"/>
      <c r="C112" s="1603" t="s">
        <v>1847</v>
      </c>
      <c r="D112" s="1604"/>
      <c r="E112" s="1605"/>
      <c r="F112" s="1316"/>
      <c r="G112" s="1606" t="str">
        <f t="shared" si="2"/>
        <v>01.02.04.03.</v>
      </c>
      <c r="H112" s="1573" t="s">
        <v>61</v>
      </c>
      <c r="I112" s="498"/>
      <c r="J112" s="497"/>
      <c r="K112" s="1042"/>
      <c r="L112" s="1595"/>
      <c r="M112" s="1595"/>
      <c r="N112" s="1595"/>
      <c r="O112" s="1595"/>
    </row>
    <row r="113" spans="1:15" s="1171" customFormat="1" ht="27.75" customHeight="1">
      <c r="A113" s="1586">
        <f t="shared" si="3"/>
        <v>89</v>
      </c>
      <c r="B113" s="1602"/>
      <c r="C113" s="1603" t="s">
        <v>1848</v>
      </c>
      <c r="D113" s="1604"/>
      <c r="E113" s="1605"/>
      <c r="F113" s="1316"/>
      <c r="G113" s="1606" t="str">
        <f t="shared" si="2"/>
        <v>01.02.04.04.</v>
      </c>
      <c r="H113" s="1573" t="s">
        <v>61</v>
      </c>
      <c r="I113" s="498"/>
      <c r="J113" s="497"/>
      <c r="K113" s="1042"/>
      <c r="L113" s="1595"/>
      <c r="M113" s="1595"/>
      <c r="N113" s="1595"/>
      <c r="O113" s="1595"/>
    </row>
    <row r="114" spans="1:15" s="1171" customFormat="1" ht="27.75" customHeight="1">
      <c r="A114" s="1586">
        <f t="shared" si="3"/>
        <v>90</v>
      </c>
      <c r="B114" s="1602"/>
      <c r="C114" s="1603" t="s">
        <v>1849</v>
      </c>
      <c r="D114" s="1604"/>
      <c r="E114" s="1605"/>
      <c r="F114" s="1316"/>
      <c r="G114" s="1606" t="str">
        <f t="shared" si="2"/>
        <v>01.02.04.05.</v>
      </c>
      <c r="H114" s="1573" t="s">
        <v>61</v>
      </c>
      <c r="I114" s="498"/>
      <c r="J114" s="497"/>
      <c r="K114" s="1042"/>
      <c r="L114" s="1595"/>
      <c r="M114" s="1595"/>
      <c r="N114" s="1595"/>
      <c r="O114" s="1595"/>
    </row>
    <row r="115" spans="1:15" s="1171" customFormat="1" ht="27.75" customHeight="1">
      <c r="A115" s="1586">
        <f t="shared" si="3"/>
        <v>91</v>
      </c>
      <c r="B115" s="1602"/>
      <c r="C115" s="1603" t="s">
        <v>1850</v>
      </c>
      <c r="D115" s="1604"/>
      <c r="E115" s="1605"/>
      <c r="F115" s="1316"/>
      <c r="G115" s="1606" t="str">
        <f t="shared" si="2"/>
        <v>01.02.04.06.</v>
      </c>
      <c r="H115" s="1573" t="s">
        <v>61</v>
      </c>
      <c r="I115" s="498"/>
      <c r="J115" s="497"/>
      <c r="K115" s="1042"/>
      <c r="L115" s="1595"/>
      <c r="M115" s="1595"/>
      <c r="N115" s="1595"/>
      <c r="O115" s="1595"/>
    </row>
    <row r="116" spans="1:15" s="1171" customFormat="1" ht="27.75" customHeight="1">
      <c r="A116" s="1586">
        <f t="shared" si="3"/>
        <v>92</v>
      </c>
      <c r="B116" s="1602"/>
      <c r="C116" s="1603" t="s">
        <v>1851</v>
      </c>
      <c r="D116" s="1604"/>
      <c r="E116" s="1605"/>
      <c r="F116" s="1316"/>
      <c r="G116" s="1606" t="str">
        <f t="shared" si="2"/>
        <v>01.02.04.07.</v>
      </c>
      <c r="H116" s="1573" t="s">
        <v>61</v>
      </c>
      <c r="I116" s="498"/>
      <c r="J116" s="497"/>
      <c r="K116" s="1042"/>
      <c r="L116" s="1595"/>
      <c r="M116" s="1595"/>
      <c r="N116" s="1595"/>
      <c r="O116" s="1595"/>
    </row>
    <row r="117" spans="1:15" s="1171" customFormat="1" ht="27.75" customHeight="1">
      <c r="A117" s="1586">
        <f t="shared" si="3"/>
        <v>93</v>
      </c>
      <c r="B117" s="1602"/>
      <c r="C117" s="1603" t="s">
        <v>1852</v>
      </c>
      <c r="D117" s="1604"/>
      <c r="E117" s="1605"/>
      <c r="F117" s="1316"/>
      <c r="G117" s="1606" t="str">
        <f t="shared" si="2"/>
        <v>01.02.04.08.</v>
      </c>
      <c r="H117" s="1573" t="s">
        <v>61</v>
      </c>
      <c r="I117" s="498"/>
      <c r="J117" s="497"/>
      <c r="K117" s="1042"/>
      <c r="L117" s="1595"/>
      <c r="M117" s="1595"/>
      <c r="N117" s="1595"/>
      <c r="O117" s="1595"/>
    </row>
    <row r="118" spans="1:15" s="1171" customFormat="1" ht="27.75" customHeight="1">
      <c r="A118" s="1586">
        <f t="shared" si="3"/>
        <v>94</v>
      </c>
      <c r="B118" s="1602"/>
      <c r="C118" s="1603" t="s">
        <v>1853</v>
      </c>
      <c r="D118" s="1604"/>
      <c r="E118" s="1605"/>
      <c r="F118" s="1316"/>
      <c r="G118" s="1606" t="str">
        <f t="shared" si="2"/>
        <v>01.02.04.09.</v>
      </c>
      <c r="H118" s="1573" t="s">
        <v>61</v>
      </c>
      <c r="I118" s="498"/>
      <c r="J118" s="497"/>
      <c r="K118" s="1042"/>
      <c r="L118" s="1595"/>
      <c r="M118" s="1595"/>
      <c r="N118" s="1595"/>
      <c r="O118" s="1595"/>
    </row>
    <row r="119" spans="1:15" s="1171" customFormat="1" ht="27.75" customHeight="1">
      <c r="A119" s="1586">
        <f t="shared" si="3"/>
        <v>95</v>
      </c>
      <c r="B119" s="1602"/>
      <c r="C119" s="1603" t="s">
        <v>1854</v>
      </c>
      <c r="D119" s="1604"/>
      <c r="E119" s="1605"/>
      <c r="F119" s="1316"/>
      <c r="G119" s="1611" t="str">
        <f t="shared" si="2"/>
        <v>01.02.04.10.</v>
      </c>
      <c r="H119" s="1970" t="s">
        <v>61</v>
      </c>
      <c r="I119" s="499"/>
      <c r="J119" s="502"/>
      <c r="K119" s="1042"/>
      <c r="L119" s="1595"/>
      <c r="M119" s="1595"/>
      <c r="N119" s="1595"/>
      <c r="O119" s="1595"/>
    </row>
    <row r="120" spans="1:15" s="1171" customFormat="1" ht="27.75" customHeight="1" thickBot="1">
      <c r="A120" s="1586">
        <f t="shared" si="3"/>
        <v>96</v>
      </c>
      <c r="B120" s="1621"/>
      <c r="C120" s="1622" t="s">
        <v>1923</v>
      </c>
      <c r="D120" s="1623"/>
      <c r="E120" s="1624"/>
      <c r="F120" s="1316"/>
      <c r="G120" s="1619" t="str">
        <f t="shared" si="2"/>
        <v>01.02.04.11.</v>
      </c>
      <c r="H120" s="1613" t="s">
        <v>1918</v>
      </c>
      <c r="I120" s="505">
        <f>+I109-SUM(I110:I119)</f>
        <v>0</v>
      </c>
      <c r="J120" s="611">
        <f>+J109-SUM(J110:J119)</f>
        <v>0</v>
      </c>
      <c r="K120" s="1042"/>
      <c r="L120" s="1595"/>
      <c r="M120" s="1595"/>
      <c r="N120" s="1595"/>
      <c r="O120" s="1595"/>
    </row>
    <row r="121" spans="1:15" s="1171" customFormat="1" ht="27.75" customHeight="1" thickTop="1">
      <c r="A121" s="1586"/>
      <c r="B121" s="1194"/>
      <c r="C121" s="1627"/>
      <c r="D121" s="1628"/>
      <c r="E121" s="1194"/>
      <c r="F121" s="1316"/>
      <c r="G121" s="817" t="s">
        <v>1604</v>
      </c>
      <c r="H121" s="1629"/>
      <c r="I121" s="1630"/>
      <c r="J121" s="1631"/>
      <c r="K121" s="1595"/>
      <c r="L121" s="1595"/>
      <c r="M121" s="1595"/>
      <c r="N121" s="1595"/>
      <c r="O121" s="1595"/>
    </row>
    <row r="122" spans="1:15" s="1171" customFormat="1" ht="27.75" customHeight="1">
      <c r="A122" s="1586"/>
      <c r="B122" s="1194"/>
      <c r="C122" s="1627"/>
      <c r="D122" s="1628"/>
      <c r="E122" s="1628">
        <v>1</v>
      </c>
      <c r="F122" s="1316"/>
      <c r="G122" s="1083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2"/>
      <c r="I122" s="1633"/>
      <c r="J122" s="1634"/>
      <c r="K122" s="1595"/>
      <c r="L122" s="1595"/>
      <c r="M122" s="1595"/>
      <c r="N122" s="1595"/>
      <c r="O122" s="1595"/>
    </row>
    <row r="123" spans="1:15" s="1171" customFormat="1" ht="27.75" customHeight="1" thickBot="1">
      <c r="A123" s="1586"/>
      <c r="B123" s="1194"/>
      <c r="C123" s="1627"/>
      <c r="D123" s="1628"/>
      <c r="E123" s="1628">
        <v>2</v>
      </c>
      <c r="F123" s="1316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5"/>
      <c r="I123" s="1636"/>
      <c r="J123" s="1637"/>
      <c r="K123" s="1595"/>
      <c r="L123" s="1595"/>
      <c r="M123" s="1595"/>
      <c r="N123" s="1595"/>
      <c r="O123" s="1595"/>
    </row>
    <row r="124" spans="1:15" ht="16.5" thickTop="1">
      <c r="E124" s="1647"/>
    </row>
    <row r="125" spans="1:15">
      <c r="E125" s="1647"/>
    </row>
    <row r="126" spans="1:15">
      <c r="E126" s="1647"/>
    </row>
    <row r="127" spans="1:15">
      <c r="E127" s="1647"/>
    </row>
    <row r="128" spans="1:15">
      <c r="E128" s="1647"/>
    </row>
  </sheetData>
  <sheetProtection password="EC0E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449" r:id="rId4" name="ComboBox3">
          <controlPr defaultSize="0" autoLine="0" linkedCell="H15" listFillRange="pais" r:id="rId5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4" name="ComboBox3"/>
      </mc:Fallback>
    </mc:AlternateContent>
    <mc:AlternateContent xmlns:mc="http://schemas.openxmlformats.org/markup-compatibility/2006">
      <mc:Choice Requires="x14">
        <control shapeId="70450" r:id="rId6" name="ComboBox2">
          <controlPr defaultSize="0" autoLine="0" linkedCell="H16" listFillRange="pais" r:id="rId7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6" name="ComboBox2"/>
      </mc:Fallback>
    </mc:AlternateContent>
    <mc:AlternateContent xmlns:mc="http://schemas.openxmlformats.org/markup-compatibility/2006">
      <mc:Choice Requires="x14">
        <control shapeId="70451" r:id="rId8" name="ComboBox4">
          <controlPr defaultSize="0" autoLine="0" linkedCell="H17" listFillRange="pais" r:id="rId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8" name="ComboBox4"/>
      </mc:Fallback>
    </mc:AlternateContent>
    <mc:AlternateContent xmlns:mc="http://schemas.openxmlformats.org/markup-compatibility/2006">
      <mc:Choice Requires="x14">
        <control shapeId="70452" r:id="rId10" name="ComboBox5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0" name="ComboBox5"/>
      </mc:Fallback>
    </mc:AlternateContent>
    <mc:AlternateContent xmlns:mc="http://schemas.openxmlformats.org/markup-compatibility/2006">
      <mc:Choice Requires="x14">
        <control shapeId="70453" r:id="rId12" name="ComboBox6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2" name="ComboBox6"/>
      </mc:Fallback>
    </mc:AlternateContent>
    <mc:AlternateContent xmlns:mc="http://schemas.openxmlformats.org/markup-compatibility/2006">
      <mc:Choice Requires="x14">
        <control shapeId="70454" r:id="rId14" name="ComboBox7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4" name="ComboBox7"/>
      </mc:Fallback>
    </mc:AlternateContent>
    <mc:AlternateContent xmlns:mc="http://schemas.openxmlformats.org/markup-compatibility/2006">
      <mc:Choice Requires="x14">
        <control shapeId="70455" r:id="rId16" name="ComboBox8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6" name="ComboBox8"/>
      </mc:Fallback>
    </mc:AlternateContent>
    <mc:AlternateContent xmlns:mc="http://schemas.openxmlformats.org/markup-compatibility/2006">
      <mc:Choice Requires="x14">
        <control shapeId="70456" r:id="rId18" name="ComboBox9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8" name="ComboBox9"/>
      </mc:Fallback>
    </mc:AlternateContent>
    <mc:AlternateContent xmlns:mc="http://schemas.openxmlformats.org/markup-compatibility/2006">
      <mc:Choice Requires="x14">
        <control shapeId="70457" r:id="rId20" name="ComboBox10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20" name="ComboBox10"/>
      </mc:Fallback>
    </mc:AlternateContent>
    <mc:AlternateContent xmlns:mc="http://schemas.openxmlformats.org/markup-compatibility/2006">
      <mc:Choice Requires="x14">
        <control shapeId="70458" r:id="rId22" name="ComboBox11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22" name="ComboBox11"/>
      </mc:Fallback>
    </mc:AlternateContent>
    <mc:AlternateContent xmlns:mc="http://schemas.openxmlformats.org/markup-compatibility/2006">
      <mc:Choice Requires="x14">
        <control shapeId="70459" r:id="rId24" name="ComboBox12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24" name="ComboBox12"/>
      </mc:Fallback>
    </mc:AlternateContent>
    <mc:AlternateContent xmlns:mc="http://schemas.openxmlformats.org/markup-compatibility/2006">
      <mc:Choice Requires="x14">
        <control shapeId="70465" r:id="rId26" name="ComboBox13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26" name="ComboBox13"/>
      </mc:Fallback>
    </mc:AlternateContent>
    <mc:AlternateContent xmlns:mc="http://schemas.openxmlformats.org/markup-compatibility/2006">
      <mc:Choice Requires="x14">
        <control shapeId="70466" r:id="rId28" name="ComboBox14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28" name="ComboBox14"/>
      </mc:Fallback>
    </mc:AlternateContent>
    <mc:AlternateContent xmlns:mc="http://schemas.openxmlformats.org/markup-compatibility/2006">
      <mc:Choice Requires="x14">
        <control shapeId="70467" r:id="rId30" name="ComboBox15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30" name="ComboBox15"/>
      </mc:Fallback>
    </mc:AlternateContent>
    <mc:AlternateContent xmlns:mc="http://schemas.openxmlformats.org/markup-compatibility/2006">
      <mc:Choice Requires="x14">
        <control shapeId="70468" r:id="rId32" name="ComboBox16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32" name="ComboBox16"/>
      </mc:Fallback>
    </mc:AlternateContent>
    <mc:AlternateContent xmlns:mc="http://schemas.openxmlformats.org/markup-compatibility/2006">
      <mc:Choice Requires="x14">
        <control shapeId="70469" r:id="rId34" name="ComboBox17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34" name="ComboBox17"/>
      </mc:Fallback>
    </mc:AlternateContent>
    <mc:AlternateContent xmlns:mc="http://schemas.openxmlformats.org/markup-compatibility/2006">
      <mc:Choice Requires="x14">
        <control shapeId="70470" r:id="rId36" name="ComboBox1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36" name="ComboBox1"/>
      </mc:Fallback>
    </mc:AlternateContent>
    <mc:AlternateContent xmlns:mc="http://schemas.openxmlformats.org/markup-compatibility/2006">
      <mc:Choice Requires="x14">
        <control shapeId="70471" r:id="rId38" name="ComboBox18">
          <controlPr defaultSize="0" autoLine="0" linkedCell="H35" listFillRange="pais" r:id="rId3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38" name="ComboBox18"/>
      </mc:Fallback>
    </mc:AlternateContent>
    <mc:AlternateContent xmlns:mc="http://schemas.openxmlformats.org/markup-compatibility/2006">
      <mc:Choice Requires="x14">
        <control shapeId="70472" r:id="rId40" name="ComboBox19">
          <controlPr defaultSize="0" autoLine="0" linkedCell="H34" listFillRange="pais" r:id="rId41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40" name="ComboBox19"/>
      </mc:Fallback>
    </mc:AlternateContent>
    <mc:AlternateContent xmlns:mc="http://schemas.openxmlformats.org/markup-compatibility/2006">
      <mc:Choice Requires="x14">
        <control shapeId="70473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42" name="ComboBox20"/>
      </mc:Fallback>
    </mc:AlternateContent>
    <mc:AlternateContent xmlns:mc="http://schemas.openxmlformats.org/markup-compatibility/2006">
      <mc:Choice Requires="x14">
        <control shapeId="70474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44" name="ComboBox21"/>
      </mc:Fallback>
    </mc:AlternateContent>
    <mc:AlternateContent xmlns:mc="http://schemas.openxmlformats.org/markup-compatibility/2006">
      <mc:Choice Requires="x14">
        <control shapeId="70475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46" name="ComboBox22"/>
      </mc:Fallback>
    </mc:AlternateContent>
    <mc:AlternateContent xmlns:mc="http://schemas.openxmlformats.org/markup-compatibility/2006">
      <mc:Choice Requires="x14">
        <control shapeId="70476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48" name="ComboBox23"/>
      </mc:Fallback>
    </mc:AlternateContent>
    <mc:AlternateContent xmlns:mc="http://schemas.openxmlformats.org/markup-compatibility/2006">
      <mc:Choice Requires="x14">
        <control shapeId="70477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50" name="ComboBox24"/>
      </mc:Fallback>
    </mc:AlternateContent>
    <mc:AlternateContent xmlns:mc="http://schemas.openxmlformats.org/markup-compatibility/2006">
      <mc:Choice Requires="x14">
        <control shapeId="70478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52" name="ComboBox25"/>
      </mc:Fallback>
    </mc:AlternateContent>
    <mc:AlternateContent xmlns:mc="http://schemas.openxmlformats.org/markup-compatibility/2006">
      <mc:Choice Requires="x14">
        <control shapeId="70479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54" name="ComboBox26"/>
      </mc:Fallback>
    </mc:AlternateContent>
    <mc:AlternateContent xmlns:mc="http://schemas.openxmlformats.org/markup-compatibility/2006">
      <mc:Choice Requires="x14">
        <control shapeId="70480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56" name="ComboBox27"/>
      </mc:Fallback>
    </mc:AlternateContent>
    <mc:AlternateContent xmlns:mc="http://schemas.openxmlformats.org/markup-compatibility/2006">
      <mc:Choice Requires="x14">
        <control shapeId="70481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58" name="ComboBox28"/>
      </mc:Fallback>
    </mc:AlternateContent>
    <mc:AlternateContent xmlns:mc="http://schemas.openxmlformats.org/markup-compatibility/2006">
      <mc:Choice Requires="x14">
        <control shapeId="70482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60" name="ComboBox29"/>
      </mc:Fallback>
    </mc:AlternateContent>
    <mc:AlternateContent xmlns:mc="http://schemas.openxmlformats.org/markup-compatibility/2006">
      <mc:Choice Requires="x14">
        <control shapeId="70483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62" name="ComboBox30"/>
      </mc:Fallback>
    </mc:AlternateContent>
    <mc:AlternateContent xmlns:mc="http://schemas.openxmlformats.org/markup-compatibility/2006">
      <mc:Choice Requires="x14">
        <control shapeId="70484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64" name="ComboBox31"/>
      </mc:Fallback>
    </mc:AlternateContent>
    <mc:AlternateContent xmlns:mc="http://schemas.openxmlformats.org/markup-compatibility/2006">
      <mc:Choice Requires="x14">
        <control shapeId="70485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66" name="ComboBox32"/>
      </mc:Fallback>
    </mc:AlternateContent>
    <mc:AlternateContent xmlns:mc="http://schemas.openxmlformats.org/markup-compatibility/2006">
      <mc:Choice Requires="x14">
        <control shapeId="70486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68" name="ComboBox33"/>
      </mc:Fallback>
    </mc:AlternateContent>
    <mc:AlternateContent xmlns:mc="http://schemas.openxmlformats.org/markup-compatibility/2006">
      <mc:Choice Requires="x14">
        <control shapeId="70487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70" name="ComboBox34"/>
      </mc:Fallback>
    </mc:AlternateContent>
    <mc:AlternateContent xmlns:mc="http://schemas.openxmlformats.org/markup-compatibility/2006">
      <mc:Choice Requires="x14">
        <control shapeId="70488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72" name="ComboBox35"/>
      </mc:Fallback>
    </mc:AlternateContent>
    <mc:AlternateContent xmlns:mc="http://schemas.openxmlformats.org/markup-compatibility/2006">
      <mc:Choice Requires="x14">
        <control shapeId="70489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74" name="ComboBox36"/>
      </mc:Fallback>
    </mc:AlternateContent>
    <mc:AlternateContent xmlns:mc="http://schemas.openxmlformats.org/markup-compatibility/2006">
      <mc:Choice Requires="x14">
        <control shapeId="70490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76" name="ComboBox37"/>
      </mc:Fallback>
    </mc:AlternateContent>
    <mc:AlternateContent xmlns:mc="http://schemas.openxmlformats.org/markup-compatibility/2006">
      <mc:Choice Requires="x14">
        <control shapeId="70491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78" name="ComboBox38"/>
      </mc:Fallback>
    </mc:AlternateContent>
    <mc:AlternateContent xmlns:mc="http://schemas.openxmlformats.org/markup-compatibility/2006">
      <mc:Choice Requires="x14">
        <control shapeId="70492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0" name="ComboBox39"/>
      </mc:Fallback>
    </mc:AlternateContent>
    <mc:AlternateContent xmlns:mc="http://schemas.openxmlformats.org/markup-compatibility/2006">
      <mc:Choice Requires="x14">
        <control shapeId="70493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2" name="ComboBox40"/>
      </mc:Fallback>
    </mc:AlternateContent>
    <mc:AlternateContent xmlns:mc="http://schemas.openxmlformats.org/markup-compatibility/2006">
      <mc:Choice Requires="x14">
        <control shapeId="70494" r:id="rId84" name="ComboBox41">
          <controlPr defaultSize="0" autoLine="0" linkedCell="H74" listFillRange="pais" r:id="rId85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4" name="ComboBox41"/>
      </mc:Fallback>
    </mc:AlternateContent>
    <mc:AlternateContent xmlns:mc="http://schemas.openxmlformats.org/markup-compatibility/2006">
      <mc:Choice Requires="x14">
        <control shapeId="70495" r:id="rId86" name="ComboBox42">
          <controlPr defaultSize="0" autoLine="0" linkedCell="H75" listFillRange="pais" r:id="rId87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6" name="ComboBox42"/>
      </mc:Fallback>
    </mc:AlternateContent>
    <mc:AlternateContent xmlns:mc="http://schemas.openxmlformats.org/markup-compatibility/2006">
      <mc:Choice Requires="x14">
        <control shapeId="70496" r:id="rId88" name="ComboBox43">
          <controlPr defaultSize="0" autoLine="0" linkedCell="H76" listFillRange="pais" r:id="rId8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88" name="ComboBox43"/>
      </mc:Fallback>
    </mc:AlternateContent>
    <mc:AlternateContent xmlns:mc="http://schemas.openxmlformats.org/markup-compatibility/2006">
      <mc:Choice Requires="x14">
        <control shapeId="70497" r:id="rId90" name="ComboBox44">
          <controlPr defaultSize="0" autoLine="0" linkedCell="H77" listFillRange="pais" r:id="rId91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90" name="ComboBox44"/>
      </mc:Fallback>
    </mc:AlternateContent>
    <mc:AlternateContent xmlns:mc="http://schemas.openxmlformats.org/markup-compatibility/2006">
      <mc:Choice Requires="x14">
        <control shapeId="70498" r:id="rId92" name="ComboBox45">
          <controlPr defaultSize="0" autoLine="0" linkedCell="H78" listFillRange="pais" r:id="rId9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92" name="ComboBox45"/>
      </mc:Fallback>
    </mc:AlternateContent>
    <mc:AlternateContent xmlns:mc="http://schemas.openxmlformats.org/markup-compatibility/2006">
      <mc:Choice Requires="x14">
        <control shapeId="70499" r:id="rId94" name="ComboBox46">
          <controlPr defaultSize="0" autoLine="0" linkedCell="H79" listFillRange="pais" r:id="rId95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94" name="ComboBox46"/>
      </mc:Fallback>
    </mc:AlternateContent>
    <mc:AlternateContent xmlns:mc="http://schemas.openxmlformats.org/markup-compatibility/2006">
      <mc:Choice Requires="x14">
        <control shapeId="70500" r:id="rId96" name="ComboBox47">
          <controlPr defaultSize="0" autoLine="0" linkedCell="H80" listFillRange="pais" r:id="rId97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96" name="ComboBox47"/>
      </mc:Fallback>
    </mc:AlternateContent>
    <mc:AlternateContent xmlns:mc="http://schemas.openxmlformats.org/markup-compatibility/2006">
      <mc:Choice Requires="x14">
        <control shapeId="70501" r:id="rId98" name="ComboBox48">
          <controlPr defaultSize="0" autoLine="0" linkedCell="H81" listFillRange="pais" r:id="rId9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98" name="ComboBox48"/>
      </mc:Fallback>
    </mc:AlternateContent>
    <mc:AlternateContent xmlns:mc="http://schemas.openxmlformats.org/markup-compatibility/2006">
      <mc:Choice Requires="x14">
        <control shapeId="70502" r:id="rId100" name="ComboBox49">
          <controlPr defaultSize="0" autoLine="0" linkedCell="H82" listFillRange="pais" r:id="rId101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100" name="ComboBox49"/>
      </mc:Fallback>
    </mc:AlternateContent>
    <mc:AlternateContent xmlns:mc="http://schemas.openxmlformats.org/markup-compatibility/2006">
      <mc:Choice Requires="x14">
        <control shapeId="70503" r:id="rId102" name="ComboBox50">
          <controlPr defaultSize="0" autoLine="0" linkedCell="H83" listFillRange="pais" r:id="rId103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102" name="ComboBox50"/>
      </mc:Fallback>
    </mc:AlternateContent>
    <mc:AlternateContent xmlns:mc="http://schemas.openxmlformats.org/markup-compatibility/2006">
      <mc:Choice Requires="x14">
        <control shapeId="70504" r:id="rId104" name="ComboBox51">
          <controlPr defaultSize="0" autoLine="0" linkedCell="H86" listFillRange="pais" r:id="rId105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104" name="ComboBox51"/>
      </mc:Fallback>
    </mc:AlternateContent>
    <mc:AlternateContent xmlns:mc="http://schemas.openxmlformats.org/markup-compatibility/2006">
      <mc:Choice Requires="x14">
        <control shapeId="70505" r:id="rId106" name="ComboBox52">
          <controlPr defaultSize="0" autoLine="0" linkedCell="H87" listFillRange="pais" r:id="rId107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106" name="ComboBox52"/>
      </mc:Fallback>
    </mc:AlternateContent>
    <mc:AlternateContent xmlns:mc="http://schemas.openxmlformats.org/markup-compatibility/2006">
      <mc:Choice Requires="x14">
        <control shapeId="70506" r:id="rId108" name="ComboBox53">
          <controlPr defaultSize="0" autoLine="0" linkedCell="H88" listFillRange="pais" r:id="rId10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108" name="ComboBox53"/>
      </mc:Fallback>
    </mc:AlternateContent>
    <mc:AlternateContent xmlns:mc="http://schemas.openxmlformats.org/markup-compatibility/2006">
      <mc:Choice Requires="x14">
        <control shapeId="70507" r:id="rId110" name="ComboBox54">
          <controlPr defaultSize="0" autoLine="0" linkedCell="H89" listFillRange="pais" r:id="rId111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110" name="ComboBox54"/>
      </mc:Fallback>
    </mc:AlternateContent>
    <mc:AlternateContent xmlns:mc="http://schemas.openxmlformats.org/markup-compatibility/2006">
      <mc:Choice Requires="x14">
        <control shapeId="70508" r:id="rId112" name="ComboBox55">
          <controlPr defaultSize="0" autoLine="0" linkedCell="H90" listFillRange="pais" r:id="rId11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112" name="ComboBox55"/>
      </mc:Fallback>
    </mc:AlternateContent>
    <mc:AlternateContent xmlns:mc="http://schemas.openxmlformats.org/markup-compatibility/2006">
      <mc:Choice Requires="x14">
        <control shapeId="70509" r:id="rId114" name="ComboBox56">
          <controlPr defaultSize="0" autoLine="0" linkedCell="H91" listFillRange="pais" r:id="rId115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114" name="ComboBox56"/>
      </mc:Fallback>
    </mc:AlternateContent>
    <mc:AlternateContent xmlns:mc="http://schemas.openxmlformats.org/markup-compatibility/2006">
      <mc:Choice Requires="x14">
        <control shapeId="70510" r:id="rId116" name="ComboBox57">
          <controlPr defaultSize="0" autoLine="0" linkedCell="H92" listFillRange="pais" r:id="rId117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116" name="ComboBox57"/>
      </mc:Fallback>
    </mc:AlternateContent>
    <mc:AlternateContent xmlns:mc="http://schemas.openxmlformats.org/markup-compatibility/2006">
      <mc:Choice Requires="x14">
        <control shapeId="70511" r:id="rId118" name="ComboBox58">
          <controlPr defaultSize="0" autoLine="0" linkedCell="H93" listFillRange="pais" r:id="rId11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118" name="ComboBox58"/>
      </mc:Fallback>
    </mc:AlternateContent>
    <mc:AlternateContent xmlns:mc="http://schemas.openxmlformats.org/markup-compatibility/2006">
      <mc:Choice Requires="x14">
        <control shapeId="70512" r:id="rId120" name="ComboBox59">
          <controlPr defaultSize="0" autoLine="0" linkedCell="H94" listFillRange="pais" r:id="rId121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120" name="ComboBox59"/>
      </mc:Fallback>
    </mc:AlternateContent>
    <mc:AlternateContent xmlns:mc="http://schemas.openxmlformats.org/markup-compatibility/2006">
      <mc:Choice Requires="x14">
        <control shapeId="70513" r:id="rId122" name="ComboBox60">
          <controlPr defaultSize="0" autoLine="0" linkedCell="H95" listFillRange="pais" r:id="rId123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122" name="ComboBox60"/>
      </mc:Fallback>
    </mc:AlternateContent>
    <mc:AlternateContent xmlns:mc="http://schemas.openxmlformats.org/markup-compatibility/2006">
      <mc:Choice Requires="x14">
        <control shapeId="70514" r:id="rId124" name="ComboBox61">
          <controlPr defaultSize="0" autoLine="0" linkedCell="H98" listFillRange="pais" r:id="rId125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124" name="ComboBox61"/>
      </mc:Fallback>
    </mc:AlternateContent>
    <mc:AlternateContent xmlns:mc="http://schemas.openxmlformats.org/markup-compatibility/2006">
      <mc:Choice Requires="x14">
        <control shapeId="70515" r:id="rId126" name="ComboBox62">
          <controlPr defaultSize="0" autoLine="0" linkedCell="H99" listFillRange="pais" r:id="rId127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126" name="ComboBox62"/>
      </mc:Fallback>
    </mc:AlternateContent>
    <mc:AlternateContent xmlns:mc="http://schemas.openxmlformats.org/markup-compatibility/2006">
      <mc:Choice Requires="x14">
        <control shapeId="70516" r:id="rId128" name="ComboBox63">
          <controlPr defaultSize="0" autoLine="0" linkedCell="H100" listFillRange="pais" r:id="rId12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128" name="ComboBox63"/>
      </mc:Fallback>
    </mc:AlternateContent>
    <mc:AlternateContent xmlns:mc="http://schemas.openxmlformats.org/markup-compatibility/2006">
      <mc:Choice Requires="x14">
        <control shapeId="70518" r:id="rId130" name="ComboBox64">
          <controlPr defaultSize="0" autoLine="0" linkedCell="H101" listFillRange="pais" r:id="rId131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130" name="ComboBox64"/>
      </mc:Fallback>
    </mc:AlternateContent>
    <mc:AlternateContent xmlns:mc="http://schemas.openxmlformats.org/markup-compatibility/2006">
      <mc:Choice Requires="x14">
        <control shapeId="70519" r:id="rId132" name="ComboBox65">
          <controlPr defaultSize="0" autoLine="0" linkedCell="H102" listFillRange="pais" r:id="rId1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132" name="ComboBox65"/>
      </mc:Fallback>
    </mc:AlternateContent>
    <mc:AlternateContent xmlns:mc="http://schemas.openxmlformats.org/markup-compatibility/2006">
      <mc:Choice Requires="x14">
        <control shapeId="70520" r:id="rId134" name="ComboBox66">
          <controlPr defaultSize="0" autoLine="0" linkedCell="H103" listFillRange="pais" r:id="rId135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134" name="ComboBox66"/>
      </mc:Fallback>
    </mc:AlternateContent>
    <mc:AlternateContent xmlns:mc="http://schemas.openxmlformats.org/markup-compatibility/2006">
      <mc:Choice Requires="x14">
        <control shapeId="70521" r:id="rId136" name="ComboBox67">
          <controlPr defaultSize="0" autoLine="0" linkedCell="H104" listFillRange="pais" r:id="rId137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136" name="ComboBox67"/>
      </mc:Fallback>
    </mc:AlternateContent>
    <mc:AlternateContent xmlns:mc="http://schemas.openxmlformats.org/markup-compatibility/2006">
      <mc:Choice Requires="x14">
        <control shapeId="70522" r:id="rId138" name="ComboBox68">
          <controlPr defaultSize="0" autoLine="0" linkedCell="H105" listFillRange="pais" r:id="rId13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138" name="ComboBox68"/>
      </mc:Fallback>
    </mc:AlternateContent>
    <mc:AlternateContent xmlns:mc="http://schemas.openxmlformats.org/markup-compatibility/2006">
      <mc:Choice Requires="x14">
        <control shapeId="70523" r:id="rId140" name="ComboBox69">
          <controlPr defaultSize="0" autoLine="0" linkedCell="H106" listFillRange="pais" r:id="rId141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140" name="ComboBox69"/>
      </mc:Fallback>
    </mc:AlternateContent>
    <mc:AlternateContent xmlns:mc="http://schemas.openxmlformats.org/markup-compatibility/2006">
      <mc:Choice Requires="x14">
        <control shapeId="70524" r:id="rId142" name="ComboBox70">
          <controlPr defaultSize="0" autoLine="0" linkedCell="H107" listFillRange="pais" r:id="rId143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142" name="ComboBox70"/>
      </mc:Fallback>
    </mc:AlternateContent>
    <mc:AlternateContent xmlns:mc="http://schemas.openxmlformats.org/markup-compatibility/2006">
      <mc:Choice Requires="x14">
        <control shapeId="70525" r:id="rId144" name="ComboBox71">
          <controlPr defaultSize="0" autoLine="0" linkedCell="H110" listFillRange="pais" r:id="rId145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144" name="ComboBox71"/>
      </mc:Fallback>
    </mc:AlternateContent>
    <mc:AlternateContent xmlns:mc="http://schemas.openxmlformats.org/markup-compatibility/2006">
      <mc:Choice Requires="x14">
        <control shapeId="70526" r:id="rId146" name="ComboBox72">
          <controlPr defaultSize="0" autoLine="0" linkedCell="H111" listFillRange="pais" r:id="rId147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146" name="ComboBox72"/>
      </mc:Fallback>
    </mc:AlternateContent>
    <mc:AlternateContent xmlns:mc="http://schemas.openxmlformats.org/markup-compatibility/2006">
      <mc:Choice Requires="x14">
        <control shapeId="70527" r:id="rId148" name="ComboBox73">
          <controlPr defaultSize="0" autoLine="0" linkedCell="H112" listFillRange="pais" r:id="rId14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48" name="ComboBox73"/>
      </mc:Fallback>
    </mc:AlternateContent>
    <mc:AlternateContent xmlns:mc="http://schemas.openxmlformats.org/markup-compatibility/2006">
      <mc:Choice Requires="x14">
        <control shapeId="70528" r:id="rId150" name="ComboBox74">
          <controlPr defaultSize="0" autoLine="0" linkedCell="H113" listFillRange="pais" r:id="rId151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50" name="ComboBox74"/>
      </mc:Fallback>
    </mc:AlternateContent>
    <mc:AlternateContent xmlns:mc="http://schemas.openxmlformats.org/markup-compatibility/2006">
      <mc:Choice Requires="x14">
        <control shapeId="70529" r:id="rId152" name="ComboBox75">
          <controlPr defaultSize="0" autoLine="0" linkedCell="H114" listFillRange="pais" r:id="rId15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52" name="ComboBox75"/>
      </mc:Fallback>
    </mc:AlternateContent>
    <mc:AlternateContent xmlns:mc="http://schemas.openxmlformats.org/markup-compatibility/2006">
      <mc:Choice Requires="x14">
        <control shapeId="70530" r:id="rId154" name="ComboBox76">
          <controlPr defaultSize="0" autoLine="0" linkedCell="H115" listFillRange="pais" r:id="rId155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54" name="ComboBox76"/>
      </mc:Fallback>
    </mc:AlternateContent>
    <mc:AlternateContent xmlns:mc="http://schemas.openxmlformats.org/markup-compatibility/2006">
      <mc:Choice Requires="x14">
        <control shapeId="70531" r:id="rId156" name="ComboBox77">
          <controlPr defaultSize="0" autoLine="0" linkedCell="H116" listFillRange="pais" r:id="rId157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56" name="ComboBox77"/>
      </mc:Fallback>
    </mc:AlternateContent>
    <mc:AlternateContent xmlns:mc="http://schemas.openxmlformats.org/markup-compatibility/2006">
      <mc:Choice Requires="x14">
        <control shapeId="70532" r:id="rId158" name="ComboBox78">
          <controlPr defaultSize="0" autoLine="0" linkedCell="H117" listFillRange="pais" r:id="rId15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158" name="ComboBox78"/>
      </mc:Fallback>
    </mc:AlternateContent>
    <mc:AlternateContent xmlns:mc="http://schemas.openxmlformats.org/markup-compatibility/2006">
      <mc:Choice Requires="x14">
        <control shapeId="70533" r:id="rId160" name="ComboBox79">
          <controlPr defaultSize="0" autoLine="0" linkedCell="H118" listFillRange="pais" r:id="rId161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160" name="ComboBox79"/>
      </mc:Fallback>
    </mc:AlternateContent>
    <mc:AlternateContent xmlns:mc="http://schemas.openxmlformats.org/markup-compatibility/2006">
      <mc:Choice Requires="x14">
        <control shapeId="70534" r:id="rId162" name="ComboBox80">
          <controlPr defaultSize="0" autoLine="0" linkedCell="H119" listFillRange="pais" r:id="rId163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162" name="ComboBox8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60" zoomScaleNormal="60" workbookViewId="0">
      <pane xSplit="1" ySplit="6" topLeftCell="G108" activePane="bottomRight" state="frozen"/>
      <selection activeCell="F3" sqref="F3"/>
      <selection pane="topRight" activeCell="G3" sqref="G3"/>
      <selection pane="bottomLeft" activeCell="F9" sqref="F9"/>
      <selection pane="bottomRight" activeCell="J11" sqref="J11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1" t="str">
        <f ca="1">$B$10&amp;"  Inversión directa por país de origen y de destino."</f>
        <v>Tabla VII.2.  Inversión directa por país de origen y de destino.</v>
      </c>
      <c r="H4" s="2451"/>
      <c r="I4" s="2451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6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2" t="s">
        <v>4295</v>
      </c>
      <c r="H7" s="2452"/>
      <c r="I7" s="2452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0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23.25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5" t="str">
        <f ca="1">RIGHT(CELL("nombrearchivo",$A$1),LEN(CELL("nombrearchivo",$A$1))-SEARCH("]",CELL("nombrearchivo",$A$1)))</f>
        <v>Tabla VII.2.</v>
      </c>
      <c r="C11" s="2446"/>
      <c r="D11" s="2446"/>
      <c r="E11" s="2447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8"/>
      <c r="C12" s="2449"/>
      <c r="D12" s="2449"/>
      <c r="E12" s="2450"/>
      <c r="G12" s="279"/>
      <c r="H12" s="351"/>
      <c r="I12" s="174" t="str">
        <f>CONCATENATE("SALDO A FINES DE"," ",Menu!$E$3," ",Menu!$C$3)</f>
        <v>SALDO A FINES DE MARZO 2020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1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1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1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1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1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1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1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1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1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1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1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1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1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1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1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1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1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1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1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1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2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2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2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2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2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2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2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2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2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2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2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2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2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2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2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2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2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2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2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3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0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23.25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5" t="str">
        <f ca="1">RIGHT(CELL("nombrearchivo",$A$1),LEN(CELL("nombrearchivo",$A$1))-SEARCH("]",CELL("nombrearchivo",$A$1)))</f>
        <v>Tabla VII.2.</v>
      </c>
      <c r="C69" s="2446"/>
      <c r="D69" s="2446"/>
      <c r="E69" s="2447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8"/>
      <c r="C70" s="2449"/>
      <c r="D70" s="2449"/>
      <c r="E70" s="2450"/>
      <c r="G70" s="279"/>
      <c r="H70" s="351"/>
      <c r="I70" s="174" t="str">
        <f>CONCATENATE("SALDO A FINES DE"," ",Menu!$E$3," ",Menu!$C$3)</f>
        <v>SALDO A FINES DE MARZO 2020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1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1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1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1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1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1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1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1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1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1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1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1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1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1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1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1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1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1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1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1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3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3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3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3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3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3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3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3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3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3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3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3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3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3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3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3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3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3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3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0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18" r:id="rId4" name="ComboBox2">
          <controlPr defaultSize="0" autoLine="0" linkedCell="H16" listFillRange="pais" r:id="rId5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4" name="ComboBox2"/>
      </mc:Fallback>
    </mc:AlternateContent>
    <mc:AlternateContent xmlns:mc="http://schemas.openxmlformats.org/markup-compatibility/2006">
      <mc:Choice Requires="x14">
        <control shapeId="188419" r:id="rId6" name="ComboBox3">
          <controlPr defaultSize="0" autoLine="0" linkedCell="H17" listFillRange="pais" r:id="rId7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6" name="ComboBox3"/>
      </mc:Fallback>
    </mc:AlternateContent>
    <mc:AlternateContent xmlns:mc="http://schemas.openxmlformats.org/markup-compatibility/2006">
      <mc:Choice Requires="x14">
        <control shapeId="188420" r:id="rId8" name="ComboBox1">
          <controlPr defaultSize="0" autoLine="0" linkedCell="H15" listFillRange="pais" r:id="rId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8" name="ComboBox1"/>
      </mc:Fallback>
    </mc:AlternateContent>
    <mc:AlternateContent xmlns:mc="http://schemas.openxmlformats.org/markup-compatibility/2006">
      <mc:Choice Requires="x14">
        <control shapeId="188421" r:id="rId10" name="ComboBox4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0" name="ComboBox4"/>
      </mc:Fallback>
    </mc:AlternateContent>
    <mc:AlternateContent xmlns:mc="http://schemas.openxmlformats.org/markup-compatibility/2006">
      <mc:Choice Requires="x14">
        <control shapeId="188422" r:id="rId12" name="ComboBox5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2" name="ComboBox5"/>
      </mc:Fallback>
    </mc:AlternateContent>
    <mc:AlternateContent xmlns:mc="http://schemas.openxmlformats.org/markup-compatibility/2006">
      <mc:Choice Requires="x14">
        <control shapeId="188423" r:id="rId14" name="ComboBox6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4" name="ComboBox6"/>
      </mc:Fallback>
    </mc:AlternateContent>
    <mc:AlternateContent xmlns:mc="http://schemas.openxmlformats.org/markup-compatibility/2006">
      <mc:Choice Requires="x14">
        <control shapeId="188424" r:id="rId16" name="ComboBox7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6" name="ComboBox7"/>
      </mc:Fallback>
    </mc:AlternateContent>
    <mc:AlternateContent xmlns:mc="http://schemas.openxmlformats.org/markup-compatibility/2006">
      <mc:Choice Requires="x14">
        <control shapeId="188425" r:id="rId18" name="ComboBox8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8" name="ComboBox8"/>
      </mc:Fallback>
    </mc:AlternateContent>
    <mc:AlternateContent xmlns:mc="http://schemas.openxmlformats.org/markup-compatibility/2006">
      <mc:Choice Requires="x14">
        <control shapeId="188426" r:id="rId20" name="ComboBox9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20" name="ComboBox9"/>
      </mc:Fallback>
    </mc:AlternateContent>
    <mc:AlternateContent xmlns:mc="http://schemas.openxmlformats.org/markup-compatibility/2006">
      <mc:Choice Requires="x14">
        <control shapeId="188427" r:id="rId22" name="ComboBox10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22" name="ComboBox10"/>
      </mc:Fallback>
    </mc:AlternateContent>
    <mc:AlternateContent xmlns:mc="http://schemas.openxmlformats.org/markup-compatibility/2006">
      <mc:Choice Requires="x14">
        <control shapeId="188428" r:id="rId24" name="ComboBox11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24" name="ComboBox11"/>
      </mc:Fallback>
    </mc:AlternateContent>
    <mc:AlternateContent xmlns:mc="http://schemas.openxmlformats.org/markup-compatibility/2006">
      <mc:Choice Requires="x14">
        <control shapeId="188429" r:id="rId26" name="ComboBox12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26" name="ComboBox12"/>
      </mc:Fallback>
    </mc:AlternateContent>
    <mc:AlternateContent xmlns:mc="http://schemas.openxmlformats.org/markup-compatibility/2006">
      <mc:Choice Requires="x14">
        <control shapeId="188430" r:id="rId28" name="ComboBox13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28" name="ComboBox13"/>
      </mc:Fallback>
    </mc:AlternateContent>
    <mc:AlternateContent xmlns:mc="http://schemas.openxmlformats.org/markup-compatibility/2006">
      <mc:Choice Requires="x14">
        <control shapeId="188431" r:id="rId30" name="ComboBox14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30" name="ComboBox14"/>
      </mc:Fallback>
    </mc:AlternateContent>
    <mc:AlternateContent xmlns:mc="http://schemas.openxmlformats.org/markup-compatibility/2006">
      <mc:Choice Requires="x14">
        <control shapeId="188432" r:id="rId32" name="ComboBox15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32" name="ComboBox15"/>
      </mc:Fallback>
    </mc:AlternateContent>
    <mc:AlternateContent xmlns:mc="http://schemas.openxmlformats.org/markup-compatibility/2006">
      <mc:Choice Requires="x14">
        <control shapeId="188433" r:id="rId34" name="ComboBox16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34" name="ComboBox16"/>
      </mc:Fallback>
    </mc:AlternateContent>
    <mc:AlternateContent xmlns:mc="http://schemas.openxmlformats.org/markup-compatibility/2006">
      <mc:Choice Requires="x14">
        <control shapeId="188434" r:id="rId36" name="ComboBox17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36" name="ComboBox17"/>
      </mc:Fallback>
    </mc:AlternateContent>
    <mc:AlternateContent xmlns:mc="http://schemas.openxmlformats.org/markup-compatibility/2006">
      <mc:Choice Requires="x14">
        <control shapeId="188435" r:id="rId38" name="ComboBox18">
          <controlPr defaultSize="0" autoLine="0" linkedCell="H34" listFillRange="pais" r:id="rId3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38" name="ComboBox18"/>
      </mc:Fallback>
    </mc:AlternateContent>
    <mc:AlternateContent xmlns:mc="http://schemas.openxmlformats.org/markup-compatibility/2006">
      <mc:Choice Requires="x14">
        <control shapeId="188436" r:id="rId40" name="ComboBox19">
          <controlPr defaultSize="0" autoLine="0" linkedCell="H35" listFillRange="pais" r:id="rId41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40" name="ComboBox19"/>
      </mc:Fallback>
    </mc:AlternateContent>
    <mc:AlternateContent xmlns:mc="http://schemas.openxmlformats.org/markup-compatibility/2006">
      <mc:Choice Requires="x14">
        <control shapeId="188437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42" name="ComboBox20"/>
      </mc:Fallback>
    </mc:AlternateContent>
    <mc:AlternateContent xmlns:mc="http://schemas.openxmlformats.org/markup-compatibility/2006">
      <mc:Choice Requires="x14">
        <control shapeId="188438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44" name="ComboBox21"/>
      </mc:Fallback>
    </mc:AlternateContent>
    <mc:AlternateContent xmlns:mc="http://schemas.openxmlformats.org/markup-compatibility/2006">
      <mc:Choice Requires="x14">
        <control shapeId="188439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46" name="ComboBox22"/>
      </mc:Fallback>
    </mc:AlternateContent>
    <mc:AlternateContent xmlns:mc="http://schemas.openxmlformats.org/markup-compatibility/2006">
      <mc:Choice Requires="x14">
        <control shapeId="188440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48" name="ComboBox23"/>
      </mc:Fallback>
    </mc:AlternateContent>
    <mc:AlternateContent xmlns:mc="http://schemas.openxmlformats.org/markup-compatibility/2006">
      <mc:Choice Requires="x14">
        <control shapeId="188441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50" name="ComboBox24"/>
      </mc:Fallback>
    </mc:AlternateContent>
    <mc:AlternateContent xmlns:mc="http://schemas.openxmlformats.org/markup-compatibility/2006">
      <mc:Choice Requires="x14">
        <control shapeId="188442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52" name="ComboBox25"/>
      </mc:Fallback>
    </mc:AlternateContent>
    <mc:AlternateContent xmlns:mc="http://schemas.openxmlformats.org/markup-compatibility/2006">
      <mc:Choice Requires="x14">
        <control shapeId="188443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54" name="ComboBox26"/>
      </mc:Fallback>
    </mc:AlternateContent>
    <mc:AlternateContent xmlns:mc="http://schemas.openxmlformats.org/markup-compatibility/2006">
      <mc:Choice Requires="x14">
        <control shapeId="188444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56" name="ComboBox27"/>
      </mc:Fallback>
    </mc:AlternateContent>
    <mc:AlternateContent xmlns:mc="http://schemas.openxmlformats.org/markup-compatibility/2006">
      <mc:Choice Requires="x14">
        <control shapeId="188445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58" name="ComboBox28"/>
      </mc:Fallback>
    </mc:AlternateContent>
    <mc:AlternateContent xmlns:mc="http://schemas.openxmlformats.org/markup-compatibility/2006">
      <mc:Choice Requires="x14">
        <control shapeId="188446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60" name="ComboBox29"/>
      </mc:Fallback>
    </mc:AlternateContent>
    <mc:AlternateContent xmlns:mc="http://schemas.openxmlformats.org/markup-compatibility/2006">
      <mc:Choice Requires="x14">
        <control shapeId="188447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62" name="ComboBox30"/>
      </mc:Fallback>
    </mc:AlternateContent>
    <mc:AlternateContent xmlns:mc="http://schemas.openxmlformats.org/markup-compatibility/2006">
      <mc:Choice Requires="x14">
        <control shapeId="188448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64" name="ComboBox31"/>
      </mc:Fallback>
    </mc:AlternateContent>
    <mc:AlternateContent xmlns:mc="http://schemas.openxmlformats.org/markup-compatibility/2006">
      <mc:Choice Requires="x14">
        <control shapeId="188449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66" name="ComboBox32"/>
      </mc:Fallback>
    </mc:AlternateContent>
    <mc:AlternateContent xmlns:mc="http://schemas.openxmlformats.org/markup-compatibility/2006">
      <mc:Choice Requires="x14">
        <control shapeId="188450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68" name="ComboBox33"/>
      </mc:Fallback>
    </mc:AlternateContent>
    <mc:AlternateContent xmlns:mc="http://schemas.openxmlformats.org/markup-compatibility/2006">
      <mc:Choice Requires="x14">
        <control shapeId="188451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70" name="ComboBox34"/>
      </mc:Fallback>
    </mc:AlternateContent>
    <mc:AlternateContent xmlns:mc="http://schemas.openxmlformats.org/markup-compatibility/2006">
      <mc:Choice Requires="x14">
        <control shapeId="188452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72" name="ComboBox35"/>
      </mc:Fallback>
    </mc:AlternateContent>
    <mc:AlternateContent xmlns:mc="http://schemas.openxmlformats.org/markup-compatibility/2006">
      <mc:Choice Requires="x14">
        <control shapeId="188453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74" name="ComboBox36"/>
      </mc:Fallback>
    </mc:AlternateContent>
    <mc:AlternateContent xmlns:mc="http://schemas.openxmlformats.org/markup-compatibility/2006">
      <mc:Choice Requires="x14">
        <control shapeId="188454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76" name="ComboBox37"/>
      </mc:Fallback>
    </mc:AlternateContent>
    <mc:AlternateContent xmlns:mc="http://schemas.openxmlformats.org/markup-compatibility/2006">
      <mc:Choice Requires="x14">
        <control shapeId="188455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78" name="ComboBox38"/>
      </mc:Fallback>
    </mc:AlternateContent>
    <mc:AlternateContent xmlns:mc="http://schemas.openxmlformats.org/markup-compatibility/2006">
      <mc:Choice Requires="x14">
        <control shapeId="188456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0" name="ComboBox39"/>
      </mc:Fallback>
    </mc:AlternateContent>
    <mc:AlternateContent xmlns:mc="http://schemas.openxmlformats.org/markup-compatibility/2006">
      <mc:Choice Requires="x14">
        <control shapeId="188457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2" name="ComboBox40"/>
      </mc:Fallback>
    </mc:AlternateContent>
    <mc:AlternateContent xmlns:mc="http://schemas.openxmlformats.org/markup-compatibility/2006">
      <mc:Choice Requires="x14">
        <control shapeId="188458" r:id="rId84" name="ComboBox41">
          <controlPr defaultSize="0" autoLine="0" linkedCell="H73" listFillRange="pais" r:id="rId85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4" name="ComboBox41"/>
      </mc:Fallback>
    </mc:AlternateContent>
    <mc:AlternateContent xmlns:mc="http://schemas.openxmlformats.org/markup-compatibility/2006">
      <mc:Choice Requires="x14">
        <control shapeId="188459" r:id="rId86" name="ComboBox42">
          <controlPr defaultSize="0" autoLine="0" linkedCell="H74" listFillRange="pais" r:id="rId87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6" name="ComboBox42"/>
      </mc:Fallback>
    </mc:AlternateContent>
    <mc:AlternateContent xmlns:mc="http://schemas.openxmlformats.org/markup-compatibility/2006">
      <mc:Choice Requires="x14">
        <control shapeId="188460" r:id="rId88" name="ComboBox43">
          <controlPr defaultSize="0" autoLine="0" linkedCell="H75" listFillRange="pais" r:id="rId8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88" name="ComboBox43"/>
      </mc:Fallback>
    </mc:AlternateContent>
    <mc:AlternateContent xmlns:mc="http://schemas.openxmlformats.org/markup-compatibility/2006">
      <mc:Choice Requires="x14">
        <control shapeId="188461" r:id="rId90" name="ComboBox44">
          <controlPr defaultSize="0" autoLine="0" linkedCell="H76" listFillRange="pais" r:id="rId91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90" name="ComboBox44"/>
      </mc:Fallback>
    </mc:AlternateContent>
    <mc:AlternateContent xmlns:mc="http://schemas.openxmlformats.org/markup-compatibility/2006">
      <mc:Choice Requires="x14">
        <control shapeId="188462" r:id="rId92" name="ComboBox45">
          <controlPr defaultSize="0" autoLine="0" linkedCell="H77" listFillRange="pais" r:id="rId93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92" name="ComboBox45"/>
      </mc:Fallback>
    </mc:AlternateContent>
    <mc:AlternateContent xmlns:mc="http://schemas.openxmlformats.org/markup-compatibility/2006">
      <mc:Choice Requires="x14">
        <control shapeId="188463" r:id="rId94" name="ComboBox46">
          <controlPr defaultSize="0" autoLine="0" linkedCell="H78" listFillRange="pais" r:id="rId9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94" name="ComboBox46"/>
      </mc:Fallback>
    </mc:AlternateContent>
    <mc:AlternateContent xmlns:mc="http://schemas.openxmlformats.org/markup-compatibility/2006">
      <mc:Choice Requires="x14">
        <control shapeId="188464" r:id="rId96" name="ComboBox47">
          <controlPr defaultSize="0" autoLine="0" linkedCell="H79" listFillRange="pais" r:id="rId97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96" name="ComboBox47"/>
      </mc:Fallback>
    </mc:AlternateContent>
    <mc:AlternateContent xmlns:mc="http://schemas.openxmlformats.org/markup-compatibility/2006">
      <mc:Choice Requires="x14">
        <control shapeId="188465" r:id="rId98" name="ComboBox48">
          <controlPr defaultSize="0" autoLine="0" linkedCell="H80" listFillRange="pais" r:id="rId9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98" name="ComboBox48"/>
      </mc:Fallback>
    </mc:AlternateContent>
    <mc:AlternateContent xmlns:mc="http://schemas.openxmlformats.org/markup-compatibility/2006">
      <mc:Choice Requires="x14">
        <control shapeId="188466" r:id="rId100" name="ComboBox49">
          <controlPr defaultSize="0" autoLine="0" linkedCell="H81" listFillRange="pais" r:id="rId101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100" name="ComboBox49"/>
      </mc:Fallback>
    </mc:AlternateContent>
    <mc:AlternateContent xmlns:mc="http://schemas.openxmlformats.org/markup-compatibility/2006">
      <mc:Choice Requires="x14">
        <control shapeId="188467" r:id="rId102" name="ComboBox50">
          <controlPr defaultSize="0" autoLine="0" linkedCell="H82" listFillRange="pais" r:id="rId103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102" name="ComboBox50"/>
      </mc:Fallback>
    </mc:AlternateContent>
    <mc:AlternateContent xmlns:mc="http://schemas.openxmlformats.org/markup-compatibility/2006">
      <mc:Choice Requires="x14">
        <control shapeId="188468" r:id="rId104" name="ComboBox51">
          <controlPr defaultSize="0" autoLine="0" linkedCell="H85" listFillRange="pais" r:id="rId105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104" name="ComboBox51"/>
      </mc:Fallback>
    </mc:AlternateContent>
    <mc:AlternateContent xmlns:mc="http://schemas.openxmlformats.org/markup-compatibility/2006">
      <mc:Choice Requires="x14">
        <control shapeId="188469" r:id="rId106" name="ComboBox52">
          <controlPr defaultSize="0" autoLine="0" linkedCell="H86" listFillRange="pais" r:id="rId107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106" name="ComboBox52"/>
      </mc:Fallback>
    </mc:AlternateContent>
    <mc:AlternateContent xmlns:mc="http://schemas.openxmlformats.org/markup-compatibility/2006">
      <mc:Choice Requires="x14">
        <control shapeId="188470" r:id="rId108" name="ComboBox53">
          <controlPr defaultSize="0" autoLine="0" linkedCell="H87" listFillRange="pais" r:id="rId10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108" name="ComboBox53"/>
      </mc:Fallback>
    </mc:AlternateContent>
    <mc:AlternateContent xmlns:mc="http://schemas.openxmlformats.org/markup-compatibility/2006">
      <mc:Choice Requires="x14">
        <control shapeId="188471" r:id="rId110" name="ComboBox54">
          <controlPr defaultSize="0" autoLine="0" linkedCell="H88" listFillRange="pais" r:id="rId111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110" name="ComboBox54"/>
      </mc:Fallback>
    </mc:AlternateContent>
    <mc:AlternateContent xmlns:mc="http://schemas.openxmlformats.org/markup-compatibility/2006">
      <mc:Choice Requires="x14">
        <control shapeId="188472" r:id="rId112" name="ComboBox55">
          <controlPr defaultSize="0" autoLine="0" linkedCell="H89" listFillRange="pais" r:id="rId113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112" name="ComboBox55"/>
      </mc:Fallback>
    </mc:AlternateContent>
    <mc:AlternateContent xmlns:mc="http://schemas.openxmlformats.org/markup-compatibility/2006">
      <mc:Choice Requires="x14">
        <control shapeId="188473" r:id="rId114" name="ComboBox56">
          <controlPr defaultSize="0" autoLine="0" linkedCell="H90" listFillRange="pais" r:id="rId11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114" name="ComboBox56"/>
      </mc:Fallback>
    </mc:AlternateContent>
    <mc:AlternateContent xmlns:mc="http://schemas.openxmlformats.org/markup-compatibility/2006">
      <mc:Choice Requires="x14">
        <control shapeId="188474" r:id="rId116" name="ComboBox57">
          <controlPr defaultSize="0" autoLine="0" linkedCell="H91" listFillRange="pais" r:id="rId117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116" name="ComboBox57"/>
      </mc:Fallback>
    </mc:AlternateContent>
    <mc:AlternateContent xmlns:mc="http://schemas.openxmlformats.org/markup-compatibility/2006">
      <mc:Choice Requires="x14">
        <control shapeId="188475" r:id="rId118" name="ComboBox58">
          <controlPr defaultSize="0" autoLine="0" linkedCell="H92" listFillRange="pais" r:id="rId11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118" name="ComboBox58"/>
      </mc:Fallback>
    </mc:AlternateContent>
    <mc:AlternateContent xmlns:mc="http://schemas.openxmlformats.org/markup-compatibility/2006">
      <mc:Choice Requires="x14">
        <control shapeId="188476" r:id="rId120" name="ComboBox59">
          <controlPr defaultSize="0" autoLine="0" linkedCell="H93" listFillRange="pais" r:id="rId121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120" name="ComboBox59"/>
      </mc:Fallback>
    </mc:AlternateContent>
    <mc:AlternateContent xmlns:mc="http://schemas.openxmlformats.org/markup-compatibility/2006">
      <mc:Choice Requires="x14">
        <control shapeId="188477" r:id="rId122" name="ComboBox60">
          <controlPr defaultSize="0" autoLine="0" linkedCell="H94" listFillRange="pais" r:id="rId123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122" name="ComboBox60"/>
      </mc:Fallback>
    </mc:AlternateContent>
    <mc:AlternateContent xmlns:mc="http://schemas.openxmlformats.org/markup-compatibility/2006">
      <mc:Choice Requires="x14">
        <control shapeId="188478" r:id="rId124" name="ComboBox61">
          <controlPr defaultSize="0" autoLine="0" linkedCell="H97" listFillRange="pais" r:id="rId125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124" name="ComboBox61"/>
      </mc:Fallback>
    </mc:AlternateContent>
    <mc:AlternateContent xmlns:mc="http://schemas.openxmlformats.org/markup-compatibility/2006">
      <mc:Choice Requires="x14">
        <control shapeId="188479" r:id="rId126" name="ComboBox62">
          <controlPr defaultSize="0" autoLine="0" linkedCell="H98" listFillRange="pais" r:id="rId127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126" name="ComboBox62"/>
      </mc:Fallback>
    </mc:AlternateContent>
    <mc:AlternateContent xmlns:mc="http://schemas.openxmlformats.org/markup-compatibility/2006">
      <mc:Choice Requires="x14">
        <control shapeId="188480" r:id="rId128" name="ComboBox63">
          <controlPr defaultSize="0" autoLine="0" linkedCell="H99" listFillRange="pais" r:id="rId12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128" name="ComboBox63"/>
      </mc:Fallback>
    </mc:AlternateContent>
    <mc:AlternateContent xmlns:mc="http://schemas.openxmlformats.org/markup-compatibility/2006">
      <mc:Choice Requires="x14">
        <control shapeId="188481" r:id="rId130" name="ComboBox64">
          <controlPr defaultSize="0" autoLine="0" linkedCell="H100" listFillRange="pais" r:id="rId131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130" name="ComboBox64"/>
      </mc:Fallback>
    </mc:AlternateContent>
    <mc:AlternateContent xmlns:mc="http://schemas.openxmlformats.org/markup-compatibility/2006">
      <mc:Choice Requires="x14">
        <control shapeId="188482" r:id="rId132" name="ComboBox65">
          <controlPr defaultSize="0" autoLine="0" linkedCell="H101" listFillRange="pais" r:id="rId133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132" name="ComboBox65"/>
      </mc:Fallback>
    </mc:AlternateContent>
    <mc:AlternateContent xmlns:mc="http://schemas.openxmlformats.org/markup-compatibility/2006">
      <mc:Choice Requires="x14">
        <control shapeId="188483" r:id="rId134" name="ComboBox66">
          <controlPr defaultSize="0" autoLine="0" linkedCell="H102" listFillRange="pais" r:id="rId1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134" name="ComboBox66"/>
      </mc:Fallback>
    </mc:AlternateContent>
    <mc:AlternateContent xmlns:mc="http://schemas.openxmlformats.org/markup-compatibility/2006">
      <mc:Choice Requires="x14">
        <control shapeId="188484" r:id="rId136" name="ComboBox67">
          <controlPr defaultSize="0" autoLine="0" linkedCell="H103" listFillRange="pais" r:id="rId137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136" name="ComboBox67"/>
      </mc:Fallback>
    </mc:AlternateContent>
    <mc:AlternateContent xmlns:mc="http://schemas.openxmlformats.org/markup-compatibility/2006">
      <mc:Choice Requires="x14">
        <control shapeId="188485" r:id="rId138" name="ComboBox68">
          <controlPr defaultSize="0" autoLine="0" linkedCell="H104" listFillRange="pais" r:id="rId13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138" name="ComboBox68"/>
      </mc:Fallback>
    </mc:AlternateContent>
    <mc:AlternateContent xmlns:mc="http://schemas.openxmlformats.org/markup-compatibility/2006">
      <mc:Choice Requires="x14">
        <control shapeId="188486" r:id="rId140" name="ComboBox69">
          <controlPr defaultSize="0" autoLine="0" linkedCell="H105" listFillRange="pais" r:id="rId141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140" name="ComboBox69"/>
      </mc:Fallback>
    </mc:AlternateContent>
    <mc:AlternateContent xmlns:mc="http://schemas.openxmlformats.org/markup-compatibility/2006">
      <mc:Choice Requires="x14">
        <control shapeId="188487" r:id="rId142" name="ComboBox70">
          <controlPr defaultSize="0" autoLine="0" linkedCell="H106" listFillRange="pais" r:id="rId143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142" name="ComboBox70"/>
      </mc:Fallback>
    </mc:AlternateContent>
    <mc:AlternateContent xmlns:mc="http://schemas.openxmlformats.org/markup-compatibility/2006">
      <mc:Choice Requires="x14">
        <control shapeId="188488" r:id="rId144" name="ComboBox71">
          <controlPr defaultSize="0" autoLine="0" linkedCell="H109" listFillRange="pais" r:id="rId145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144" name="ComboBox71"/>
      </mc:Fallback>
    </mc:AlternateContent>
    <mc:AlternateContent xmlns:mc="http://schemas.openxmlformats.org/markup-compatibility/2006">
      <mc:Choice Requires="x14">
        <control shapeId="188489" r:id="rId146" name="ComboBox72">
          <controlPr defaultSize="0" autoLine="0" linkedCell="H110" listFillRange="pais" r:id="rId147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146" name="ComboBox72"/>
      </mc:Fallback>
    </mc:AlternateContent>
    <mc:AlternateContent xmlns:mc="http://schemas.openxmlformats.org/markup-compatibility/2006">
      <mc:Choice Requires="x14">
        <control shapeId="188490" r:id="rId148" name="ComboBox73">
          <controlPr defaultSize="0" autoLine="0" linkedCell="H111" listFillRange="pais" r:id="rId14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48" name="ComboBox73"/>
      </mc:Fallback>
    </mc:AlternateContent>
    <mc:AlternateContent xmlns:mc="http://schemas.openxmlformats.org/markup-compatibility/2006">
      <mc:Choice Requires="x14">
        <control shapeId="188491" r:id="rId150" name="ComboBox74">
          <controlPr defaultSize="0" autoLine="0" linkedCell="H112" listFillRange="pais" r:id="rId151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50" name="ComboBox74"/>
      </mc:Fallback>
    </mc:AlternateContent>
    <mc:AlternateContent xmlns:mc="http://schemas.openxmlformats.org/markup-compatibility/2006">
      <mc:Choice Requires="x14">
        <control shapeId="188492" r:id="rId152" name="ComboBox75">
          <controlPr defaultSize="0" autoLine="0" linkedCell="H113" listFillRange="pais" r:id="rId153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52" name="ComboBox75"/>
      </mc:Fallback>
    </mc:AlternateContent>
    <mc:AlternateContent xmlns:mc="http://schemas.openxmlformats.org/markup-compatibility/2006">
      <mc:Choice Requires="x14">
        <control shapeId="188493" r:id="rId154" name="ComboBox76">
          <controlPr defaultSize="0" autoLine="0" linkedCell="H114" listFillRange="pais" r:id="rId15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54" name="ComboBox76"/>
      </mc:Fallback>
    </mc:AlternateContent>
    <mc:AlternateContent xmlns:mc="http://schemas.openxmlformats.org/markup-compatibility/2006">
      <mc:Choice Requires="x14">
        <control shapeId="188494" r:id="rId156" name="ComboBox77">
          <controlPr defaultSize="0" autoLine="0" linkedCell="H115" listFillRange="pais" r:id="rId157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56" name="ComboBox77"/>
      </mc:Fallback>
    </mc:AlternateContent>
    <mc:AlternateContent xmlns:mc="http://schemas.openxmlformats.org/markup-compatibility/2006">
      <mc:Choice Requires="x14">
        <control shapeId="188495" r:id="rId158" name="ComboBox78">
          <controlPr defaultSize="0" autoLine="0" linkedCell="H116" listFillRange="pais" r:id="rId15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158" name="ComboBox78"/>
      </mc:Fallback>
    </mc:AlternateContent>
    <mc:AlternateContent xmlns:mc="http://schemas.openxmlformats.org/markup-compatibility/2006">
      <mc:Choice Requires="x14">
        <control shapeId="188496" r:id="rId160" name="ComboBox79">
          <controlPr defaultSize="0" autoLine="0" linkedCell="H117" listFillRange="pais" r:id="rId161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160" name="ComboBox79"/>
      </mc:Fallback>
    </mc:AlternateContent>
    <mc:AlternateContent xmlns:mc="http://schemas.openxmlformats.org/markup-compatibility/2006">
      <mc:Choice Requires="x14">
        <control shapeId="188497" r:id="rId162" name="ComboBox80">
          <controlPr defaultSize="0" autoLine="0" linkedCell="H118" listFillRange="pais" r:id="rId163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162" name="ComboBox80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7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3" sqref="K13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2:18">
      <c r="B1" s="1954"/>
      <c r="C1" s="1954"/>
      <c r="D1" s="1954"/>
      <c r="E1" s="1954"/>
      <c r="F1" s="1954"/>
      <c r="G1" s="1954"/>
      <c r="H1" s="1954"/>
      <c r="I1" s="1954"/>
      <c r="J1" s="1954"/>
      <c r="K1" s="1954"/>
      <c r="L1" s="1954"/>
      <c r="M1" s="1954"/>
      <c r="N1" s="1954"/>
      <c r="O1" s="1954"/>
      <c r="P1" s="1954"/>
      <c r="Q1" s="1954"/>
      <c r="R1" s="1954"/>
    </row>
    <row r="2" spans="2:18">
      <c r="B2" s="1916" t="s">
        <v>4246</v>
      </c>
      <c r="H2" s="1916" t="s">
        <v>4248</v>
      </c>
      <c r="N2" s="1916" t="s">
        <v>4247</v>
      </c>
    </row>
    <row r="3" spans="2:18">
      <c r="B3" s="1911" t="s">
        <v>4238</v>
      </c>
      <c r="C3" s="1911" t="s">
        <v>4239</v>
      </c>
      <c r="D3" s="1911" t="s">
        <v>4243</v>
      </c>
      <c r="E3" s="1911" t="s">
        <v>4240</v>
      </c>
      <c r="F3" s="1911" t="s">
        <v>4241</v>
      </c>
      <c r="H3" s="1911" t="s">
        <v>4238</v>
      </c>
      <c r="I3" s="1911" t="s">
        <v>4239</v>
      </c>
      <c r="J3" s="1911" t="s">
        <v>4243</v>
      </c>
      <c r="K3" s="1911" t="s">
        <v>4240</v>
      </c>
      <c r="L3" s="1911" t="s">
        <v>4241</v>
      </c>
      <c r="N3" s="1911" t="s">
        <v>4238</v>
      </c>
      <c r="O3" s="1911" t="s">
        <v>4239</v>
      </c>
      <c r="P3" s="1911" t="s">
        <v>4243</v>
      </c>
      <c r="Q3" s="1911" t="s">
        <v>4240</v>
      </c>
      <c r="R3" s="1911" t="s">
        <v>4241</v>
      </c>
    </row>
    <row r="4" spans="2:18">
      <c r="B4" s="12">
        <v>2017</v>
      </c>
      <c r="C4" s="12">
        <v>4</v>
      </c>
      <c r="D4" s="1914" t="str">
        <f>C4&amp;"T"&amp;B4</f>
        <v>4T2017</v>
      </c>
      <c r="E4" s="1912"/>
      <c r="F4" s="1912">
        <v>3.3820000000000001</v>
      </c>
      <c r="H4" s="12">
        <v>2017</v>
      </c>
      <c r="I4" s="12">
        <v>4</v>
      </c>
      <c r="J4" s="1914" t="str">
        <f>I4&amp;"T"&amp;H4</f>
        <v>4T2017</v>
      </c>
      <c r="K4" s="1912"/>
      <c r="L4" s="1931">
        <v>3.8940000000000001</v>
      </c>
      <c r="N4" s="12">
        <v>2017</v>
      </c>
      <c r="O4" s="12">
        <v>4</v>
      </c>
      <c r="P4" s="1914" t="str">
        <f>O4&amp;"T"&amp;N4</f>
        <v>4T2017</v>
      </c>
      <c r="Q4" s="1931"/>
      <c r="R4" s="1953">
        <v>2.8777E-2</v>
      </c>
    </row>
    <row r="5" spans="2:18" s="1937" customFormat="1">
      <c r="B5" s="1939">
        <v>2018</v>
      </c>
      <c r="C5" s="1939">
        <v>1</v>
      </c>
      <c r="D5" s="1940" t="str">
        <f>C5&amp;"T"&amp;B5</f>
        <v>1T2018</v>
      </c>
      <c r="E5" s="1941">
        <v>3.238</v>
      </c>
      <c r="F5" s="1941">
        <v>3.2265000000000001</v>
      </c>
      <c r="H5" s="1939">
        <v>2018</v>
      </c>
      <c r="I5" s="1939">
        <v>1</v>
      </c>
      <c r="J5" s="1940" t="str">
        <f>I5&amp;"T"&amp;H5</f>
        <v>1T2018</v>
      </c>
      <c r="K5" s="1949">
        <v>3.9945000000000004</v>
      </c>
      <c r="L5" s="1949">
        <v>3.9740000000000002</v>
      </c>
      <c r="N5" s="1939">
        <v>2018</v>
      </c>
      <c r="O5" s="1939">
        <v>1</v>
      </c>
      <c r="P5" s="1940" t="str">
        <f>O5&amp;"T"&amp;N5</f>
        <v>1T2018</v>
      </c>
      <c r="Q5" s="1949">
        <v>3.0442105263157899E-2</v>
      </c>
      <c r="R5" s="1949">
        <v>3.0200999999999999E-2</v>
      </c>
    </row>
    <row r="6" spans="2:18" s="1937" customFormat="1">
      <c r="B6" s="1942">
        <v>2018</v>
      </c>
      <c r="C6" s="1942">
        <v>2</v>
      </c>
      <c r="D6" s="1943" t="str">
        <f t="shared" ref="D6:D12" si="0">C6&amp;"T"&amp;B6</f>
        <v>2T2018</v>
      </c>
      <c r="E6" s="1944">
        <v>3.258</v>
      </c>
      <c r="F6" s="1944">
        <v>3.2719999999999998</v>
      </c>
      <c r="H6" s="1942">
        <v>2018</v>
      </c>
      <c r="I6" s="1942">
        <v>2</v>
      </c>
      <c r="J6" s="1943" t="str">
        <f t="shared" ref="J6:J12" si="1">I6&amp;"T"&amp;H6</f>
        <v>2T2018</v>
      </c>
      <c r="K6" s="1950">
        <v>3.9006854838709684</v>
      </c>
      <c r="L6" s="1950">
        <v>3.790985</v>
      </c>
      <c r="N6" s="1942">
        <v>2018</v>
      </c>
      <c r="O6" s="1942">
        <v>2</v>
      </c>
      <c r="P6" s="1943" t="str">
        <f t="shared" ref="P6:P16" si="2">O6&amp;"T"&amp;N6</f>
        <v>2T2018</v>
      </c>
      <c r="Q6" s="1950">
        <v>2.9843137254901949E-2</v>
      </c>
      <c r="R6" s="1950">
        <v>2.9635000000000002E-2</v>
      </c>
    </row>
    <row r="7" spans="2:18" s="1937" customFormat="1">
      <c r="B7" s="1942">
        <v>2018</v>
      </c>
      <c r="C7" s="1942">
        <v>3</v>
      </c>
      <c r="D7" s="1943" t="str">
        <f t="shared" si="0"/>
        <v>3T2018</v>
      </c>
      <c r="E7" s="1944">
        <v>3.2919999999999998</v>
      </c>
      <c r="F7" s="1944">
        <v>3.3</v>
      </c>
      <c r="H7" s="1942">
        <v>2018</v>
      </c>
      <c r="I7" s="1942">
        <v>3</v>
      </c>
      <c r="J7" s="1943" t="str">
        <f t="shared" si="1"/>
        <v>3T2018</v>
      </c>
      <c r="K7" s="1950">
        <v>3.8518306451612903</v>
      </c>
      <c r="L7" s="1950">
        <v>3.8327520000000002</v>
      </c>
      <c r="N7" s="1942">
        <v>2018</v>
      </c>
      <c r="O7" s="1942">
        <v>3</v>
      </c>
      <c r="P7" s="1943" t="str">
        <f t="shared" si="2"/>
        <v>3T2018</v>
      </c>
      <c r="Q7" s="1950">
        <v>2.9825242718446582E-2</v>
      </c>
      <c r="R7" s="1950">
        <v>2.9052999999999999E-2</v>
      </c>
    </row>
    <row r="8" spans="2:18" s="1937" customFormat="1">
      <c r="B8" s="1945">
        <v>2018</v>
      </c>
      <c r="C8" s="1945">
        <v>4</v>
      </c>
      <c r="D8" s="1946" t="str">
        <f t="shared" si="0"/>
        <v>4T2018</v>
      </c>
      <c r="E8" s="1947">
        <v>3.3580000000000001</v>
      </c>
      <c r="F8" s="1947">
        <v>3.3740000000000001</v>
      </c>
      <c r="H8" s="1945">
        <v>2018</v>
      </c>
      <c r="I8" s="1945">
        <v>4</v>
      </c>
      <c r="J8" s="1946" t="str">
        <f t="shared" si="1"/>
        <v>4T2018</v>
      </c>
      <c r="K8" s="1951">
        <v>3.8672049180327859</v>
      </c>
      <c r="L8" s="1951">
        <v>3.8626230000000001</v>
      </c>
      <c r="N8" s="1945">
        <v>2018</v>
      </c>
      <c r="O8" s="1945">
        <v>4</v>
      </c>
      <c r="P8" s="1946" t="str">
        <f t="shared" si="2"/>
        <v>4T2018</v>
      </c>
      <c r="Q8" s="1951">
        <v>3.0261261261261233E-2</v>
      </c>
      <c r="R8" s="1951">
        <v>3.0525E-2</v>
      </c>
    </row>
    <row r="9" spans="2:18">
      <c r="B9" s="12">
        <v>2019</v>
      </c>
      <c r="C9" s="12">
        <v>1</v>
      </c>
      <c r="D9" s="1914" t="str">
        <f t="shared" si="0"/>
        <v>1T2019</v>
      </c>
      <c r="E9" s="1938">
        <v>3.3236984126984122</v>
      </c>
      <c r="F9" s="1938">
        <f>AVERAGE(3.316,3.321)</f>
        <v>3.3185000000000002</v>
      </c>
      <c r="H9" s="12">
        <v>2019</v>
      </c>
      <c r="I9" s="12">
        <v>1</v>
      </c>
      <c r="J9" s="1914" t="str">
        <f t="shared" si="1"/>
        <v>1T2019</v>
      </c>
      <c r="K9" s="1952">
        <v>3.8116031746031753</v>
      </c>
      <c r="L9" s="1952">
        <f>AVERAGE(3.68,3.89)</f>
        <v>3.7850000000000001</v>
      </c>
      <c r="N9" s="12">
        <v>2019</v>
      </c>
      <c r="O9" s="12">
        <v>1</v>
      </c>
      <c r="P9" s="1914" t="str">
        <f t="shared" si="2"/>
        <v>1T2019</v>
      </c>
      <c r="Q9" s="1952">
        <v>3.0729166666666644E-2</v>
      </c>
      <c r="R9" s="1952">
        <f>AVERAGE(0.03,0.031)</f>
        <v>3.0499999999999999E-2</v>
      </c>
    </row>
    <row r="10" spans="2:18">
      <c r="B10" s="12">
        <v>2019</v>
      </c>
      <c r="C10" s="12">
        <v>2</v>
      </c>
      <c r="D10" s="1914" t="str">
        <f t="shared" si="0"/>
        <v>2T2019</v>
      </c>
      <c r="E10" s="1938">
        <v>3.3206128787878786</v>
      </c>
      <c r="F10" s="1938">
        <v>3.2875000000000001</v>
      </c>
      <c r="H10" s="12">
        <v>2019</v>
      </c>
      <c r="I10" s="12">
        <v>2</v>
      </c>
      <c r="J10" s="1914" t="str">
        <f t="shared" si="1"/>
        <v>2T2019</v>
      </c>
      <c r="K10" s="1952">
        <v>3.7591129032258062</v>
      </c>
      <c r="L10" s="1952">
        <v>3.7690000000000001</v>
      </c>
      <c r="N10" s="12">
        <v>2019</v>
      </c>
      <c r="O10" s="12">
        <v>2</v>
      </c>
      <c r="P10" s="1914" t="str">
        <f t="shared" si="2"/>
        <v>2T2019</v>
      </c>
      <c r="Q10" s="1952">
        <v>3.0661515940143137E-2</v>
      </c>
      <c r="R10" s="1952">
        <v>3.1E-2</v>
      </c>
    </row>
    <row r="11" spans="2:18">
      <c r="B11" s="12">
        <v>2019</v>
      </c>
      <c r="C11" s="12">
        <v>3</v>
      </c>
      <c r="D11" s="1914" t="str">
        <f t="shared" si="0"/>
        <v>3T2019</v>
      </c>
      <c r="E11" s="1938">
        <v>3.3411290322580651</v>
      </c>
      <c r="F11" s="1938">
        <v>3.3834999999999997</v>
      </c>
      <c r="H11" s="12">
        <v>2019</v>
      </c>
      <c r="I11" s="12">
        <v>3</v>
      </c>
      <c r="J11" s="1914" t="str">
        <f t="shared" si="1"/>
        <v>3T2019</v>
      </c>
      <c r="K11" s="1952">
        <v>3.7412741935483869</v>
      </c>
      <c r="L11" s="1952">
        <f>AVERAGE(3.484,3.841)</f>
        <v>3.6625000000000001</v>
      </c>
      <c r="N11" s="12">
        <v>2019</v>
      </c>
      <c r="O11" s="12">
        <v>3</v>
      </c>
      <c r="P11" s="1914" t="str">
        <f t="shared" si="2"/>
        <v>3T2019</v>
      </c>
      <c r="Q11" s="1952">
        <v>3.1482638888888886E-2</v>
      </c>
      <c r="R11" s="1952">
        <v>3.3500000000000002E-2</v>
      </c>
    </row>
    <row r="12" spans="2:18">
      <c r="B12" s="12">
        <v>2019</v>
      </c>
      <c r="C12" s="12">
        <v>4</v>
      </c>
      <c r="D12" s="1914" t="str">
        <f t="shared" si="0"/>
        <v>4T2019</v>
      </c>
      <c r="E12" s="1938">
        <v>3.3607469879518068</v>
      </c>
      <c r="F12" s="1938">
        <v>3.3140000000000001</v>
      </c>
      <c r="H12" s="12">
        <v>2019</v>
      </c>
      <c r="I12" s="12">
        <v>4</v>
      </c>
      <c r="J12" s="1914" t="str">
        <f t="shared" si="1"/>
        <v>4T2019</v>
      </c>
      <c r="K12" s="1952">
        <v>3.7157048072289198</v>
      </c>
      <c r="L12" s="1952">
        <v>3.7194150000000001</v>
      </c>
      <c r="N12" s="12">
        <v>2019</v>
      </c>
      <c r="O12" s="12">
        <v>4</v>
      </c>
      <c r="P12" s="1914" t="str">
        <f t="shared" si="2"/>
        <v>4T2019</v>
      </c>
      <c r="Q12" s="1948">
        <v>3.09988313253012E-2</v>
      </c>
      <c r="R12" s="1948">
        <v>3.0509000000000001E-2</v>
      </c>
    </row>
    <row r="13" spans="2:18" s="1937" customFormat="1">
      <c r="B13" s="1939">
        <v>2020</v>
      </c>
      <c r="C13" s="1939">
        <v>1</v>
      </c>
      <c r="D13" s="1940" t="str">
        <f>C13&amp;"T"&amp;B13</f>
        <v>1T2020</v>
      </c>
      <c r="E13" s="1941">
        <v>3.4034062500000002</v>
      </c>
      <c r="F13" s="1941">
        <f>AVERAGE(3.442,3.443)</f>
        <v>3.4424999999999999</v>
      </c>
      <c r="H13" s="1939">
        <v>2020</v>
      </c>
      <c r="I13" s="1939">
        <v>1</v>
      </c>
      <c r="J13" s="1940" t="str">
        <f>I13&amp;"T"&amp;H13</f>
        <v>1T2020</v>
      </c>
      <c r="K13" s="1949">
        <v>3.7836718749999996</v>
      </c>
      <c r="L13" s="1949">
        <f>AVERAGE(3.736,3.841)</f>
        <v>3.7885</v>
      </c>
      <c r="N13" s="1939">
        <v>2020</v>
      </c>
      <c r="O13" s="1939">
        <v>1</v>
      </c>
      <c r="P13" s="1940" t="str">
        <f t="shared" si="2"/>
        <v>1T2020</v>
      </c>
      <c r="Q13" s="1949">
        <v>3.2059440559440565E-2</v>
      </c>
      <c r="R13" s="1949">
        <f>AVERAGE(0.032,0.032)</f>
        <v>3.2000000000000001E-2</v>
      </c>
    </row>
    <row r="14" spans="2:18" s="1937" customFormat="1">
      <c r="B14" s="1942">
        <v>2020</v>
      </c>
      <c r="C14" s="1942">
        <v>2</v>
      </c>
      <c r="D14" s="1943" t="str">
        <f t="shared" ref="D14:D16" si="3">C14&amp;"T"&amp;B14</f>
        <v>2T2020</v>
      </c>
      <c r="E14" s="1944"/>
      <c r="F14" s="1944"/>
      <c r="H14" s="1942">
        <v>2020</v>
      </c>
      <c r="I14" s="1942">
        <v>2</v>
      </c>
      <c r="J14" s="1943" t="str">
        <f t="shared" ref="J14:J16" si="4">I14&amp;"T"&amp;H14</f>
        <v>2T2020</v>
      </c>
      <c r="K14" s="1950"/>
      <c r="L14" s="1950"/>
      <c r="N14" s="1942">
        <v>2020</v>
      </c>
      <c r="O14" s="1942">
        <v>2</v>
      </c>
      <c r="P14" s="1943" t="str">
        <f t="shared" si="2"/>
        <v>2T2020</v>
      </c>
      <c r="Q14" s="1950"/>
      <c r="R14" s="1950"/>
    </row>
    <row r="15" spans="2:18" s="1937" customFormat="1">
      <c r="B15" s="1942">
        <v>2020</v>
      </c>
      <c r="C15" s="1942">
        <v>3</v>
      </c>
      <c r="D15" s="1943" t="str">
        <f t="shared" si="3"/>
        <v>3T2020</v>
      </c>
      <c r="E15" s="1944"/>
      <c r="F15" s="1944"/>
      <c r="H15" s="1942">
        <v>2020</v>
      </c>
      <c r="I15" s="1942">
        <v>3</v>
      </c>
      <c r="J15" s="1943" t="str">
        <f t="shared" si="4"/>
        <v>3T2020</v>
      </c>
      <c r="K15" s="1950"/>
      <c r="L15" s="1950"/>
      <c r="N15" s="1942">
        <v>2020</v>
      </c>
      <c r="O15" s="1942">
        <v>3</v>
      </c>
      <c r="P15" s="1943" t="str">
        <f t="shared" si="2"/>
        <v>3T2020</v>
      </c>
      <c r="Q15" s="1950"/>
      <c r="R15" s="1950"/>
    </row>
    <row r="16" spans="2:18" s="1937" customFormat="1">
      <c r="B16" s="1945">
        <v>2020</v>
      </c>
      <c r="C16" s="1945">
        <v>4</v>
      </c>
      <c r="D16" s="1946" t="str">
        <f t="shared" si="3"/>
        <v>4T2020</v>
      </c>
      <c r="E16" s="1947"/>
      <c r="F16" s="1947"/>
      <c r="H16" s="1945">
        <v>2020</v>
      </c>
      <c r="I16" s="1945">
        <v>4</v>
      </c>
      <c r="J16" s="1946" t="str">
        <f t="shared" si="4"/>
        <v>4T2020</v>
      </c>
      <c r="K16" s="1951"/>
      <c r="L16" s="1951"/>
      <c r="N16" s="1945">
        <v>2020</v>
      </c>
      <c r="O16" s="1945">
        <v>4</v>
      </c>
      <c r="P16" s="1946" t="str">
        <f t="shared" si="2"/>
        <v>4T2020</v>
      </c>
      <c r="Q16" s="1951"/>
      <c r="R16" s="1951"/>
    </row>
    <row r="17" spans="1:18">
      <c r="A17" s="1913" t="s">
        <v>4242</v>
      </c>
      <c r="B17" s="1915"/>
      <c r="C17" s="1915"/>
      <c r="D17" s="1915"/>
      <c r="E17" s="1915"/>
      <c r="F17" s="1915"/>
      <c r="H17" s="1915"/>
      <c r="I17" s="1915"/>
      <c r="J17" s="1915"/>
      <c r="K17" s="1915"/>
      <c r="L17" s="1915"/>
      <c r="N17" s="1915"/>
      <c r="O17" s="1915"/>
      <c r="P17" s="1915"/>
      <c r="Q17" s="1915"/>
      <c r="R17" s="1932"/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201904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202001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202001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202001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202001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202001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202001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201904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202001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202001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202001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202001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202001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202001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201904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202001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202001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202001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202001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202001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202001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201904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202001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202001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202001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202001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202001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202001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201904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202001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202001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202001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202001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202001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202001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201904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202001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202001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202001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202001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202001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202001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201904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202001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202001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202001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202001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202001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202001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201904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202001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202001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202001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202001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202001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202001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201904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202001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202001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202001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202001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202001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202001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201904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202001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202001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202001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202001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202001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202001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201904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202001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202001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202001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202001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202001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202001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201904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202001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202001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202001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202001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202001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202001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201904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202001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202001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202001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202001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202001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202001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201904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202001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202001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202001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202001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202001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202001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201904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202001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202001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202001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202001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202001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202001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201904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202001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202001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202001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202001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202001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202001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201904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202001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202001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202001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202001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202001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202001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201904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202001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202001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202001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202001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202001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202001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201904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202001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202001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202001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202001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202001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202001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201904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202001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202001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202001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202001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202001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202001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201904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202001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202001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202001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202001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202001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202001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201904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202001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202001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202001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202001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202001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202001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201904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202001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202001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202001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202001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202001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202001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201904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202001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202001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202001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202001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202001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202001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201904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202001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202001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202001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202001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202001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202001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201904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202001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202001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202001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202001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202001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202001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201904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202001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202001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202001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202001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202001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202001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201904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202001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202001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202001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202001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202001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202001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201904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202001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202001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202001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202001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202001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202001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201904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202001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202001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202001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202001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202001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202001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201904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202001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202001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202001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202001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202001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202001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201904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202001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202001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202001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202001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202001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202001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201904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202001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202001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202001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202001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202001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202001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201904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202001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202001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202001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202001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202001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201904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202001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202001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202001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202001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202001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201904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202001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202001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202001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202001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202001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201904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202001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202001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202001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202001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202001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201904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202001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202001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202001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202001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202001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201904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202001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202001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202001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202001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202001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201904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202001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202001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202001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202001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202001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201904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202001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202001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202001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202001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202001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201904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202001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202001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202001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202001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202001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201904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202001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202001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202001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202001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202001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201904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202001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202001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202001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202001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202001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201904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202001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202001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202001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202001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202001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201904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202001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202001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202001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202001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202001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201904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202001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202001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202001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202001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202001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201904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202001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202001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202001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202001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202001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201904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202001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202001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202001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202001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202001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201904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202001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202001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202001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202001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202001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201904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202001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202001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202001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202001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202001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201904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202001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202001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202001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202001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202001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201904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202001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202001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202001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202001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202001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201904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202001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202001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202001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202001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202001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201904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202001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202001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202001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202001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202001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201904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202001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202001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202001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202001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202001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201904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202001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202001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202001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202001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202001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201904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202001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202001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202001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202001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202001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201904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202001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202001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202001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202001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202001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201904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202001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202001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202001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202001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202001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201904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202001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202001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202001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202001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202001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201904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202001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202001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202001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202001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202001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201904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202001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202001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202001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202001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202001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201904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202001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202001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202001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202001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202001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201904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202001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202001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202001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202001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202001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201904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202001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202001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202001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202001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202001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201904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202001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202001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202001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202001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202001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201904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202001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202001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202001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202001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202001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201904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202001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202001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202001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202001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202001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201904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202001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202001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202001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202001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202001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201904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202001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202001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202001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202001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202001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201904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202001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202001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202001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202001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202001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201904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202001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202001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202001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202001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202001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201904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202001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202001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202001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202001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202001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201904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202001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202001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202001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202001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202001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201904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202001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202001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202001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202001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202001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201904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202001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202001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202001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202001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202001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201904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202001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202001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202001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202001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202001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201904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202001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202001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202001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202001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202001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201904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202001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202001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202001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202001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202001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201904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202001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202001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202001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202001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202001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201904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202001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202001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202001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202001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202001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201904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202001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202001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202001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202001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202001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201904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202001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202001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202001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202001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202001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201904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202001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202001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202001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202001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202001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201904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202001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202001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202001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202001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202001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201904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202001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202001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202001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202001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202001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201904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202001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202001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202001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202001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202001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201904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202001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202001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202001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202001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202001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201904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202001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202001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202001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202001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202001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201904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202001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202001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202001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202001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202001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201904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202001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202001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202001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202001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202001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201904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202001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202001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202001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202001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202001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201904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202001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202001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202001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202001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202001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201904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202001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202001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202001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202001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202001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201904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202001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202001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202001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202001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202001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201904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202001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202001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202001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202001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202001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201904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202001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202001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202001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202001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202001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201904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202001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202001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202001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202001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202001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201904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202001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202001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202001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202001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202001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201904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202001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202001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202001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202001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202001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201904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202001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202001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202001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202001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202001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201904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202001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202001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202001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202001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202001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201904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202001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202001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202001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202001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202001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202001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202001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202001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202001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202001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202001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202001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202001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202001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202001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202001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202001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202001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202001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202001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202001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202001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202001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202001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202001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202001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202001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202001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202001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202001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202001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202001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202001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202001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202001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202001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202001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202001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202001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202001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202001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202001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202001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202001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202001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202001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202001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202001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202001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202001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202001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202001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202001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202001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202001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202001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202001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202001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202001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202001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202001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202001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202001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202001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202001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202001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202001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202001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202001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202001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202001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202001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202001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202001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202001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202001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202001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202001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202001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202001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202001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202001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202001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202001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202001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202001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202001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202001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202001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202001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202001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202001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202001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202001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202001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202001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202001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202001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202001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202001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202001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202001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202001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202001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202001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202001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202001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202001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202001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202001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202001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202001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202001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202001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202001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202001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202001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202001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202001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202001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202001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202001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202001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202001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202001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202001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202001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202001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202001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202001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202001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202001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202001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202001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202001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202001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202001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202001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202001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202001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202001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202001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202001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202001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202001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202001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202001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202001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202001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202001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202001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202001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202001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202001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202001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202001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202001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202001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202001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202001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202001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202001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202001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202001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202001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202001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202001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202001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202001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202001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202001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202001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202001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202001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202001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202001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202001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202001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202001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202001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202001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202001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202001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202001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202001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202001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202001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202001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202001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202001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202001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202001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202001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202001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202001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202001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202001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202001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202001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202001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202001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202001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202001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202001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202001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202001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202001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202001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202001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202001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202001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202001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202001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202001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202001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202001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202001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202001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202001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202001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202001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202001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202001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202001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202001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202001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202001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202001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202001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202001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202001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202001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202001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202001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202001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202001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202001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202001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202001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202001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202001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202001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202001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202001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202001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202001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202001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202001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202001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202001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202001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202001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202001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202001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202001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202001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202001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202001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202001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202001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202001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202001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202001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202001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202001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202001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202001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202001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202001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202001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202001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202001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202001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202001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202001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202001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202001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202001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202001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202001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202001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202001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202001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202001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202001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202001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202001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202001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202001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202001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202001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202001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202001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202001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202001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202001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202001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202001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202001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202001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202001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202001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202001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202001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202001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202001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202001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202001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202001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202001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202001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202001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202001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202001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202001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202001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202001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202001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202001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202001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202001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202001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202001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202001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202001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202001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202001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202001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202001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202001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202001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202001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202001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202001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202001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202001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202001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202001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202001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202001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202001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202001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202001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202001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202001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202001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202001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202001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202001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202001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202001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202001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202001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202001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202001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202001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202001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202001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202001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202001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202001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202001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202001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202001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202001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202001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202001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202001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202001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202001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202001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202001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202001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202001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202001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202001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202001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5" customFormat="1">
      <c r="A1031" s="628" t="s">
        <v>4237</v>
      </c>
      <c r="B1031" s="629" t="str">
        <f t="shared" si="289"/>
        <v>202001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4"/>
    </row>
    <row r="1032" spans="1:13" s="1885" customFormat="1">
      <c r="A1032" s="628" t="s">
        <v>4237</v>
      </c>
      <c r="B1032" s="629" t="str">
        <f t="shared" si="289"/>
        <v>202001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4"/>
    </row>
    <row r="1033" spans="1:13" s="1885" customFormat="1">
      <c r="A1033" s="628" t="s">
        <v>4237</v>
      </c>
      <c r="B1033" s="629" t="str">
        <f t="shared" si="289"/>
        <v>202001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4"/>
    </row>
    <row r="1034" spans="1:13" s="1885" customFormat="1">
      <c r="A1034" s="628" t="s">
        <v>4237</v>
      </c>
      <c r="B1034" s="629" t="str">
        <f t="shared" si="289"/>
        <v>202001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4"/>
    </row>
    <row r="1035" spans="1:13" s="1885" customFormat="1">
      <c r="A1035" s="628" t="s">
        <v>4237</v>
      </c>
      <c r="B1035" s="629" t="str">
        <f t="shared" si="289"/>
        <v>202001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4"/>
    </row>
    <row r="1036" spans="1:13" s="1885" customFormat="1">
      <c r="A1036" s="628" t="s">
        <v>4237</v>
      </c>
      <c r="B1036" s="629" t="str">
        <f t="shared" si="289"/>
        <v>202001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4"/>
    </row>
    <row r="1037" spans="1:13" s="1885" customFormat="1">
      <c r="A1037" s="628" t="s">
        <v>4237</v>
      </c>
      <c r="B1037" s="629" t="str">
        <f t="shared" si="289"/>
        <v>202001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4"/>
    </row>
    <row r="1038" spans="1:13" s="1885" customFormat="1">
      <c r="A1038" s="628" t="s">
        <v>4237</v>
      </c>
      <c r="B1038" s="629" t="str">
        <f t="shared" si="289"/>
        <v>202001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4"/>
    </row>
    <row r="1039" spans="1:13" s="1885" customFormat="1">
      <c r="A1039" s="628" t="s">
        <v>4237</v>
      </c>
      <c r="B1039" s="629" t="str">
        <f t="shared" si="289"/>
        <v>202001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4"/>
    </row>
    <row r="1040" spans="1:13" s="1885" customFormat="1">
      <c r="A1040" s="628" t="s">
        <v>4237</v>
      </c>
      <c r="B1040" s="629" t="str">
        <f t="shared" si="289"/>
        <v>202001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4"/>
    </row>
    <row r="1041" spans="1:13" s="1885" customFormat="1">
      <c r="A1041" s="628" t="s">
        <v>4237</v>
      </c>
      <c r="B1041" s="629" t="str">
        <f t="shared" si="289"/>
        <v>202001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4"/>
    </row>
    <row r="1042" spans="1:13" s="1885" customFormat="1">
      <c r="A1042" s="628" t="s">
        <v>4237</v>
      </c>
      <c r="B1042" s="629" t="str">
        <f t="shared" si="289"/>
        <v>202001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4"/>
    </row>
    <row r="1043" spans="1:13">
      <c r="A1043" s="125" t="s">
        <v>4237</v>
      </c>
      <c r="B1043" s="123" t="str">
        <f t="shared" ref="B1043:B1106" si="317">PERIODO</f>
        <v>202001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202001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202001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202001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202001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202001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202001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202001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202001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202001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202001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202001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202001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202001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202001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202001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202001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202001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202001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202001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202001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202001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202001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202001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202001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202001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202001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202001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202001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202001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202001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202001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202001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202001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202001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202001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202001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202001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202001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202001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202001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202001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202001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202001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202001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202001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202001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202001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202001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202001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202001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202001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202001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202001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202001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202001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202001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202001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202001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202001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202001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202001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202001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202001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202001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202001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202001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202001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202001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202001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202001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202001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202001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202001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202001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202001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202001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202001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202001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202001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202001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202001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202001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202001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202001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202001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202001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202001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202001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202001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202001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202001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202001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202001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202001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202001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202001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202001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202001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202001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202001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202001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202001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202001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202001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202001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202001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202001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202001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202001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202001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202001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202001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202001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202001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202001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202001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202001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202001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202001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202001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202001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202001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202001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202001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202001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202001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202001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202001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202001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202001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202001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202001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202001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202001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202001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202001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202001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202001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202001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202001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202001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202001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202001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202001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202001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202001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202001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202001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202001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202001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202001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202001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202001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202001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202001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202001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202001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202001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202001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202001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202001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202001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202001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202001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202001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202001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202001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202001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202001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202001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202001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202001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202001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202001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202001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202001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202001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202001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202001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202001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202001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202001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202001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202001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202001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202001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202001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202001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202001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202001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202001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202001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202001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202001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202001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202001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202001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202001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202001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202001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202001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202001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202001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202001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202001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202001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202001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202001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202001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202001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202001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202001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202001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202001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202001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202001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202001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202001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202001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202001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202001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202001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202001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202001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202001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202001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202001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202001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202001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202001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202001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202001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202001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202001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202001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202001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202001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202001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202001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202001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202001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202001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202001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202001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202001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202001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202001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202001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202001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202001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202001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202001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202001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202001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202001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202001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202001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202001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202001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202001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202001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202001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202001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202001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202001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202001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202001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202001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202001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202001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202001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202001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202001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202001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202001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202001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202001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202001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202001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202001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202001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202001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202001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202001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202001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202001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202001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202001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202001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202001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202001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202001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202001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202001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202001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202001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202001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202001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202001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202001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202001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202001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202001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202001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202001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202001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202001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202001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202001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202001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202001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202001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202001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202001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202001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202001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202001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202001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202001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202001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202001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202001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202001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202001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202001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202001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202001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202001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202001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202001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202001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202001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202001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202001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202001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202001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202001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202001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202001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202001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202001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202001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202001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202001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202001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202001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202001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202001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202001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202001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202001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202001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202001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202001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202001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202001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202001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202001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202001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5" customFormat="1">
      <c r="A1403" s="628" t="s">
        <v>4237</v>
      </c>
      <c r="B1403" s="629" t="str">
        <f t="shared" si="462"/>
        <v>202001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4"/>
    </row>
    <row r="1404" spans="1:13" s="1885" customFormat="1">
      <c r="A1404" s="628" t="s">
        <v>4237</v>
      </c>
      <c r="B1404" s="629" t="str">
        <f t="shared" si="462"/>
        <v>202001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4"/>
    </row>
    <row r="1405" spans="1:13" s="1885" customFormat="1">
      <c r="A1405" s="628" t="s">
        <v>4237</v>
      </c>
      <c r="B1405" s="629" t="str">
        <f t="shared" si="462"/>
        <v>202001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4"/>
    </row>
    <row r="1406" spans="1:13" s="1885" customFormat="1">
      <c r="A1406" s="628" t="s">
        <v>4237</v>
      </c>
      <c r="B1406" s="629" t="str">
        <f t="shared" si="462"/>
        <v>202001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4"/>
    </row>
    <row r="1407" spans="1:13" s="1885" customFormat="1">
      <c r="A1407" s="628" t="s">
        <v>4237</v>
      </c>
      <c r="B1407" s="629" t="str">
        <f t="shared" si="462"/>
        <v>202001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4"/>
    </row>
    <row r="1408" spans="1:13" s="1885" customFormat="1">
      <c r="A1408" s="628" t="s">
        <v>4237</v>
      </c>
      <c r="B1408" s="629" t="str">
        <f t="shared" si="462"/>
        <v>202001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4"/>
    </row>
    <row r="1409" spans="1:13">
      <c r="A1409" s="622" t="s">
        <v>4237</v>
      </c>
      <c r="B1409" s="623" t="str">
        <f t="shared" si="462"/>
        <v>202001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202001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202001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202001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202001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202001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202001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202001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202001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202001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202001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202001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202001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202001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202001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202001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202001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202001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202001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202001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202001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202001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202001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202001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202001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202001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202001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202001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202001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202001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202001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202001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202001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202001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202001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202001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202001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202001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202001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202001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202001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202001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202001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202001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202001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202001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202001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202001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202001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202001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202001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202001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202001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202001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202001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202001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202001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202001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202001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202001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202001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202001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202001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202001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202001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202001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202001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202001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202001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202001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202001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202001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202001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202001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202001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202001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202001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202001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202001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8" t="s">
        <v>4237</v>
      </c>
      <c r="B1488" s="1739" t="str">
        <f t="shared" si="479"/>
        <v>202001</v>
      </c>
      <c r="C1488" s="1739" t="s">
        <v>230</v>
      </c>
      <c r="D1488" s="1740" t="str">
        <f ca="1">OFFSET('Tabla IV.2.'!$F$13,H1488-1,0)</f>
        <v>13.01.01.</v>
      </c>
      <c r="E1488" s="1738">
        <f t="shared" si="483"/>
        <v>0</v>
      </c>
      <c r="F1488" s="1741">
        <f ca="1">OFFSET('Tabla IV.2.'!$H$13,H1488-1,I1488-1)</f>
        <v>0</v>
      </c>
      <c r="G1488" s="1738" t="str">
        <f ca="1">OFFSET('Tabla IV.2.'!$H$1,0,I1488-1)</f>
        <v>01</v>
      </c>
      <c r="H1488" s="1742">
        <f>+H1482+1</f>
        <v>2</v>
      </c>
      <c r="I1488" s="1742">
        <v>1</v>
      </c>
      <c r="J1488" s="1742" t="str">
        <f ca="1">+'Tabla IV.2.'!$C$8</f>
        <v>Tabla IV.2.</v>
      </c>
      <c r="K1488" s="1742" t="str">
        <f t="shared" si="486"/>
        <v>A</v>
      </c>
      <c r="L1488" s="1738">
        <v>2</v>
      </c>
    </row>
    <row r="1489" spans="1:12">
      <c r="A1489" s="1738" t="s">
        <v>4237</v>
      </c>
      <c r="B1489" s="1739" t="str">
        <f t="shared" si="479"/>
        <v>202001</v>
      </c>
      <c r="C1489" s="1739" t="s">
        <v>230</v>
      </c>
      <c r="D1489" s="1740" t="str">
        <f t="shared" ca="1" si="484"/>
        <v>13.01.01.</v>
      </c>
      <c r="E1489" s="1738">
        <f t="shared" si="483"/>
        <v>0</v>
      </c>
      <c r="F1489" s="1741">
        <f ca="1">OFFSET('Tabla IV.2.'!$H$13,H1489-1,I1489-1)</f>
        <v>0</v>
      </c>
      <c r="G1489" s="1738" t="str">
        <f ca="1">OFFSET('Tabla IV.2.'!$H$1,0,I1489-1)</f>
        <v>02</v>
      </c>
      <c r="H1489" s="1742">
        <f t="shared" si="485"/>
        <v>2</v>
      </c>
      <c r="I1489" s="1742">
        <f>+I1488+1</f>
        <v>2</v>
      </c>
      <c r="J1489" s="1742" t="str">
        <f ca="1">+'Tabla IV.2.'!$C$8</f>
        <v>Tabla IV.2.</v>
      </c>
      <c r="K1489" s="1742" t="str">
        <f t="shared" si="486"/>
        <v>A</v>
      </c>
      <c r="L1489" s="1738"/>
    </row>
    <row r="1490" spans="1:12">
      <c r="A1490" s="1738" t="s">
        <v>4237</v>
      </c>
      <c r="B1490" s="1739" t="str">
        <f t="shared" si="479"/>
        <v>202001</v>
      </c>
      <c r="C1490" s="1739" t="s">
        <v>230</v>
      </c>
      <c r="D1490" s="1740" t="str">
        <f t="shared" ca="1" si="484"/>
        <v>13.01.01.</v>
      </c>
      <c r="E1490" s="1738">
        <f t="shared" si="483"/>
        <v>0</v>
      </c>
      <c r="F1490" s="1741">
        <f ca="1">OFFSET('Tabla IV.2.'!$H$13,H1490-1,I1490-1)</f>
        <v>0</v>
      </c>
      <c r="G1490" s="1738" t="str">
        <f ca="1">OFFSET('Tabla IV.2.'!$H$1,0,I1490-1)</f>
        <v>03</v>
      </c>
      <c r="H1490" s="1742">
        <f t="shared" si="485"/>
        <v>2</v>
      </c>
      <c r="I1490" s="1742">
        <f>+I1489+1</f>
        <v>3</v>
      </c>
      <c r="J1490" s="1742" t="str">
        <f ca="1">+'Tabla IV.2.'!$C$8</f>
        <v>Tabla IV.2.</v>
      </c>
      <c r="K1490" s="1742" t="str">
        <f t="shared" si="486"/>
        <v>A</v>
      </c>
      <c r="L1490" s="1738"/>
    </row>
    <row r="1491" spans="1:12">
      <c r="A1491" s="1738" t="s">
        <v>4237</v>
      </c>
      <c r="B1491" s="1739" t="str">
        <f t="shared" ref="B1491:B1554" si="487">PERIODO</f>
        <v>202001</v>
      </c>
      <c r="C1491" s="1739" t="s">
        <v>230</v>
      </c>
      <c r="D1491" s="1740" t="str">
        <f t="shared" ca="1" si="484"/>
        <v>13.01.01.</v>
      </c>
      <c r="E1491" s="1738">
        <f t="shared" si="483"/>
        <v>0</v>
      </c>
      <c r="F1491" s="1741">
        <f ca="1">OFFSET('Tabla IV.2.'!$H$13,H1491-1,I1491-1)</f>
        <v>0</v>
      </c>
      <c r="G1491" s="1738" t="str">
        <f ca="1">OFFSET('Tabla IV.2.'!$H$1,0,I1491-1)</f>
        <v>04</v>
      </c>
      <c r="H1491" s="1742">
        <f t="shared" si="485"/>
        <v>2</v>
      </c>
      <c r="I1491" s="1742">
        <f>+I1490+1</f>
        <v>4</v>
      </c>
      <c r="J1491" s="1742" t="str">
        <f ca="1">+'Tabla IV.2.'!$C$8</f>
        <v>Tabla IV.2.</v>
      </c>
      <c r="K1491" s="1742" t="str">
        <f t="shared" si="486"/>
        <v>A</v>
      </c>
      <c r="L1491" s="1738"/>
    </row>
    <row r="1492" spans="1:12">
      <c r="A1492" s="1738" t="s">
        <v>4237</v>
      </c>
      <c r="B1492" s="1739" t="str">
        <f t="shared" si="487"/>
        <v>202001</v>
      </c>
      <c r="C1492" s="1739" t="s">
        <v>230</v>
      </c>
      <c r="D1492" s="1740" t="str">
        <f t="shared" ca="1" si="484"/>
        <v>13.01.01.</v>
      </c>
      <c r="E1492" s="1738">
        <f t="shared" si="483"/>
        <v>0</v>
      </c>
      <c r="F1492" s="1741">
        <f ca="1">OFFSET('Tabla IV.2.'!$H$13,H1492-1,I1492-1)</f>
        <v>0</v>
      </c>
      <c r="G1492" s="1738" t="str">
        <f ca="1">OFFSET('Tabla IV.2.'!$H$1,0,I1492-1)</f>
        <v>05</v>
      </c>
      <c r="H1492" s="1742">
        <f t="shared" si="485"/>
        <v>2</v>
      </c>
      <c r="I1492" s="1742">
        <f>+I1491+1</f>
        <v>5</v>
      </c>
      <c r="J1492" s="1742" t="str">
        <f ca="1">+'Tabla IV.2.'!$C$8</f>
        <v>Tabla IV.2.</v>
      </c>
      <c r="K1492" s="1742" t="str">
        <f t="shared" si="486"/>
        <v>A</v>
      </c>
      <c r="L1492" s="1738"/>
    </row>
    <row r="1493" spans="1:12">
      <c r="A1493" s="1738" t="s">
        <v>4237</v>
      </c>
      <c r="B1493" s="1739" t="str">
        <f t="shared" si="487"/>
        <v>202001</v>
      </c>
      <c r="C1493" s="1739" t="s">
        <v>230</v>
      </c>
      <c r="D1493" s="1740" t="str">
        <f t="shared" ca="1" si="484"/>
        <v>13.01.01.</v>
      </c>
      <c r="E1493" s="1738">
        <f t="shared" si="483"/>
        <v>0</v>
      </c>
      <c r="F1493" s="1741">
        <f ca="1">OFFSET('Tabla IV.2.'!$H$13,H1493-1,I1493-1)</f>
        <v>0</v>
      </c>
      <c r="G1493" s="1738" t="str">
        <f ca="1">OFFSET('Tabla IV.2.'!$H$1,0,I1493-1)</f>
        <v>06</v>
      </c>
      <c r="H1493" s="1742">
        <f t="shared" si="485"/>
        <v>2</v>
      </c>
      <c r="I1493" s="1742">
        <f>+I1492+1</f>
        <v>6</v>
      </c>
      <c r="J1493" s="1742" t="str">
        <f ca="1">+'Tabla IV.2.'!$C$8</f>
        <v>Tabla IV.2.</v>
      </c>
      <c r="K1493" s="1742" t="str">
        <f t="shared" si="486"/>
        <v>A</v>
      </c>
      <c r="L1493" s="1738"/>
    </row>
    <row r="1494" spans="1:12">
      <c r="A1494" s="527" t="s">
        <v>4237</v>
      </c>
      <c r="B1494" s="528" t="str">
        <f t="shared" si="487"/>
        <v>202001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202001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202001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202001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202001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202001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202001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202001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202001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202001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202001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202001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202001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202001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202001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202001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202001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202001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202001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202001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202001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202001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202001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202001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8" t="s">
        <v>4237</v>
      </c>
      <c r="B1518" s="1739" t="str">
        <f t="shared" si="487"/>
        <v>202001</v>
      </c>
      <c r="C1518" s="1739" t="s">
        <v>230</v>
      </c>
      <c r="D1518" s="1740" t="str">
        <f ca="1">OFFSET('Tabla IV.2.'!$F$26,H1518-1,0)</f>
        <v>13.02.</v>
      </c>
      <c r="E1518" s="1738">
        <f t="shared" si="483"/>
        <v>0</v>
      </c>
      <c r="F1518" s="1741">
        <f ca="1">OFFSET('Tabla IV.2.'!$H$26,H1518-1,I1518-1)</f>
        <v>0</v>
      </c>
      <c r="G1518" s="1738" t="str">
        <f ca="1">OFFSET('Tabla IV.2.'!$H$1,0,I1518-1)</f>
        <v>01</v>
      </c>
      <c r="H1518" s="1742">
        <v>1</v>
      </c>
      <c r="I1518" s="1742">
        <v>1</v>
      </c>
      <c r="J1518" s="1742" t="str">
        <f ca="1">+'Tabla IV.2.'!$C$8</f>
        <v>Tabla IV.2.</v>
      </c>
      <c r="K1518" s="1742" t="s">
        <v>641</v>
      </c>
      <c r="L1518" s="1738">
        <v>1</v>
      </c>
    </row>
    <row r="1519" spans="1:12">
      <c r="A1519" s="1738" t="s">
        <v>4237</v>
      </c>
      <c r="B1519" s="1739" t="str">
        <f t="shared" si="487"/>
        <v>202001</v>
      </c>
      <c r="C1519" s="1739" t="s">
        <v>230</v>
      </c>
      <c r="D1519" s="1740" t="str">
        <f t="shared" ca="1" si="484"/>
        <v>13.02.</v>
      </c>
      <c r="E1519" s="1738">
        <f t="shared" si="483"/>
        <v>0</v>
      </c>
      <c r="F1519" s="1741">
        <f ca="1">OFFSET('Tabla IV.2.'!$H$26,H1519-1,I1519-1)</f>
        <v>0</v>
      </c>
      <c r="G1519" s="1738" t="str">
        <f ca="1">OFFSET('Tabla IV.2.'!$H$1,0,I1519-1)</f>
        <v>02</v>
      </c>
      <c r="H1519" s="1742">
        <f t="shared" si="485"/>
        <v>1</v>
      </c>
      <c r="I1519" s="1742">
        <f>+I1518+1</f>
        <v>2</v>
      </c>
      <c r="J1519" s="1742" t="str">
        <f ca="1">+'Tabla IV.2.'!$C$8</f>
        <v>Tabla IV.2.</v>
      </c>
      <c r="K1519" s="1742" t="str">
        <f t="shared" si="486"/>
        <v>B</v>
      </c>
      <c r="L1519" s="1738"/>
    </row>
    <row r="1520" spans="1:12">
      <c r="A1520" s="1738" t="s">
        <v>4237</v>
      </c>
      <c r="B1520" s="1739" t="str">
        <f t="shared" si="487"/>
        <v>202001</v>
      </c>
      <c r="C1520" s="1739" t="s">
        <v>230</v>
      </c>
      <c r="D1520" s="1740" t="str">
        <f t="shared" ca="1" si="484"/>
        <v>13.02.</v>
      </c>
      <c r="E1520" s="1738">
        <f t="shared" si="483"/>
        <v>0</v>
      </c>
      <c r="F1520" s="1741">
        <f ca="1">OFFSET('Tabla IV.2.'!$H$26,H1520-1,I1520-1)</f>
        <v>0</v>
      </c>
      <c r="G1520" s="1738" t="str">
        <f ca="1">OFFSET('Tabla IV.2.'!$H$1,0,I1520-1)</f>
        <v>03</v>
      </c>
      <c r="H1520" s="1742">
        <f t="shared" si="485"/>
        <v>1</v>
      </c>
      <c r="I1520" s="1742">
        <f>+I1519+1</f>
        <v>3</v>
      </c>
      <c r="J1520" s="1742" t="str">
        <f ca="1">+'Tabla IV.2.'!$C$8</f>
        <v>Tabla IV.2.</v>
      </c>
      <c r="K1520" s="1742" t="str">
        <f t="shared" si="486"/>
        <v>B</v>
      </c>
      <c r="L1520" s="1738"/>
    </row>
    <row r="1521" spans="1:12">
      <c r="A1521" s="1738" t="s">
        <v>4237</v>
      </c>
      <c r="B1521" s="1739" t="str">
        <f t="shared" si="487"/>
        <v>202001</v>
      </c>
      <c r="C1521" s="1739" t="s">
        <v>230</v>
      </c>
      <c r="D1521" s="1740" t="str">
        <f t="shared" ca="1" si="484"/>
        <v>13.02.</v>
      </c>
      <c r="E1521" s="1738">
        <f t="shared" si="483"/>
        <v>0</v>
      </c>
      <c r="F1521" s="1741">
        <f ca="1">OFFSET('Tabla IV.2.'!$H$26,H1521-1,I1521-1)</f>
        <v>0</v>
      </c>
      <c r="G1521" s="1738" t="str">
        <f ca="1">OFFSET('Tabla IV.2.'!$H$1,0,I1521-1)</f>
        <v>04</v>
      </c>
      <c r="H1521" s="1742">
        <f t="shared" si="485"/>
        <v>1</v>
      </c>
      <c r="I1521" s="1742">
        <f>+I1520+1</f>
        <v>4</v>
      </c>
      <c r="J1521" s="1742" t="str">
        <f ca="1">+'Tabla IV.2.'!$C$8</f>
        <v>Tabla IV.2.</v>
      </c>
      <c r="K1521" s="1742" t="str">
        <f t="shared" si="486"/>
        <v>B</v>
      </c>
      <c r="L1521" s="1738"/>
    </row>
    <row r="1522" spans="1:12">
      <c r="A1522" s="1738" t="s">
        <v>4237</v>
      </c>
      <c r="B1522" s="1739" t="str">
        <f t="shared" si="487"/>
        <v>202001</v>
      </c>
      <c r="C1522" s="1739" t="s">
        <v>230</v>
      </c>
      <c r="D1522" s="1740" t="str">
        <f t="shared" ca="1" si="484"/>
        <v>13.02.</v>
      </c>
      <c r="E1522" s="1738">
        <f t="shared" si="483"/>
        <v>0</v>
      </c>
      <c r="F1522" s="1741">
        <f ca="1">OFFSET('Tabla IV.2.'!$H$26,H1522-1,I1522-1)</f>
        <v>0</v>
      </c>
      <c r="G1522" s="1738" t="str">
        <f ca="1">OFFSET('Tabla IV.2.'!$H$1,0,I1522-1)</f>
        <v>05</v>
      </c>
      <c r="H1522" s="1742">
        <f t="shared" si="485"/>
        <v>1</v>
      </c>
      <c r="I1522" s="1742">
        <f>+I1521+1</f>
        <v>5</v>
      </c>
      <c r="J1522" s="1742" t="str">
        <f ca="1">+'Tabla IV.2.'!$C$8</f>
        <v>Tabla IV.2.</v>
      </c>
      <c r="K1522" s="1742" t="str">
        <f t="shared" si="486"/>
        <v>B</v>
      </c>
      <c r="L1522" s="1738"/>
    </row>
    <row r="1523" spans="1:12">
      <c r="A1523" s="1738" t="s">
        <v>4237</v>
      </c>
      <c r="B1523" s="1739" t="str">
        <f t="shared" si="487"/>
        <v>202001</v>
      </c>
      <c r="C1523" s="1739" t="s">
        <v>230</v>
      </c>
      <c r="D1523" s="1740" t="str">
        <f ca="1">+D1522</f>
        <v>13.02.</v>
      </c>
      <c r="E1523" s="1738">
        <f t="shared" si="483"/>
        <v>0</v>
      </c>
      <c r="F1523" s="1741">
        <f ca="1">OFFSET('Tabla IV.2.'!$H$26,H1523-1,I1523-1)</f>
        <v>0</v>
      </c>
      <c r="G1523" s="1738" t="str">
        <f ca="1">OFFSET('Tabla IV.2.'!$H$1,0,I1523-1)</f>
        <v>06</v>
      </c>
      <c r="H1523" s="1742">
        <f>+H1522</f>
        <v>1</v>
      </c>
      <c r="I1523" s="1742">
        <f>+I1522+1</f>
        <v>6</v>
      </c>
      <c r="J1523" s="1742" t="str">
        <f ca="1">+'Tabla IV.2.'!$C$8</f>
        <v>Tabla IV.2.</v>
      </c>
      <c r="K1523" s="1742" t="str">
        <f t="shared" si="486"/>
        <v>B</v>
      </c>
      <c r="L1523" s="1738"/>
    </row>
    <row r="1524" spans="1:12">
      <c r="A1524" s="1743" t="s">
        <v>4237</v>
      </c>
      <c r="B1524" s="1744" t="str">
        <f t="shared" si="487"/>
        <v>202001</v>
      </c>
      <c r="C1524" s="1744" t="s">
        <v>230</v>
      </c>
      <c r="D1524" s="1745" t="str">
        <f ca="1">OFFSET('Tabla IV.2.'!$F$26,H1524-1,0)</f>
        <v>13.02.01.</v>
      </c>
      <c r="E1524" s="1743">
        <f t="shared" si="483"/>
        <v>0</v>
      </c>
      <c r="F1524" s="1746">
        <f ca="1">OFFSET('Tabla IV.2.'!$H$26,H1524-1,I1524-1)</f>
        <v>0</v>
      </c>
      <c r="G1524" s="1743" t="str">
        <f ca="1">OFFSET('Tabla IV.2.'!$H$1,0,I1524-1)</f>
        <v>01</v>
      </c>
      <c r="H1524" s="1747">
        <v>2</v>
      </c>
      <c r="I1524" s="1747">
        <v>1</v>
      </c>
      <c r="J1524" s="1747" t="str">
        <f ca="1">+'Tabla IV.2.'!$C$8</f>
        <v>Tabla IV.2.</v>
      </c>
      <c r="K1524" s="1747" t="s">
        <v>641</v>
      </c>
      <c r="L1524" s="1743">
        <v>2</v>
      </c>
    </row>
    <row r="1525" spans="1:12">
      <c r="A1525" s="1743" t="s">
        <v>4237</v>
      </c>
      <c r="B1525" s="1744" t="str">
        <f t="shared" si="487"/>
        <v>202001</v>
      </c>
      <c r="C1525" s="1744" t="s">
        <v>230</v>
      </c>
      <c r="D1525" s="1745" t="str">
        <f t="shared" ref="D1525:D1588" ca="1" si="488">+D1524</f>
        <v>13.02.01.</v>
      </c>
      <c r="E1525" s="1743">
        <f t="shared" si="483"/>
        <v>0</v>
      </c>
      <c r="F1525" s="1746">
        <f ca="1">OFFSET('Tabla IV.2.'!$H$26,H1525-1,I1525-1)</f>
        <v>0</v>
      </c>
      <c r="G1525" s="1743" t="str">
        <f ca="1">OFFSET('Tabla IV.2.'!$H$1,0,I1525-1)</f>
        <v>02</v>
      </c>
      <c r="H1525" s="1747">
        <f t="shared" ref="H1525:H1588" si="489">+H1524</f>
        <v>2</v>
      </c>
      <c r="I1525" s="1747">
        <f>+I1524+1</f>
        <v>2</v>
      </c>
      <c r="J1525" s="1747" t="str">
        <f ca="1">+'Tabla IV.2.'!$C$8</f>
        <v>Tabla IV.2.</v>
      </c>
      <c r="K1525" s="1747" t="str">
        <f t="shared" si="486"/>
        <v>B</v>
      </c>
      <c r="L1525" s="1743"/>
    </row>
    <row r="1526" spans="1:12">
      <c r="A1526" s="1743" t="s">
        <v>4237</v>
      </c>
      <c r="B1526" s="1744" t="str">
        <f t="shared" si="487"/>
        <v>202001</v>
      </c>
      <c r="C1526" s="1744" t="s">
        <v>230</v>
      </c>
      <c r="D1526" s="1745" t="str">
        <f t="shared" ca="1" si="488"/>
        <v>13.02.01.</v>
      </c>
      <c r="E1526" s="1743">
        <f t="shared" si="483"/>
        <v>0</v>
      </c>
      <c r="F1526" s="1746">
        <f ca="1">OFFSET('Tabla IV.2.'!$H$26,H1526-1,I1526-1)</f>
        <v>0</v>
      </c>
      <c r="G1526" s="1743" t="str">
        <f ca="1">OFFSET('Tabla IV.2.'!$H$1,0,I1526-1)</f>
        <v>03</v>
      </c>
      <c r="H1526" s="1747">
        <f t="shared" si="489"/>
        <v>2</v>
      </c>
      <c r="I1526" s="1747">
        <f>+I1525+1</f>
        <v>3</v>
      </c>
      <c r="J1526" s="1747" t="str">
        <f ca="1">+'Tabla IV.2.'!$C$8</f>
        <v>Tabla IV.2.</v>
      </c>
      <c r="K1526" s="1747" t="str">
        <f t="shared" si="486"/>
        <v>B</v>
      </c>
      <c r="L1526" s="1743"/>
    </row>
    <row r="1527" spans="1:12">
      <c r="A1527" s="1743" t="s">
        <v>4237</v>
      </c>
      <c r="B1527" s="1744" t="str">
        <f t="shared" si="487"/>
        <v>202001</v>
      </c>
      <c r="C1527" s="1744" t="s">
        <v>230</v>
      </c>
      <c r="D1527" s="1745" t="str">
        <f t="shared" ca="1" si="488"/>
        <v>13.02.01.</v>
      </c>
      <c r="E1527" s="1743">
        <f t="shared" si="483"/>
        <v>0</v>
      </c>
      <c r="F1527" s="1746">
        <f ca="1">OFFSET('Tabla IV.2.'!$H$26,H1527-1,I1527-1)</f>
        <v>0</v>
      </c>
      <c r="G1527" s="1743" t="str">
        <f ca="1">OFFSET('Tabla IV.2.'!$H$1,0,I1527-1)</f>
        <v>04</v>
      </c>
      <c r="H1527" s="1747">
        <f t="shared" si="489"/>
        <v>2</v>
      </c>
      <c r="I1527" s="1747">
        <f>+I1526+1</f>
        <v>4</v>
      </c>
      <c r="J1527" s="1747" t="str">
        <f ca="1">+'Tabla IV.2.'!$C$8</f>
        <v>Tabla IV.2.</v>
      </c>
      <c r="K1527" s="1747" t="str">
        <f t="shared" si="486"/>
        <v>B</v>
      </c>
      <c r="L1527" s="1743"/>
    </row>
    <row r="1528" spans="1:12">
      <c r="A1528" s="1743" t="s">
        <v>4237</v>
      </c>
      <c r="B1528" s="1744" t="str">
        <f t="shared" si="487"/>
        <v>202001</v>
      </c>
      <c r="C1528" s="1744" t="s">
        <v>230</v>
      </c>
      <c r="D1528" s="1745" t="str">
        <f t="shared" ca="1" si="488"/>
        <v>13.02.01.</v>
      </c>
      <c r="E1528" s="1743">
        <f t="shared" si="483"/>
        <v>0</v>
      </c>
      <c r="F1528" s="1746">
        <f ca="1">OFFSET('Tabla IV.2.'!$H$26,H1528-1,I1528-1)</f>
        <v>0</v>
      </c>
      <c r="G1528" s="1743" t="str">
        <f ca="1">OFFSET('Tabla IV.2.'!$H$1,0,I1528-1)</f>
        <v>05</v>
      </c>
      <c r="H1528" s="1747">
        <f t="shared" si="489"/>
        <v>2</v>
      </c>
      <c r="I1528" s="1747">
        <f>+I1527+1</f>
        <v>5</v>
      </c>
      <c r="J1528" s="1747" t="str">
        <f ca="1">+'Tabla IV.2.'!$C$8</f>
        <v>Tabla IV.2.</v>
      </c>
      <c r="K1528" s="1747" t="str">
        <f t="shared" si="486"/>
        <v>B</v>
      </c>
      <c r="L1528" s="1743"/>
    </row>
    <row r="1529" spans="1:12">
      <c r="A1529" s="1743" t="s">
        <v>4237</v>
      </c>
      <c r="B1529" s="1744" t="str">
        <f t="shared" si="487"/>
        <v>202001</v>
      </c>
      <c r="C1529" s="1744" t="s">
        <v>230</v>
      </c>
      <c r="D1529" s="1745" t="str">
        <f t="shared" ca="1" si="488"/>
        <v>13.02.01.</v>
      </c>
      <c r="E1529" s="1743">
        <f t="shared" si="483"/>
        <v>0</v>
      </c>
      <c r="F1529" s="1746">
        <f ca="1">OFFSET('Tabla IV.2.'!$H$26,H1529-1,I1529-1)</f>
        <v>0</v>
      </c>
      <c r="G1529" s="1743" t="str">
        <f ca="1">OFFSET('Tabla IV.2.'!$H$1,0,I1529-1)</f>
        <v>06</v>
      </c>
      <c r="H1529" s="1747">
        <f t="shared" si="489"/>
        <v>2</v>
      </c>
      <c r="I1529" s="1747">
        <f>+I1528+1</f>
        <v>6</v>
      </c>
      <c r="J1529" s="1747" t="str">
        <f ca="1">+'Tabla IV.2.'!$C$8</f>
        <v>Tabla IV.2.</v>
      </c>
      <c r="K1529" s="1747" t="str">
        <f t="shared" si="486"/>
        <v>B</v>
      </c>
      <c r="L1529" s="1743"/>
    </row>
    <row r="1530" spans="1:12">
      <c r="A1530" s="1738" t="s">
        <v>4237</v>
      </c>
      <c r="B1530" s="1739" t="str">
        <f t="shared" si="487"/>
        <v>202001</v>
      </c>
      <c r="C1530" s="1739" t="s">
        <v>230</v>
      </c>
      <c r="D1530" s="1740" t="str">
        <f ca="1">OFFSET('Tabla IV.2.'!$F$26,H1530-1,0)</f>
        <v>13.02.02.</v>
      </c>
      <c r="E1530" s="1738">
        <f t="shared" si="483"/>
        <v>0</v>
      </c>
      <c r="F1530" s="1741">
        <f ca="1">OFFSET('Tabla IV.2.'!$H$26,H1530-1,I1530-1)</f>
        <v>0</v>
      </c>
      <c r="G1530" s="1738" t="str">
        <f ca="1">OFFSET('Tabla IV.2.'!$H$1,0,I1530-1)</f>
        <v>01</v>
      </c>
      <c r="H1530" s="1742">
        <v>3</v>
      </c>
      <c r="I1530" s="1742">
        <v>1</v>
      </c>
      <c r="J1530" s="1742" t="str">
        <f ca="1">+'Tabla IV.2.'!$C$8</f>
        <v>Tabla IV.2.</v>
      </c>
      <c r="K1530" s="1742" t="s">
        <v>641</v>
      </c>
      <c r="L1530" s="1738">
        <v>3</v>
      </c>
    </row>
    <row r="1531" spans="1:12">
      <c r="A1531" s="1738" t="s">
        <v>4237</v>
      </c>
      <c r="B1531" s="1739" t="str">
        <f t="shared" si="487"/>
        <v>202001</v>
      </c>
      <c r="C1531" s="1739" t="s">
        <v>230</v>
      </c>
      <c r="D1531" s="1740" t="str">
        <f t="shared" ca="1" si="488"/>
        <v>13.02.02.</v>
      </c>
      <c r="E1531" s="1738">
        <f t="shared" si="483"/>
        <v>0</v>
      </c>
      <c r="F1531" s="1741">
        <f ca="1">OFFSET('Tabla IV.2.'!$H$26,H1531-1,I1531-1)</f>
        <v>0</v>
      </c>
      <c r="G1531" s="1738" t="str">
        <f ca="1">OFFSET('Tabla IV.2.'!$H$1,0,I1531-1)</f>
        <v>02</v>
      </c>
      <c r="H1531" s="1742">
        <f t="shared" si="489"/>
        <v>3</v>
      </c>
      <c r="I1531" s="1742">
        <f>+I1530+1</f>
        <v>2</v>
      </c>
      <c r="J1531" s="1742" t="str">
        <f ca="1">+'Tabla IV.2.'!$C$8</f>
        <v>Tabla IV.2.</v>
      </c>
      <c r="K1531" s="1742" t="str">
        <f t="shared" si="486"/>
        <v>B</v>
      </c>
      <c r="L1531" s="1738"/>
    </row>
    <row r="1532" spans="1:12">
      <c r="A1532" s="1738" t="s">
        <v>4237</v>
      </c>
      <c r="B1532" s="1739" t="str">
        <f t="shared" si="487"/>
        <v>202001</v>
      </c>
      <c r="C1532" s="1739" t="s">
        <v>230</v>
      </c>
      <c r="D1532" s="1740" t="str">
        <f t="shared" ca="1" si="488"/>
        <v>13.02.02.</v>
      </c>
      <c r="E1532" s="1738">
        <f t="shared" si="483"/>
        <v>0</v>
      </c>
      <c r="F1532" s="1741">
        <f ca="1">OFFSET('Tabla IV.2.'!$H$26,H1532-1,I1532-1)</f>
        <v>0</v>
      </c>
      <c r="G1532" s="1738" t="str">
        <f ca="1">OFFSET('Tabla IV.2.'!$H$1,0,I1532-1)</f>
        <v>03</v>
      </c>
      <c r="H1532" s="1742">
        <f t="shared" si="489"/>
        <v>3</v>
      </c>
      <c r="I1532" s="1742">
        <f>+I1531+1</f>
        <v>3</v>
      </c>
      <c r="J1532" s="1742" t="str">
        <f ca="1">+'Tabla IV.2.'!$C$8</f>
        <v>Tabla IV.2.</v>
      </c>
      <c r="K1532" s="1742" t="str">
        <f t="shared" si="486"/>
        <v>B</v>
      </c>
      <c r="L1532" s="1738"/>
    </row>
    <row r="1533" spans="1:12">
      <c r="A1533" s="1738" t="s">
        <v>4237</v>
      </c>
      <c r="B1533" s="1739" t="str">
        <f t="shared" si="487"/>
        <v>202001</v>
      </c>
      <c r="C1533" s="1739" t="s">
        <v>230</v>
      </c>
      <c r="D1533" s="1740" t="str">
        <f t="shared" ca="1" si="488"/>
        <v>13.02.02.</v>
      </c>
      <c r="E1533" s="1738">
        <f t="shared" si="483"/>
        <v>0</v>
      </c>
      <c r="F1533" s="1741">
        <f ca="1">OFFSET('Tabla IV.2.'!$H$26,H1533-1,I1533-1)</f>
        <v>0</v>
      </c>
      <c r="G1533" s="1738" t="str">
        <f ca="1">OFFSET('Tabla IV.2.'!$H$1,0,I1533-1)</f>
        <v>04</v>
      </c>
      <c r="H1533" s="1742">
        <f t="shared" si="489"/>
        <v>3</v>
      </c>
      <c r="I1533" s="1742">
        <f>+I1532+1</f>
        <v>4</v>
      </c>
      <c r="J1533" s="1742" t="str">
        <f ca="1">+'Tabla IV.2.'!$C$8</f>
        <v>Tabla IV.2.</v>
      </c>
      <c r="K1533" s="1742" t="str">
        <f t="shared" si="486"/>
        <v>B</v>
      </c>
      <c r="L1533" s="1738"/>
    </row>
    <row r="1534" spans="1:12">
      <c r="A1534" s="1738" t="s">
        <v>4237</v>
      </c>
      <c r="B1534" s="1739" t="str">
        <f t="shared" si="487"/>
        <v>202001</v>
      </c>
      <c r="C1534" s="1739" t="s">
        <v>230</v>
      </c>
      <c r="D1534" s="1740" t="str">
        <f t="shared" ca="1" si="488"/>
        <v>13.02.02.</v>
      </c>
      <c r="E1534" s="1738">
        <f t="shared" si="483"/>
        <v>0</v>
      </c>
      <c r="F1534" s="1741">
        <f ca="1">OFFSET('Tabla IV.2.'!$H$26,H1534-1,I1534-1)</f>
        <v>0</v>
      </c>
      <c r="G1534" s="1738" t="str">
        <f ca="1">OFFSET('Tabla IV.2.'!$H$1,0,I1534-1)</f>
        <v>05</v>
      </c>
      <c r="H1534" s="1742">
        <f t="shared" si="489"/>
        <v>3</v>
      </c>
      <c r="I1534" s="1742">
        <f>+I1533+1</f>
        <v>5</v>
      </c>
      <c r="J1534" s="1742" t="str">
        <f ca="1">+'Tabla IV.2.'!$C$8</f>
        <v>Tabla IV.2.</v>
      </c>
      <c r="K1534" s="1742" t="str">
        <f t="shared" si="486"/>
        <v>B</v>
      </c>
      <c r="L1534" s="1738"/>
    </row>
    <row r="1535" spans="1:12">
      <c r="A1535" s="1738" t="s">
        <v>4237</v>
      </c>
      <c r="B1535" s="1739" t="str">
        <f t="shared" si="487"/>
        <v>202001</v>
      </c>
      <c r="C1535" s="1739" t="s">
        <v>230</v>
      </c>
      <c r="D1535" s="1740" t="str">
        <f t="shared" ca="1" si="488"/>
        <v>13.02.02.</v>
      </c>
      <c r="E1535" s="1738">
        <f t="shared" si="483"/>
        <v>0</v>
      </c>
      <c r="F1535" s="1741">
        <f ca="1">OFFSET('Tabla IV.2.'!$H$26,H1535-1,I1535-1)</f>
        <v>0</v>
      </c>
      <c r="G1535" s="1738" t="str">
        <f ca="1">OFFSET('Tabla IV.2.'!$H$1,0,I1535-1)</f>
        <v>06</v>
      </c>
      <c r="H1535" s="1742">
        <f t="shared" si="489"/>
        <v>3</v>
      </c>
      <c r="I1535" s="1742">
        <f>+I1534+1</f>
        <v>6</v>
      </c>
      <c r="J1535" s="1742" t="str">
        <f ca="1">+'Tabla IV.2.'!$C$8</f>
        <v>Tabla IV.2.</v>
      </c>
      <c r="K1535" s="1742" t="str">
        <f t="shared" si="486"/>
        <v>B</v>
      </c>
      <c r="L1535" s="1738"/>
    </row>
    <row r="1536" spans="1:12">
      <c r="A1536" s="1743" t="s">
        <v>4237</v>
      </c>
      <c r="B1536" s="1744" t="str">
        <f t="shared" si="487"/>
        <v>202001</v>
      </c>
      <c r="C1536" s="1744" t="s">
        <v>230</v>
      </c>
      <c r="D1536" s="1745" t="str">
        <f ca="1">OFFSET('Tabla IV.2.'!$F$26,H1536-1,0)</f>
        <v>13.02.03.</v>
      </c>
      <c r="E1536" s="1743">
        <f t="shared" si="483"/>
        <v>0</v>
      </c>
      <c r="F1536" s="1746">
        <f ca="1">OFFSET('Tabla IV.2.'!$H$26,H1536-1,I1536-1)</f>
        <v>0</v>
      </c>
      <c r="G1536" s="1743" t="str">
        <f ca="1">OFFSET('Tabla IV.2.'!$H$1,0,I1536-1)</f>
        <v>01</v>
      </c>
      <c r="H1536" s="1747">
        <v>4</v>
      </c>
      <c r="I1536" s="1747">
        <v>1</v>
      </c>
      <c r="J1536" s="1747" t="str">
        <f ca="1">+'Tabla IV.2.'!$C$8</f>
        <v>Tabla IV.2.</v>
      </c>
      <c r="K1536" s="1747" t="s">
        <v>641</v>
      </c>
      <c r="L1536" s="1743">
        <v>4</v>
      </c>
    </row>
    <row r="1537" spans="1:12">
      <c r="A1537" s="1743" t="s">
        <v>4237</v>
      </c>
      <c r="B1537" s="1744" t="str">
        <f t="shared" si="487"/>
        <v>202001</v>
      </c>
      <c r="C1537" s="1744" t="s">
        <v>230</v>
      </c>
      <c r="D1537" s="1745" t="str">
        <f t="shared" ca="1" si="488"/>
        <v>13.02.03.</v>
      </c>
      <c r="E1537" s="1743">
        <f t="shared" si="483"/>
        <v>0</v>
      </c>
      <c r="F1537" s="1746">
        <f ca="1">OFFSET('Tabla IV.2.'!$H$26,H1537-1,I1537-1)</f>
        <v>0</v>
      </c>
      <c r="G1537" s="1743" t="str">
        <f ca="1">OFFSET('Tabla IV.2.'!$H$1,0,I1537-1)</f>
        <v>02</v>
      </c>
      <c r="H1537" s="1747">
        <f t="shared" si="489"/>
        <v>4</v>
      </c>
      <c r="I1537" s="1747">
        <f>+I1536+1</f>
        <v>2</v>
      </c>
      <c r="J1537" s="1747" t="str">
        <f ca="1">+'Tabla IV.2.'!$C$8</f>
        <v>Tabla IV.2.</v>
      </c>
      <c r="K1537" s="1747" t="str">
        <f t="shared" si="486"/>
        <v>B</v>
      </c>
      <c r="L1537" s="1743"/>
    </row>
    <row r="1538" spans="1:12">
      <c r="A1538" s="1743" t="s">
        <v>4237</v>
      </c>
      <c r="B1538" s="1744" t="str">
        <f t="shared" si="487"/>
        <v>202001</v>
      </c>
      <c r="C1538" s="1744" t="s">
        <v>230</v>
      </c>
      <c r="D1538" s="1745" t="str">
        <f t="shared" ca="1" si="488"/>
        <v>13.02.03.</v>
      </c>
      <c r="E1538" s="1743">
        <f t="shared" si="483"/>
        <v>0</v>
      </c>
      <c r="F1538" s="1746">
        <f ca="1">OFFSET('Tabla IV.2.'!$H$26,H1538-1,I1538-1)</f>
        <v>0</v>
      </c>
      <c r="G1538" s="1743" t="str">
        <f ca="1">OFFSET('Tabla IV.2.'!$H$1,0,I1538-1)</f>
        <v>03</v>
      </c>
      <c r="H1538" s="1747">
        <f t="shared" si="489"/>
        <v>4</v>
      </c>
      <c r="I1538" s="1747">
        <f>+I1537+1</f>
        <v>3</v>
      </c>
      <c r="J1538" s="1747" t="str">
        <f ca="1">+'Tabla IV.2.'!$C$8</f>
        <v>Tabla IV.2.</v>
      </c>
      <c r="K1538" s="1747" t="str">
        <f t="shared" si="486"/>
        <v>B</v>
      </c>
      <c r="L1538" s="1743"/>
    </row>
    <row r="1539" spans="1:12">
      <c r="A1539" s="1743" t="s">
        <v>4237</v>
      </c>
      <c r="B1539" s="1744" t="str">
        <f t="shared" si="487"/>
        <v>202001</v>
      </c>
      <c r="C1539" s="1744" t="s">
        <v>230</v>
      </c>
      <c r="D1539" s="1745" t="str">
        <f t="shared" ca="1" si="488"/>
        <v>13.02.03.</v>
      </c>
      <c r="E1539" s="1743">
        <f t="shared" si="483"/>
        <v>0</v>
      </c>
      <c r="F1539" s="1746">
        <f ca="1">OFFSET('Tabla IV.2.'!$H$26,H1539-1,I1539-1)</f>
        <v>0</v>
      </c>
      <c r="G1539" s="1743" t="str">
        <f ca="1">OFFSET('Tabla IV.2.'!$H$1,0,I1539-1)</f>
        <v>04</v>
      </c>
      <c r="H1539" s="1747">
        <f t="shared" si="489"/>
        <v>4</v>
      </c>
      <c r="I1539" s="1747">
        <f>+I1538+1</f>
        <v>4</v>
      </c>
      <c r="J1539" s="1747" t="str">
        <f ca="1">+'Tabla IV.2.'!$C$8</f>
        <v>Tabla IV.2.</v>
      </c>
      <c r="K1539" s="1747" t="str">
        <f t="shared" si="486"/>
        <v>B</v>
      </c>
      <c r="L1539" s="1743"/>
    </row>
    <row r="1540" spans="1:12">
      <c r="A1540" s="1743" t="s">
        <v>4237</v>
      </c>
      <c r="B1540" s="1744" t="str">
        <f t="shared" si="487"/>
        <v>202001</v>
      </c>
      <c r="C1540" s="1744" t="s">
        <v>230</v>
      </c>
      <c r="D1540" s="1745" t="str">
        <f t="shared" ca="1" si="488"/>
        <v>13.02.03.</v>
      </c>
      <c r="E1540" s="1743">
        <f t="shared" si="483"/>
        <v>0</v>
      </c>
      <c r="F1540" s="1746">
        <f ca="1">OFFSET('Tabla IV.2.'!$H$26,H1540-1,I1540-1)</f>
        <v>0</v>
      </c>
      <c r="G1540" s="1743" t="str">
        <f ca="1">OFFSET('Tabla IV.2.'!$H$1,0,I1540-1)</f>
        <v>05</v>
      </c>
      <c r="H1540" s="1747">
        <f t="shared" si="489"/>
        <v>4</v>
      </c>
      <c r="I1540" s="1747">
        <f>+I1539+1</f>
        <v>5</v>
      </c>
      <c r="J1540" s="1747" t="str">
        <f ca="1">+'Tabla IV.2.'!$C$8</f>
        <v>Tabla IV.2.</v>
      </c>
      <c r="K1540" s="1747" t="str">
        <f t="shared" si="486"/>
        <v>B</v>
      </c>
      <c r="L1540" s="1743"/>
    </row>
    <row r="1541" spans="1:12">
      <c r="A1541" s="1743" t="s">
        <v>4237</v>
      </c>
      <c r="B1541" s="1744" t="str">
        <f t="shared" si="487"/>
        <v>202001</v>
      </c>
      <c r="C1541" s="1744" t="s">
        <v>230</v>
      </c>
      <c r="D1541" s="1745" t="str">
        <f t="shared" ca="1" si="488"/>
        <v>13.02.03.</v>
      </c>
      <c r="E1541" s="1743">
        <f t="shared" si="483"/>
        <v>0</v>
      </c>
      <c r="F1541" s="1746">
        <f ca="1">OFFSET('Tabla IV.2.'!$H$26,H1541-1,I1541-1)</f>
        <v>0</v>
      </c>
      <c r="G1541" s="1743" t="str">
        <f ca="1">OFFSET('Tabla IV.2.'!$H$1,0,I1541-1)</f>
        <v>06</v>
      </c>
      <c r="H1541" s="1747">
        <f t="shared" si="489"/>
        <v>4</v>
      </c>
      <c r="I1541" s="1747">
        <f>+I1540+1</f>
        <v>6</v>
      </c>
      <c r="J1541" s="1747" t="str">
        <f ca="1">+'Tabla IV.2.'!$C$8</f>
        <v>Tabla IV.2.</v>
      </c>
      <c r="K1541" s="1747" t="str">
        <f t="shared" si="486"/>
        <v>B</v>
      </c>
      <c r="L1541" s="1743"/>
    </row>
    <row r="1542" spans="1:12">
      <c r="A1542" s="1738" t="s">
        <v>4237</v>
      </c>
      <c r="B1542" s="1739" t="str">
        <f t="shared" si="487"/>
        <v>202001</v>
      </c>
      <c r="C1542" s="1739" t="s">
        <v>230</v>
      </c>
      <c r="D1542" s="1740" t="str">
        <f ca="1">OFFSET('Tabla IV.2.'!$F$26,H1542-1,0)</f>
        <v>13.02.03.01.</v>
      </c>
      <c r="E1542" s="1738">
        <f t="shared" si="483"/>
        <v>0</v>
      </c>
      <c r="F1542" s="1741">
        <f ca="1">OFFSET('Tabla IV.2.'!$H$26,H1542-1,I1542-1)</f>
        <v>0</v>
      </c>
      <c r="G1542" s="1738" t="str">
        <f ca="1">OFFSET('Tabla IV.2.'!$H$1,0,I1542-1)</f>
        <v>01</v>
      </c>
      <c r="H1542" s="1742">
        <v>5</v>
      </c>
      <c r="I1542" s="1742">
        <v>1</v>
      </c>
      <c r="J1542" s="1742" t="str">
        <f ca="1">+'Tabla IV.2.'!$C$8</f>
        <v>Tabla IV.2.</v>
      </c>
      <c r="K1542" s="1742" t="s">
        <v>641</v>
      </c>
      <c r="L1542" s="1738">
        <v>5</v>
      </c>
    </row>
    <row r="1543" spans="1:12">
      <c r="A1543" s="1738" t="s">
        <v>4237</v>
      </c>
      <c r="B1543" s="1739" t="str">
        <f t="shared" si="487"/>
        <v>202001</v>
      </c>
      <c r="C1543" s="1739" t="s">
        <v>230</v>
      </c>
      <c r="D1543" s="1740" t="str">
        <f t="shared" ca="1" si="488"/>
        <v>13.02.03.01.</v>
      </c>
      <c r="E1543" s="1738">
        <f t="shared" si="483"/>
        <v>0</v>
      </c>
      <c r="F1543" s="1741">
        <f ca="1">OFFSET('Tabla IV.2.'!$H$26,H1543-1,I1543-1)</f>
        <v>0</v>
      </c>
      <c r="G1543" s="1738" t="str">
        <f ca="1">OFFSET('Tabla IV.2.'!$H$1,0,I1543-1)</f>
        <v>02</v>
      </c>
      <c r="H1543" s="1742">
        <f t="shared" si="489"/>
        <v>5</v>
      </c>
      <c r="I1543" s="1742">
        <f>+I1542+1</f>
        <v>2</v>
      </c>
      <c r="J1543" s="1742" t="str">
        <f ca="1">+'Tabla IV.2.'!$C$8</f>
        <v>Tabla IV.2.</v>
      </c>
      <c r="K1543" s="1742" t="str">
        <f t="shared" si="486"/>
        <v>B</v>
      </c>
      <c r="L1543" s="1738"/>
    </row>
    <row r="1544" spans="1:12">
      <c r="A1544" s="1738" t="s">
        <v>4237</v>
      </c>
      <c r="B1544" s="1739" t="str">
        <f t="shared" si="487"/>
        <v>202001</v>
      </c>
      <c r="C1544" s="1739" t="s">
        <v>230</v>
      </c>
      <c r="D1544" s="1740" t="str">
        <f t="shared" ca="1" si="488"/>
        <v>13.02.03.01.</v>
      </c>
      <c r="E1544" s="1738">
        <f t="shared" si="483"/>
        <v>0</v>
      </c>
      <c r="F1544" s="1741">
        <f ca="1">OFFSET('Tabla IV.2.'!$H$26,H1544-1,I1544-1)</f>
        <v>0</v>
      </c>
      <c r="G1544" s="1738" t="str">
        <f ca="1">OFFSET('Tabla IV.2.'!$H$1,0,I1544-1)</f>
        <v>03</v>
      </c>
      <c r="H1544" s="1742">
        <f t="shared" si="489"/>
        <v>5</v>
      </c>
      <c r="I1544" s="1742">
        <f>+I1543+1</f>
        <v>3</v>
      </c>
      <c r="J1544" s="1742" t="str">
        <f ca="1">+'Tabla IV.2.'!$C$8</f>
        <v>Tabla IV.2.</v>
      </c>
      <c r="K1544" s="1742" t="str">
        <f t="shared" si="486"/>
        <v>B</v>
      </c>
      <c r="L1544" s="1738"/>
    </row>
    <row r="1545" spans="1:12">
      <c r="A1545" s="1738" t="s">
        <v>4237</v>
      </c>
      <c r="B1545" s="1739" t="str">
        <f t="shared" si="487"/>
        <v>202001</v>
      </c>
      <c r="C1545" s="1739" t="s">
        <v>230</v>
      </c>
      <c r="D1545" s="1740" t="str">
        <f t="shared" ca="1" si="488"/>
        <v>13.02.03.01.</v>
      </c>
      <c r="E1545" s="1738">
        <f t="shared" si="483"/>
        <v>0</v>
      </c>
      <c r="F1545" s="1741">
        <f ca="1">OFFSET('Tabla IV.2.'!$H$26,H1545-1,I1545-1)</f>
        <v>0</v>
      </c>
      <c r="G1545" s="1738" t="str">
        <f ca="1">OFFSET('Tabla IV.2.'!$H$1,0,I1545-1)</f>
        <v>04</v>
      </c>
      <c r="H1545" s="1742">
        <f t="shared" si="489"/>
        <v>5</v>
      </c>
      <c r="I1545" s="1742">
        <f>+I1544+1</f>
        <v>4</v>
      </c>
      <c r="J1545" s="1742" t="str">
        <f ca="1">+'Tabla IV.2.'!$C$8</f>
        <v>Tabla IV.2.</v>
      </c>
      <c r="K1545" s="1742" t="str">
        <f t="shared" si="486"/>
        <v>B</v>
      </c>
      <c r="L1545" s="1738"/>
    </row>
    <row r="1546" spans="1:12">
      <c r="A1546" s="1738" t="s">
        <v>4237</v>
      </c>
      <c r="B1546" s="1739" t="str">
        <f t="shared" si="487"/>
        <v>202001</v>
      </c>
      <c r="C1546" s="1739" t="s">
        <v>230</v>
      </c>
      <c r="D1546" s="1740" t="str">
        <f t="shared" ca="1" si="488"/>
        <v>13.02.03.01.</v>
      </c>
      <c r="E1546" s="1738">
        <f t="shared" si="483"/>
        <v>0</v>
      </c>
      <c r="F1546" s="1741">
        <f ca="1">OFFSET('Tabla IV.2.'!$H$26,H1546-1,I1546-1)</f>
        <v>0</v>
      </c>
      <c r="G1546" s="1738" t="str">
        <f ca="1">OFFSET('Tabla IV.2.'!$H$1,0,I1546-1)</f>
        <v>05</v>
      </c>
      <c r="H1546" s="1742">
        <f t="shared" si="489"/>
        <v>5</v>
      </c>
      <c r="I1546" s="1742">
        <f>+I1545+1</f>
        <v>5</v>
      </c>
      <c r="J1546" s="1742" t="str">
        <f ca="1">+'Tabla IV.2.'!$C$8</f>
        <v>Tabla IV.2.</v>
      </c>
      <c r="K1546" s="1742" t="str">
        <f t="shared" si="486"/>
        <v>B</v>
      </c>
      <c r="L1546" s="1738"/>
    </row>
    <row r="1547" spans="1:12">
      <c r="A1547" s="1738" t="s">
        <v>4237</v>
      </c>
      <c r="B1547" s="1739" t="str">
        <f t="shared" si="487"/>
        <v>202001</v>
      </c>
      <c r="C1547" s="1739" t="s">
        <v>230</v>
      </c>
      <c r="D1547" s="1740" t="str">
        <f t="shared" ca="1" si="488"/>
        <v>13.02.03.01.</v>
      </c>
      <c r="E1547" s="1738">
        <f t="shared" si="483"/>
        <v>0</v>
      </c>
      <c r="F1547" s="1741">
        <f ca="1">OFFSET('Tabla IV.2.'!$H$26,H1547-1,I1547-1)</f>
        <v>0</v>
      </c>
      <c r="G1547" s="1738" t="str">
        <f ca="1">OFFSET('Tabla IV.2.'!$H$1,0,I1547-1)</f>
        <v>06</v>
      </c>
      <c r="H1547" s="1742">
        <f t="shared" si="489"/>
        <v>5</v>
      </c>
      <c r="I1547" s="1742">
        <f>+I1546+1</f>
        <v>6</v>
      </c>
      <c r="J1547" s="1742" t="str">
        <f ca="1">+'Tabla IV.2.'!$C$8</f>
        <v>Tabla IV.2.</v>
      </c>
      <c r="K1547" s="1742" t="str">
        <f t="shared" si="486"/>
        <v>B</v>
      </c>
      <c r="L1547" s="1738"/>
    </row>
    <row r="1548" spans="1:12">
      <c r="A1548" s="1743" t="s">
        <v>4237</v>
      </c>
      <c r="B1548" s="1744" t="str">
        <f t="shared" si="487"/>
        <v>202001</v>
      </c>
      <c r="C1548" s="1744" t="s">
        <v>230</v>
      </c>
      <c r="D1548" s="1745" t="str">
        <f ca="1">OFFSET('Tabla IV.2.'!$F$26,H1548-1,0)</f>
        <v>13.02.03.02.</v>
      </c>
      <c r="E1548" s="1743">
        <f t="shared" si="483"/>
        <v>0</v>
      </c>
      <c r="F1548" s="1746">
        <f ca="1">OFFSET('Tabla IV.2.'!$H$26,H1548-1,I1548-1)</f>
        <v>0</v>
      </c>
      <c r="G1548" s="1743" t="str">
        <f ca="1">OFFSET('Tabla IV.2.'!$H$1,0,I1548-1)</f>
        <v>01</v>
      </c>
      <c r="H1548" s="1747">
        <v>6</v>
      </c>
      <c r="I1548" s="1747">
        <v>1</v>
      </c>
      <c r="J1548" s="1747" t="str">
        <f ca="1">+'Tabla IV.2.'!$C$8</f>
        <v>Tabla IV.2.</v>
      </c>
      <c r="K1548" s="1747" t="s">
        <v>641</v>
      </c>
      <c r="L1548" s="1743">
        <v>6</v>
      </c>
    </row>
    <row r="1549" spans="1:12">
      <c r="A1549" s="1743" t="s">
        <v>4237</v>
      </c>
      <c r="B1549" s="1744" t="str">
        <f t="shared" si="487"/>
        <v>202001</v>
      </c>
      <c r="C1549" s="1744" t="s">
        <v>230</v>
      </c>
      <c r="D1549" s="1745" t="str">
        <f t="shared" ca="1" si="488"/>
        <v>13.02.03.02.</v>
      </c>
      <c r="E1549" s="1743">
        <f t="shared" si="483"/>
        <v>0</v>
      </c>
      <c r="F1549" s="1746">
        <f ca="1">OFFSET('Tabla IV.2.'!$H$26,H1549-1,I1549-1)</f>
        <v>0</v>
      </c>
      <c r="G1549" s="1743" t="str">
        <f ca="1">OFFSET('Tabla IV.2.'!$H$1,0,I1549-1)</f>
        <v>02</v>
      </c>
      <c r="H1549" s="1747">
        <f t="shared" si="489"/>
        <v>6</v>
      </c>
      <c r="I1549" s="1747">
        <f>+I1548+1</f>
        <v>2</v>
      </c>
      <c r="J1549" s="1747" t="str">
        <f ca="1">+'Tabla IV.2.'!$C$8</f>
        <v>Tabla IV.2.</v>
      </c>
      <c r="K1549" s="1747" t="str">
        <f t="shared" si="486"/>
        <v>B</v>
      </c>
      <c r="L1549" s="1743"/>
    </row>
    <row r="1550" spans="1:12">
      <c r="A1550" s="1743" t="s">
        <v>4237</v>
      </c>
      <c r="B1550" s="1744" t="str">
        <f t="shared" si="487"/>
        <v>202001</v>
      </c>
      <c r="C1550" s="1744" t="s">
        <v>230</v>
      </c>
      <c r="D1550" s="1745" t="str">
        <f t="shared" ca="1" si="488"/>
        <v>13.02.03.02.</v>
      </c>
      <c r="E1550" s="1743">
        <f t="shared" si="483"/>
        <v>0</v>
      </c>
      <c r="F1550" s="1746">
        <f ca="1">OFFSET('Tabla IV.2.'!$H$26,H1550-1,I1550-1)</f>
        <v>0</v>
      </c>
      <c r="G1550" s="1743" t="str">
        <f ca="1">OFFSET('Tabla IV.2.'!$H$1,0,I1550-1)</f>
        <v>03</v>
      </c>
      <c r="H1550" s="1747">
        <f t="shared" si="489"/>
        <v>6</v>
      </c>
      <c r="I1550" s="1747">
        <f>+I1549+1</f>
        <v>3</v>
      </c>
      <c r="J1550" s="1747" t="str">
        <f ca="1">+'Tabla IV.2.'!$C$8</f>
        <v>Tabla IV.2.</v>
      </c>
      <c r="K1550" s="1747" t="str">
        <f t="shared" si="486"/>
        <v>B</v>
      </c>
      <c r="L1550" s="1743"/>
    </row>
    <row r="1551" spans="1:12">
      <c r="A1551" s="1743" t="s">
        <v>4237</v>
      </c>
      <c r="B1551" s="1744" t="str">
        <f t="shared" si="487"/>
        <v>202001</v>
      </c>
      <c r="C1551" s="1744" t="s">
        <v>230</v>
      </c>
      <c r="D1551" s="1745" t="str">
        <f t="shared" ca="1" si="488"/>
        <v>13.02.03.02.</v>
      </c>
      <c r="E1551" s="1743">
        <f t="shared" si="483"/>
        <v>0</v>
      </c>
      <c r="F1551" s="1746">
        <f ca="1">OFFSET('Tabla IV.2.'!$H$26,H1551-1,I1551-1)</f>
        <v>0</v>
      </c>
      <c r="G1551" s="1743" t="str">
        <f ca="1">OFFSET('Tabla IV.2.'!$H$1,0,I1551-1)</f>
        <v>04</v>
      </c>
      <c r="H1551" s="1747">
        <f t="shared" si="489"/>
        <v>6</v>
      </c>
      <c r="I1551" s="1747">
        <f>+I1550+1</f>
        <v>4</v>
      </c>
      <c r="J1551" s="1747" t="str">
        <f ca="1">+'Tabla IV.2.'!$C$8</f>
        <v>Tabla IV.2.</v>
      </c>
      <c r="K1551" s="1747" t="str">
        <f t="shared" si="486"/>
        <v>B</v>
      </c>
      <c r="L1551" s="1743"/>
    </row>
    <row r="1552" spans="1:12">
      <c r="A1552" s="1743" t="s">
        <v>4237</v>
      </c>
      <c r="B1552" s="1744" t="str">
        <f t="shared" si="487"/>
        <v>202001</v>
      </c>
      <c r="C1552" s="1744" t="s">
        <v>230</v>
      </c>
      <c r="D1552" s="1745" t="str">
        <f t="shared" ca="1" si="488"/>
        <v>13.02.03.02.</v>
      </c>
      <c r="E1552" s="1743">
        <f t="shared" si="483"/>
        <v>0</v>
      </c>
      <c r="F1552" s="1746">
        <f ca="1">OFFSET('Tabla IV.2.'!$H$26,H1552-1,I1552-1)</f>
        <v>0</v>
      </c>
      <c r="G1552" s="1743" t="str">
        <f ca="1">OFFSET('Tabla IV.2.'!$H$1,0,I1552-1)</f>
        <v>05</v>
      </c>
      <c r="H1552" s="1747">
        <f t="shared" si="489"/>
        <v>6</v>
      </c>
      <c r="I1552" s="1747">
        <f>+I1551+1</f>
        <v>5</v>
      </c>
      <c r="J1552" s="1747" t="str">
        <f ca="1">+'Tabla IV.2.'!$C$8</f>
        <v>Tabla IV.2.</v>
      </c>
      <c r="K1552" s="1747" t="str">
        <f t="shared" si="486"/>
        <v>B</v>
      </c>
      <c r="L1552" s="1743"/>
    </row>
    <row r="1553" spans="1:12">
      <c r="A1553" s="1743" t="s">
        <v>4237</v>
      </c>
      <c r="B1553" s="1744" t="str">
        <f t="shared" si="487"/>
        <v>202001</v>
      </c>
      <c r="C1553" s="1744" t="s">
        <v>230</v>
      </c>
      <c r="D1553" s="1745" t="str">
        <f t="shared" ca="1" si="488"/>
        <v>13.02.03.02.</v>
      </c>
      <c r="E1553" s="1743">
        <f t="shared" si="483"/>
        <v>0</v>
      </c>
      <c r="F1553" s="1746">
        <f ca="1">OFFSET('Tabla IV.2.'!$H$26,H1553-1,I1553-1)</f>
        <v>0</v>
      </c>
      <c r="G1553" s="1743" t="str">
        <f ca="1">OFFSET('Tabla IV.2.'!$H$1,0,I1553-1)</f>
        <v>06</v>
      </c>
      <c r="H1553" s="1747">
        <f t="shared" si="489"/>
        <v>6</v>
      </c>
      <c r="I1553" s="1747">
        <f>+I1552+1</f>
        <v>6</v>
      </c>
      <c r="J1553" s="1747" t="str">
        <f ca="1">+'Tabla IV.2.'!$C$8</f>
        <v>Tabla IV.2.</v>
      </c>
      <c r="K1553" s="1747" t="str">
        <f t="shared" si="486"/>
        <v>B</v>
      </c>
      <c r="L1553" s="1743"/>
    </row>
    <row r="1554" spans="1:12">
      <c r="A1554" s="1738" t="s">
        <v>4237</v>
      </c>
      <c r="B1554" s="1739" t="str">
        <f t="shared" si="487"/>
        <v>202001</v>
      </c>
      <c r="C1554" s="1739" t="s">
        <v>230</v>
      </c>
      <c r="D1554" s="1740" t="str">
        <f ca="1">OFFSET('Tabla IV.2.'!$F$39,H1554-1,0)</f>
        <v>13.03.</v>
      </c>
      <c r="E1554" s="1738">
        <f t="shared" si="483"/>
        <v>0</v>
      </c>
      <c r="F1554" s="1741">
        <f ca="1">OFFSET('Tabla IV.2.'!$H$39,H1554-1,I1554-1)</f>
        <v>0</v>
      </c>
      <c r="G1554" s="1738" t="str">
        <f ca="1">OFFSET('Tabla IV.2.'!$H$1,0,I1554-1)</f>
        <v>01</v>
      </c>
      <c r="H1554" s="1742">
        <v>1</v>
      </c>
      <c r="I1554" s="1742">
        <v>1</v>
      </c>
      <c r="J1554" s="1742" t="str">
        <f ca="1">+'Tabla IV.2.'!$C$8</f>
        <v>Tabla IV.2.</v>
      </c>
      <c r="K1554" s="1742" t="s">
        <v>642</v>
      </c>
      <c r="L1554" s="1738">
        <v>7</v>
      </c>
    </row>
    <row r="1555" spans="1:12">
      <c r="A1555" s="1738" t="s">
        <v>4237</v>
      </c>
      <c r="B1555" s="1739" t="str">
        <f t="shared" ref="B1555:B1618" si="490">PERIODO</f>
        <v>202001</v>
      </c>
      <c r="C1555" s="1739" t="s">
        <v>230</v>
      </c>
      <c r="D1555" s="1740" t="str">
        <f t="shared" ca="1" si="488"/>
        <v>13.03.</v>
      </c>
      <c r="E1555" s="1738">
        <f t="shared" si="483"/>
        <v>0</v>
      </c>
      <c r="F1555" s="1741">
        <f ca="1">OFFSET('Tabla IV.2.'!$H$39,H1555-1,I1555-1)</f>
        <v>0</v>
      </c>
      <c r="G1555" s="1738" t="str">
        <f ca="1">OFFSET('Tabla IV.2.'!$H$1,0,I1555-1)</f>
        <v>02</v>
      </c>
      <c r="H1555" s="1742">
        <f t="shared" si="489"/>
        <v>1</v>
      </c>
      <c r="I1555" s="1742">
        <f>+I1554+1</f>
        <v>2</v>
      </c>
      <c r="J1555" s="1742" t="str">
        <f ca="1">+'Tabla IV.2.'!$C$8</f>
        <v>Tabla IV.2.</v>
      </c>
      <c r="K1555" s="1742" t="str">
        <f t="shared" si="486"/>
        <v>C</v>
      </c>
      <c r="L1555" s="1738"/>
    </row>
    <row r="1556" spans="1:12">
      <c r="A1556" s="1738" t="s">
        <v>4237</v>
      </c>
      <c r="B1556" s="1739" t="str">
        <f t="shared" si="490"/>
        <v>202001</v>
      </c>
      <c r="C1556" s="1739" t="s">
        <v>230</v>
      </c>
      <c r="D1556" s="1740" t="str">
        <f t="shared" ca="1" si="488"/>
        <v>13.03.</v>
      </c>
      <c r="E1556" s="1738">
        <f t="shared" si="483"/>
        <v>0</v>
      </c>
      <c r="F1556" s="1741">
        <f ca="1">OFFSET('Tabla IV.2.'!$H$39,H1556-1,I1556-1)</f>
        <v>0</v>
      </c>
      <c r="G1556" s="1738" t="str">
        <f ca="1">OFFSET('Tabla IV.2.'!$H$1,0,I1556-1)</f>
        <v>03</v>
      </c>
      <c r="H1556" s="1742">
        <f t="shared" si="489"/>
        <v>1</v>
      </c>
      <c r="I1556" s="1742">
        <f>+I1555+1</f>
        <v>3</v>
      </c>
      <c r="J1556" s="1742" t="str">
        <f ca="1">+'Tabla IV.2.'!$C$8</f>
        <v>Tabla IV.2.</v>
      </c>
      <c r="K1556" s="1742" t="str">
        <f t="shared" si="486"/>
        <v>C</v>
      </c>
      <c r="L1556" s="1738"/>
    </row>
    <row r="1557" spans="1:12">
      <c r="A1557" s="1738" t="s">
        <v>4237</v>
      </c>
      <c r="B1557" s="1739" t="str">
        <f t="shared" si="490"/>
        <v>202001</v>
      </c>
      <c r="C1557" s="1739" t="s">
        <v>230</v>
      </c>
      <c r="D1557" s="1740" t="str">
        <f t="shared" ca="1" si="488"/>
        <v>13.03.</v>
      </c>
      <c r="E1557" s="1738">
        <f t="shared" si="483"/>
        <v>0</v>
      </c>
      <c r="F1557" s="1741">
        <f ca="1">OFFSET('Tabla IV.2.'!$H$39,H1557-1,I1557-1)</f>
        <v>0</v>
      </c>
      <c r="G1557" s="1738" t="str">
        <f ca="1">OFFSET('Tabla IV.2.'!$H$1,0,I1557-1)</f>
        <v>04</v>
      </c>
      <c r="H1557" s="1742">
        <f t="shared" si="489"/>
        <v>1</v>
      </c>
      <c r="I1557" s="1742">
        <f>+I1556+1</f>
        <v>4</v>
      </c>
      <c r="J1557" s="1742" t="str">
        <f ca="1">+'Tabla IV.2.'!$C$8</f>
        <v>Tabla IV.2.</v>
      </c>
      <c r="K1557" s="1742" t="str">
        <f t="shared" si="486"/>
        <v>C</v>
      </c>
      <c r="L1557" s="1738"/>
    </row>
    <row r="1558" spans="1:12">
      <c r="A1558" s="1738" t="s">
        <v>4237</v>
      </c>
      <c r="B1558" s="1739" t="str">
        <f t="shared" si="490"/>
        <v>202001</v>
      </c>
      <c r="C1558" s="1739" t="s">
        <v>230</v>
      </c>
      <c r="D1558" s="1740" t="str">
        <f t="shared" ca="1" si="488"/>
        <v>13.03.</v>
      </c>
      <c r="E1558" s="1738">
        <f t="shared" si="483"/>
        <v>0</v>
      </c>
      <c r="F1558" s="1741">
        <f ca="1">OFFSET('Tabla IV.2.'!$H$39,H1558-1,I1558-1)</f>
        <v>0</v>
      </c>
      <c r="G1558" s="1738" t="str">
        <f ca="1">OFFSET('Tabla IV.2.'!$H$1,0,I1558-1)</f>
        <v>05</v>
      </c>
      <c r="H1558" s="1742">
        <f t="shared" si="489"/>
        <v>1</v>
      </c>
      <c r="I1558" s="1742">
        <f>+I1557+1</f>
        <v>5</v>
      </c>
      <c r="J1558" s="1742" t="str">
        <f ca="1">+'Tabla IV.2.'!$C$8</f>
        <v>Tabla IV.2.</v>
      </c>
      <c r="K1558" s="1742" t="str">
        <f t="shared" si="486"/>
        <v>C</v>
      </c>
      <c r="L1558" s="1738"/>
    </row>
    <row r="1559" spans="1:12">
      <c r="A1559" s="1738" t="s">
        <v>4237</v>
      </c>
      <c r="B1559" s="1739" t="str">
        <f t="shared" si="490"/>
        <v>202001</v>
      </c>
      <c r="C1559" s="1739" t="s">
        <v>230</v>
      </c>
      <c r="D1559" s="1740" t="str">
        <f t="shared" ca="1" si="488"/>
        <v>13.03.</v>
      </c>
      <c r="E1559" s="1738">
        <f t="shared" si="483"/>
        <v>0</v>
      </c>
      <c r="F1559" s="1741">
        <f ca="1">OFFSET('Tabla IV.2.'!$H$39,H1559-1,I1559-1)</f>
        <v>0</v>
      </c>
      <c r="G1559" s="1738" t="str">
        <f ca="1">OFFSET('Tabla IV.2.'!$H$1,0,I1559-1)</f>
        <v>06</v>
      </c>
      <c r="H1559" s="1742">
        <f t="shared" si="489"/>
        <v>1</v>
      </c>
      <c r="I1559" s="1742">
        <f>+I1558+1</f>
        <v>6</v>
      </c>
      <c r="J1559" s="1742" t="str">
        <f ca="1">+'Tabla IV.2.'!$C$8</f>
        <v>Tabla IV.2.</v>
      </c>
      <c r="K1559" s="1742" t="str">
        <f t="shared" si="486"/>
        <v>C</v>
      </c>
      <c r="L1559" s="1738"/>
    </row>
    <row r="1560" spans="1:12">
      <c r="A1560" s="1743" t="s">
        <v>4237</v>
      </c>
      <c r="B1560" s="1744" t="str">
        <f t="shared" si="490"/>
        <v>202001</v>
      </c>
      <c r="C1560" s="1744" t="s">
        <v>230</v>
      </c>
      <c r="D1560" s="1745" t="str">
        <f ca="1">OFFSET('Tabla IV.2.'!$F$39,H1560-1,0)</f>
        <v>13.03.01.</v>
      </c>
      <c r="E1560" s="1743">
        <f t="shared" si="483"/>
        <v>0</v>
      </c>
      <c r="F1560" s="1746">
        <f ca="1">OFFSET('Tabla IV.2.'!$H$39,H1560-1,I1560-1)</f>
        <v>0</v>
      </c>
      <c r="G1560" s="1743" t="str">
        <f ca="1">OFFSET('Tabla IV.2.'!$H$1,0,I1560-1)</f>
        <v>01</v>
      </c>
      <c r="H1560" s="1747">
        <v>2</v>
      </c>
      <c r="I1560" s="1747">
        <v>1</v>
      </c>
      <c r="J1560" s="1747" t="str">
        <f ca="1">+'Tabla IV.2.'!$C$8</f>
        <v>Tabla IV.2.</v>
      </c>
      <c r="K1560" s="1747" t="s">
        <v>642</v>
      </c>
      <c r="L1560" s="1743">
        <v>8</v>
      </c>
    </row>
    <row r="1561" spans="1:12">
      <c r="A1561" s="1743" t="s">
        <v>4237</v>
      </c>
      <c r="B1561" s="1744" t="str">
        <f t="shared" si="490"/>
        <v>202001</v>
      </c>
      <c r="C1561" s="1744" t="s">
        <v>230</v>
      </c>
      <c r="D1561" s="1745" t="str">
        <f t="shared" ca="1" si="488"/>
        <v>13.03.01.</v>
      </c>
      <c r="E1561" s="1743">
        <f t="shared" si="483"/>
        <v>0</v>
      </c>
      <c r="F1561" s="1746">
        <f ca="1">OFFSET('Tabla IV.2.'!$H$39,H1561-1,I1561-1)</f>
        <v>0</v>
      </c>
      <c r="G1561" s="1743" t="str">
        <f ca="1">OFFSET('Tabla IV.2.'!$H$1,0,I1561-1)</f>
        <v>02</v>
      </c>
      <c r="H1561" s="1747">
        <f t="shared" si="489"/>
        <v>2</v>
      </c>
      <c r="I1561" s="1747">
        <f>+I1560+1</f>
        <v>2</v>
      </c>
      <c r="J1561" s="1747" t="str">
        <f ca="1">+'Tabla IV.2.'!$C$8</f>
        <v>Tabla IV.2.</v>
      </c>
      <c r="K1561" s="1747" t="str">
        <f t="shared" si="486"/>
        <v>C</v>
      </c>
      <c r="L1561" s="1743"/>
    </row>
    <row r="1562" spans="1:12">
      <c r="A1562" s="1743" t="s">
        <v>4237</v>
      </c>
      <c r="B1562" s="1744" t="str">
        <f t="shared" si="490"/>
        <v>202001</v>
      </c>
      <c r="C1562" s="1744" t="s">
        <v>230</v>
      </c>
      <c r="D1562" s="1745" t="str">
        <f t="shared" ca="1" si="488"/>
        <v>13.03.01.</v>
      </c>
      <c r="E1562" s="1743">
        <f t="shared" si="483"/>
        <v>0</v>
      </c>
      <c r="F1562" s="1746">
        <f ca="1">OFFSET('Tabla IV.2.'!$H$39,H1562-1,I1562-1)</f>
        <v>0</v>
      </c>
      <c r="G1562" s="1743" t="str">
        <f ca="1">OFFSET('Tabla IV.2.'!$H$1,0,I1562-1)</f>
        <v>03</v>
      </c>
      <c r="H1562" s="1747">
        <f t="shared" si="489"/>
        <v>2</v>
      </c>
      <c r="I1562" s="1747">
        <f>+I1561+1</f>
        <v>3</v>
      </c>
      <c r="J1562" s="1747" t="str">
        <f ca="1">+'Tabla IV.2.'!$C$8</f>
        <v>Tabla IV.2.</v>
      </c>
      <c r="K1562" s="1747" t="str">
        <f t="shared" si="486"/>
        <v>C</v>
      </c>
      <c r="L1562" s="1743"/>
    </row>
    <row r="1563" spans="1:12">
      <c r="A1563" s="1743" t="s">
        <v>4237</v>
      </c>
      <c r="B1563" s="1744" t="str">
        <f t="shared" si="490"/>
        <v>202001</v>
      </c>
      <c r="C1563" s="1744" t="s">
        <v>230</v>
      </c>
      <c r="D1563" s="1745" t="str">
        <f t="shared" ca="1" si="488"/>
        <v>13.03.01.</v>
      </c>
      <c r="E1563" s="1743">
        <f t="shared" si="483"/>
        <v>0</v>
      </c>
      <c r="F1563" s="1746">
        <f ca="1">OFFSET('Tabla IV.2.'!$H$39,H1563-1,I1563-1)</f>
        <v>0</v>
      </c>
      <c r="G1563" s="1743" t="str">
        <f ca="1">OFFSET('Tabla IV.2.'!$H$1,0,I1563-1)</f>
        <v>04</v>
      </c>
      <c r="H1563" s="1747">
        <f t="shared" si="489"/>
        <v>2</v>
      </c>
      <c r="I1563" s="1747">
        <f>+I1562+1</f>
        <v>4</v>
      </c>
      <c r="J1563" s="1747" t="str">
        <f ca="1">+'Tabla IV.2.'!$C$8</f>
        <v>Tabla IV.2.</v>
      </c>
      <c r="K1563" s="1747" t="str">
        <f t="shared" si="486"/>
        <v>C</v>
      </c>
      <c r="L1563" s="1743"/>
    </row>
    <row r="1564" spans="1:12">
      <c r="A1564" s="1743" t="s">
        <v>4237</v>
      </c>
      <c r="B1564" s="1744" t="str">
        <f t="shared" si="490"/>
        <v>202001</v>
      </c>
      <c r="C1564" s="1744" t="s">
        <v>230</v>
      </c>
      <c r="D1564" s="1745" t="str">
        <f t="shared" ca="1" si="488"/>
        <v>13.03.01.</v>
      </c>
      <c r="E1564" s="1743">
        <f t="shared" si="483"/>
        <v>0</v>
      </c>
      <c r="F1564" s="1746">
        <f ca="1">OFFSET('Tabla IV.2.'!$H$39,H1564-1,I1564-1)</f>
        <v>0</v>
      </c>
      <c r="G1564" s="1743" t="str">
        <f ca="1">OFFSET('Tabla IV.2.'!$H$1,0,I1564-1)</f>
        <v>05</v>
      </c>
      <c r="H1564" s="1747">
        <f t="shared" si="489"/>
        <v>2</v>
      </c>
      <c r="I1564" s="1747">
        <f>+I1563+1</f>
        <v>5</v>
      </c>
      <c r="J1564" s="1747" t="str">
        <f ca="1">+'Tabla IV.2.'!$C$8</f>
        <v>Tabla IV.2.</v>
      </c>
      <c r="K1564" s="1747" t="str">
        <f t="shared" si="486"/>
        <v>C</v>
      </c>
      <c r="L1564" s="1743"/>
    </row>
    <row r="1565" spans="1:12">
      <c r="A1565" s="1743" t="s">
        <v>4237</v>
      </c>
      <c r="B1565" s="1744" t="str">
        <f t="shared" si="490"/>
        <v>202001</v>
      </c>
      <c r="C1565" s="1744" t="s">
        <v>230</v>
      </c>
      <c r="D1565" s="1745" t="str">
        <f t="shared" ca="1" si="488"/>
        <v>13.03.01.</v>
      </c>
      <c r="E1565" s="1743">
        <f t="shared" si="483"/>
        <v>0</v>
      </c>
      <c r="F1565" s="1746">
        <f ca="1">OFFSET('Tabla IV.2.'!$H$39,H1565-1,I1565-1)</f>
        <v>0</v>
      </c>
      <c r="G1565" s="1743" t="str">
        <f ca="1">OFFSET('Tabla IV.2.'!$H$1,0,I1565-1)</f>
        <v>06</v>
      </c>
      <c r="H1565" s="1747">
        <f t="shared" si="489"/>
        <v>2</v>
      </c>
      <c r="I1565" s="1747">
        <f>+I1564+1</f>
        <v>6</v>
      </c>
      <c r="J1565" s="1747" t="str">
        <f ca="1">+'Tabla IV.2.'!$C$8</f>
        <v>Tabla IV.2.</v>
      </c>
      <c r="K1565" s="1747" t="str">
        <f t="shared" si="486"/>
        <v>C</v>
      </c>
      <c r="L1565" s="1743"/>
    </row>
    <row r="1566" spans="1:12">
      <c r="A1566" s="1738" t="s">
        <v>4237</v>
      </c>
      <c r="B1566" s="1739" t="str">
        <f t="shared" si="490"/>
        <v>202001</v>
      </c>
      <c r="C1566" s="1739" t="s">
        <v>230</v>
      </c>
      <c r="D1566" s="1740" t="str">
        <f ca="1">OFFSET('Tabla IV.2.'!$F$39,H1566-1,0)</f>
        <v>13.03.02.</v>
      </c>
      <c r="E1566" s="1738">
        <f t="shared" si="483"/>
        <v>0</v>
      </c>
      <c r="F1566" s="1741">
        <f ca="1">OFFSET('Tabla IV.2.'!$H$39,H1566-1,I1566-1)</f>
        <v>0</v>
      </c>
      <c r="G1566" s="1738" t="str">
        <f ca="1">OFFSET('Tabla IV.2.'!$H$1,0,I1566-1)</f>
        <v>01</v>
      </c>
      <c r="H1566" s="1742">
        <v>3</v>
      </c>
      <c r="I1566" s="1742">
        <v>1</v>
      </c>
      <c r="J1566" s="1742" t="str">
        <f ca="1">+'Tabla IV.2.'!$C$8</f>
        <v>Tabla IV.2.</v>
      </c>
      <c r="K1566" s="1742" t="s">
        <v>642</v>
      </c>
      <c r="L1566" s="1738">
        <v>9</v>
      </c>
    </row>
    <row r="1567" spans="1:12">
      <c r="A1567" s="1738" t="s">
        <v>4237</v>
      </c>
      <c r="B1567" s="1739" t="str">
        <f t="shared" si="490"/>
        <v>202001</v>
      </c>
      <c r="C1567" s="1739" t="s">
        <v>230</v>
      </c>
      <c r="D1567" s="1740" t="str">
        <f t="shared" ca="1" si="488"/>
        <v>13.03.02.</v>
      </c>
      <c r="E1567" s="1738">
        <f t="shared" si="483"/>
        <v>0</v>
      </c>
      <c r="F1567" s="1741">
        <f ca="1">OFFSET('Tabla IV.2.'!$H$39,H1567-1,I1567-1)</f>
        <v>0</v>
      </c>
      <c r="G1567" s="1738" t="str">
        <f ca="1">OFFSET('Tabla IV.2.'!$H$1,0,I1567-1)</f>
        <v>02</v>
      </c>
      <c r="H1567" s="1742">
        <f t="shared" si="489"/>
        <v>3</v>
      </c>
      <c r="I1567" s="1742">
        <f>+I1566+1</f>
        <v>2</v>
      </c>
      <c r="J1567" s="1742" t="str">
        <f ca="1">+'Tabla IV.2.'!$C$8</f>
        <v>Tabla IV.2.</v>
      </c>
      <c r="K1567" s="1742" t="str">
        <f t="shared" si="486"/>
        <v>C</v>
      </c>
      <c r="L1567" s="1738"/>
    </row>
    <row r="1568" spans="1:12">
      <c r="A1568" s="1738" t="s">
        <v>4237</v>
      </c>
      <c r="B1568" s="1739" t="str">
        <f t="shared" si="490"/>
        <v>202001</v>
      </c>
      <c r="C1568" s="1739" t="s">
        <v>230</v>
      </c>
      <c r="D1568" s="1740" t="str">
        <f t="shared" ca="1" si="488"/>
        <v>13.03.02.</v>
      </c>
      <c r="E1568" s="1738">
        <f t="shared" si="483"/>
        <v>0</v>
      </c>
      <c r="F1568" s="1741">
        <f ca="1">OFFSET('Tabla IV.2.'!$H$39,H1568-1,I1568-1)</f>
        <v>0</v>
      </c>
      <c r="G1568" s="1738" t="str">
        <f ca="1">OFFSET('Tabla IV.2.'!$H$1,0,I1568-1)</f>
        <v>03</v>
      </c>
      <c r="H1568" s="1742">
        <f t="shared" si="489"/>
        <v>3</v>
      </c>
      <c r="I1568" s="1742">
        <f>+I1567+1</f>
        <v>3</v>
      </c>
      <c r="J1568" s="1742" t="str">
        <f ca="1">+'Tabla IV.2.'!$C$8</f>
        <v>Tabla IV.2.</v>
      </c>
      <c r="K1568" s="1742" t="str">
        <f t="shared" si="486"/>
        <v>C</v>
      </c>
      <c r="L1568" s="1738"/>
    </row>
    <row r="1569" spans="1:12">
      <c r="A1569" s="1738" t="s">
        <v>4237</v>
      </c>
      <c r="B1569" s="1739" t="str">
        <f t="shared" si="490"/>
        <v>202001</v>
      </c>
      <c r="C1569" s="1739" t="s">
        <v>230</v>
      </c>
      <c r="D1569" s="1740" t="str">
        <f t="shared" ca="1" si="488"/>
        <v>13.03.02.</v>
      </c>
      <c r="E1569" s="1738">
        <f t="shared" si="483"/>
        <v>0</v>
      </c>
      <c r="F1569" s="1741">
        <f ca="1">OFFSET('Tabla IV.2.'!$H$39,H1569-1,I1569-1)</f>
        <v>0</v>
      </c>
      <c r="G1569" s="1738" t="str">
        <f ca="1">OFFSET('Tabla IV.2.'!$H$1,0,I1569-1)</f>
        <v>04</v>
      </c>
      <c r="H1569" s="1742">
        <f t="shared" si="489"/>
        <v>3</v>
      </c>
      <c r="I1569" s="1742">
        <f>+I1568+1</f>
        <v>4</v>
      </c>
      <c r="J1569" s="1742" t="str">
        <f ca="1">+'Tabla IV.2.'!$C$8</f>
        <v>Tabla IV.2.</v>
      </c>
      <c r="K1569" s="1742" t="str">
        <f t="shared" si="486"/>
        <v>C</v>
      </c>
      <c r="L1569" s="1738"/>
    </row>
    <row r="1570" spans="1:12">
      <c r="A1570" s="1738" t="s">
        <v>4237</v>
      </c>
      <c r="B1570" s="1739" t="str">
        <f t="shared" si="490"/>
        <v>202001</v>
      </c>
      <c r="C1570" s="1739" t="s">
        <v>230</v>
      </c>
      <c r="D1570" s="1740" t="str">
        <f t="shared" ca="1" si="488"/>
        <v>13.03.02.</v>
      </c>
      <c r="E1570" s="1738">
        <f t="shared" si="483"/>
        <v>0</v>
      </c>
      <c r="F1570" s="1741">
        <f ca="1">OFFSET('Tabla IV.2.'!$H$39,H1570-1,I1570-1)</f>
        <v>0</v>
      </c>
      <c r="G1570" s="1738" t="str">
        <f ca="1">OFFSET('Tabla IV.2.'!$H$1,0,I1570-1)</f>
        <v>05</v>
      </c>
      <c r="H1570" s="1742">
        <f t="shared" si="489"/>
        <v>3</v>
      </c>
      <c r="I1570" s="1742">
        <f>+I1569+1</f>
        <v>5</v>
      </c>
      <c r="J1570" s="1742" t="str">
        <f ca="1">+'Tabla IV.2.'!$C$8</f>
        <v>Tabla IV.2.</v>
      </c>
      <c r="K1570" s="1742" t="str">
        <f t="shared" si="486"/>
        <v>C</v>
      </c>
      <c r="L1570" s="1738"/>
    </row>
    <row r="1571" spans="1:12">
      <c r="A1571" s="1738" t="s">
        <v>4237</v>
      </c>
      <c r="B1571" s="1739" t="str">
        <f t="shared" si="490"/>
        <v>202001</v>
      </c>
      <c r="C1571" s="1739" t="s">
        <v>230</v>
      </c>
      <c r="D1571" s="1740" t="str">
        <f t="shared" ca="1" si="488"/>
        <v>13.03.02.</v>
      </c>
      <c r="E1571" s="1738">
        <f t="shared" si="483"/>
        <v>0</v>
      </c>
      <c r="F1571" s="1741">
        <f ca="1">OFFSET('Tabla IV.2.'!$H$39,H1571-1,I1571-1)</f>
        <v>0</v>
      </c>
      <c r="G1571" s="1738" t="str">
        <f ca="1">OFFSET('Tabla IV.2.'!$H$1,0,I1571-1)</f>
        <v>06</v>
      </c>
      <c r="H1571" s="1742">
        <f t="shared" si="489"/>
        <v>3</v>
      </c>
      <c r="I1571" s="1742">
        <f>+I1570+1</f>
        <v>6</v>
      </c>
      <c r="J1571" s="1742" t="str">
        <f ca="1">+'Tabla IV.2.'!$C$8</f>
        <v>Tabla IV.2.</v>
      </c>
      <c r="K1571" s="1742" t="str">
        <f t="shared" si="486"/>
        <v>C</v>
      </c>
      <c r="L1571" s="1738"/>
    </row>
    <row r="1572" spans="1:12">
      <c r="A1572" s="1743" t="s">
        <v>4237</v>
      </c>
      <c r="B1572" s="1744" t="str">
        <f t="shared" si="490"/>
        <v>202001</v>
      </c>
      <c r="C1572" s="1744" t="s">
        <v>230</v>
      </c>
      <c r="D1572" s="1745" t="str">
        <f ca="1">OFFSET('Tabla IV.2.'!$F$39,H1572-1,0)</f>
        <v>13.03.03.</v>
      </c>
      <c r="E1572" s="1743">
        <f t="shared" si="483"/>
        <v>0</v>
      </c>
      <c r="F1572" s="1746">
        <f ca="1">OFFSET('Tabla IV.2.'!$H$39,H1572-1,I1572-1)</f>
        <v>0</v>
      </c>
      <c r="G1572" s="1743" t="str">
        <f ca="1">OFFSET('Tabla IV.2.'!$H$1,0,I1572-1)</f>
        <v>01</v>
      </c>
      <c r="H1572" s="1747">
        <v>4</v>
      </c>
      <c r="I1572" s="1747">
        <v>1</v>
      </c>
      <c r="J1572" s="1747" t="str">
        <f ca="1">+'Tabla IV.2.'!$C$8</f>
        <v>Tabla IV.2.</v>
      </c>
      <c r="K1572" s="1747" t="s">
        <v>642</v>
      </c>
      <c r="L1572" s="1743">
        <v>10</v>
      </c>
    </row>
    <row r="1573" spans="1:12">
      <c r="A1573" s="1743" t="s">
        <v>4237</v>
      </c>
      <c r="B1573" s="1744" t="str">
        <f t="shared" si="490"/>
        <v>202001</v>
      </c>
      <c r="C1573" s="1744" t="s">
        <v>230</v>
      </c>
      <c r="D1573" s="1745" t="str">
        <f t="shared" ca="1" si="488"/>
        <v>13.03.03.</v>
      </c>
      <c r="E1573" s="1743">
        <f t="shared" si="483"/>
        <v>0</v>
      </c>
      <c r="F1573" s="1746">
        <f ca="1">OFFSET('Tabla IV.2.'!$H$39,H1573-1,I1573-1)</f>
        <v>0</v>
      </c>
      <c r="G1573" s="1743" t="str">
        <f ca="1">OFFSET('Tabla IV.2.'!$H$1,0,I1573-1)</f>
        <v>02</v>
      </c>
      <c r="H1573" s="1747">
        <f t="shared" si="489"/>
        <v>4</v>
      </c>
      <c r="I1573" s="1747">
        <f>+I1572+1</f>
        <v>2</v>
      </c>
      <c r="J1573" s="1747" t="str">
        <f ca="1">+'Tabla IV.2.'!$C$8</f>
        <v>Tabla IV.2.</v>
      </c>
      <c r="K1573" s="1747" t="str">
        <f t="shared" si="486"/>
        <v>C</v>
      </c>
      <c r="L1573" s="1743"/>
    </row>
    <row r="1574" spans="1:12">
      <c r="A1574" s="1743" t="s">
        <v>4237</v>
      </c>
      <c r="B1574" s="1744" t="str">
        <f t="shared" si="490"/>
        <v>202001</v>
      </c>
      <c r="C1574" s="1744" t="s">
        <v>230</v>
      </c>
      <c r="D1574" s="1745" t="str">
        <f t="shared" ca="1" si="488"/>
        <v>13.03.03.</v>
      </c>
      <c r="E1574" s="1743">
        <f t="shared" si="483"/>
        <v>0</v>
      </c>
      <c r="F1574" s="1746">
        <f ca="1">OFFSET('Tabla IV.2.'!$H$39,H1574-1,I1574-1)</f>
        <v>0</v>
      </c>
      <c r="G1574" s="1743" t="str">
        <f ca="1">OFFSET('Tabla IV.2.'!$H$1,0,I1574-1)</f>
        <v>03</v>
      </c>
      <c r="H1574" s="1747">
        <f t="shared" si="489"/>
        <v>4</v>
      </c>
      <c r="I1574" s="1747">
        <f>+I1573+1</f>
        <v>3</v>
      </c>
      <c r="J1574" s="1747" t="str">
        <f ca="1">+'Tabla IV.2.'!$C$8</f>
        <v>Tabla IV.2.</v>
      </c>
      <c r="K1574" s="1747" t="str">
        <f t="shared" si="486"/>
        <v>C</v>
      </c>
      <c r="L1574" s="1743"/>
    </row>
    <row r="1575" spans="1:12">
      <c r="A1575" s="1743" t="s">
        <v>4237</v>
      </c>
      <c r="B1575" s="1744" t="str">
        <f t="shared" si="490"/>
        <v>202001</v>
      </c>
      <c r="C1575" s="1744" t="s">
        <v>230</v>
      </c>
      <c r="D1575" s="1745" t="str">
        <f t="shared" ca="1" si="488"/>
        <v>13.03.03.</v>
      </c>
      <c r="E1575" s="1743">
        <f t="shared" si="483"/>
        <v>0</v>
      </c>
      <c r="F1575" s="1746">
        <f ca="1">OFFSET('Tabla IV.2.'!$H$39,H1575-1,I1575-1)</f>
        <v>0</v>
      </c>
      <c r="G1575" s="1743" t="str">
        <f ca="1">OFFSET('Tabla IV.2.'!$H$1,0,I1575-1)</f>
        <v>04</v>
      </c>
      <c r="H1575" s="1747">
        <f t="shared" si="489"/>
        <v>4</v>
      </c>
      <c r="I1575" s="1747">
        <f>+I1574+1</f>
        <v>4</v>
      </c>
      <c r="J1575" s="1747" t="str">
        <f ca="1">+'Tabla IV.2.'!$C$8</f>
        <v>Tabla IV.2.</v>
      </c>
      <c r="K1575" s="1747" t="str">
        <f t="shared" si="486"/>
        <v>C</v>
      </c>
      <c r="L1575" s="1743"/>
    </row>
    <row r="1576" spans="1:12">
      <c r="A1576" s="1743" t="s">
        <v>4237</v>
      </c>
      <c r="B1576" s="1744" t="str">
        <f t="shared" si="490"/>
        <v>202001</v>
      </c>
      <c r="C1576" s="1744" t="s">
        <v>230</v>
      </c>
      <c r="D1576" s="1745" t="str">
        <f t="shared" ca="1" si="488"/>
        <v>13.03.03.</v>
      </c>
      <c r="E1576" s="1743">
        <f t="shared" si="483"/>
        <v>0</v>
      </c>
      <c r="F1576" s="1746">
        <f ca="1">OFFSET('Tabla IV.2.'!$H$39,H1576-1,I1576-1)</f>
        <v>0</v>
      </c>
      <c r="G1576" s="1743" t="str">
        <f ca="1">OFFSET('Tabla IV.2.'!$H$1,0,I1576-1)</f>
        <v>05</v>
      </c>
      <c r="H1576" s="1747">
        <f t="shared" si="489"/>
        <v>4</v>
      </c>
      <c r="I1576" s="1747">
        <f>+I1575+1</f>
        <v>5</v>
      </c>
      <c r="J1576" s="1747" t="str">
        <f ca="1">+'Tabla IV.2.'!$C$8</f>
        <v>Tabla IV.2.</v>
      </c>
      <c r="K1576" s="1747" t="str">
        <f t="shared" si="486"/>
        <v>C</v>
      </c>
      <c r="L1576" s="1743"/>
    </row>
    <row r="1577" spans="1:12">
      <c r="A1577" s="1743" t="s">
        <v>4237</v>
      </c>
      <c r="B1577" s="1744" t="str">
        <f t="shared" si="490"/>
        <v>202001</v>
      </c>
      <c r="C1577" s="1744" t="s">
        <v>230</v>
      </c>
      <c r="D1577" s="1745" t="str">
        <f t="shared" ca="1" si="488"/>
        <v>13.03.03.</v>
      </c>
      <c r="E1577" s="1743">
        <f t="shared" si="483"/>
        <v>0</v>
      </c>
      <c r="F1577" s="1746">
        <f ca="1">OFFSET('Tabla IV.2.'!$H$39,H1577-1,I1577-1)</f>
        <v>0</v>
      </c>
      <c r="G1577" s="1743" t="str">
        <f ca="1">OFFSET('Tabla IV.2.'!$H$1,0,I1577-1)</f>
        <v>06</v>
      </c>
      <c r="H1577" s="1747">
        <f t="shared" si="489"/>
        <v>4</v>
      </c>
      <c r="I1577" s="1747">
        <f>+I1576+1</f>
        <v>6</v>
      </c>
      <c r="J1577" s="1747" t="str">
        <f ca="1">+'Tabla IV.2.'!$C$8</f>
        <v>Tabla IV.2.</v>
      </c>
      <c r="K1577" s="1747" t="str">
        <f t="shared" si="486"/>
        <v>C</v>
      </c>
      <c r="L1577" s="1743"/>
    </row>
    <row r="1578" spans="1:12">
      <c r="A1578" s="1738" t="s">
        <v>4237</v>
      </c>
      <c r="B1578" s="1739" t="str">
        <f t="shared" si="490"/>
        <v>202001</v>
      </c>
      <c r="C1578" s="1739" t="s">
        <v>230</v>
      </c>
      <c r="D1578" s="1740" t="str">
        <f ca="1">OFFSET('Tabla IV.2.'!$F$39,H1578-1,0)</f>
        <v>13.03.03.01.</v>
      </c>
      <c r="E1578" s="1738">
        <f t="shared" si="483"/>
        <v>0</v>
      </c>
      <c r="F1578" s="1741">
        <f ca="1">OFFSET('Tabla IV.2.'!$H$39,H1578-1,I1578-1)</f>
        <v>0</v>
      </c>
      <c r="G1578" s="1738" t="str">
        <f ca="1">OFFSET('Tabla IV.2.'!$H$1,0,I1578-1)</f>
        <v>01</v>
      </c>
      <c r="H1578" s="1742">
        <v>5</v>
      </c>
      <c r="I1578" s="1742">
        <v>1</v>
      </c>
      <c r="J1578" s="1742" t="str">
        <f ca="1">+'Tabla IV.2.'!$C$8</f>
        <v>Tabla IV.2.</v>
      </c>
      <c r="K1578" s="1742" t="s">
        <v>642</v>
      </c>
      <c r="L1578" s="1738">
        <v>11</v>
      </c>
    </row>
    <row r="1579" spans="1:12">
      <c r="A1579" s="1738" t="s">
        <v>4237</v>
      </c>
      <c r="B1579" s="1739" t="str">
        <f t="shared" si="490"/>
        <v>202001</v>
      </c>
      <c r="C1579" s="1739" t="s">
        <v>230</v>
      </c>
      <c r="D1579" s="1740" t="str">
        <f t="shared" ca="1" si="488"/>
        <v>13.03.03.01.</v>
      </c>
      <c r="E1579" s="1738">
        <f t="shared" si="483"/>
        <v>0</v>
      </c>
      <c r="F1579" s="1741">
        <f ca="1">OFFSET('Tabla IV.2.'!$H$39,H1579-1,I1579-1)</f>
        <v>0</v>
      </c>
      <c r="G1579" s="1738" t="str">
        <f ca="1">OFFSET('Tabla IV.2.'!$H$1,0,I1579-1)</f>
        <v>02</v>
      </c>
      <c r="H1579" s="1742">
        <f t="shared" si="489"/>
        <v>5</v>
      </c>
      <c r="I1579" s="1742">
        <f>+I1578+1</f>
        <v>2</v>
      </c>
      <c r="J1579" s="1742" t="str">
        <f ca="1">+'Tabla IV.2.'!$C$8</f>
        <v>Tabla IV.2.</v>
      </c>
      <c r="K1579" s="1742" t="str">
        <f t="shared" si="486"/>
        <v>C</v>
      </c>
      <c r="L1579" s="1738"/>
    </row>
    <row r="1580" spans="1:12">
      <c r="A1580" s="1738" t="s">
        <v>4237</v>
      </c>
      <c r="B1580" s="1739" t="str">
        <f t="shared" si="490"/>
        <v>202001</v>
      </c>
      <c r="C1580" s="1739" t="s">
        <v>230</v>
      </c>
      <c r="D1580" s="1740" t="str">
        <f t="shared" ca="1" si="488"/>
        <v>13.03.03.01.</v>
      </c>
      <c r="E1580" s="1738">
        <f t="shared" si="483"/>
        <v>0</v>
      </c>
      <c r="F1580" s="1741">
        <f ca="1">OFFSET('Tabla IV.2.'!$H$39,H1580-1,I1580-1)</f>
        <v>0</v>
      </c>
      <c r="G1580" s="1738" t="str">
        <f ca="1">OFFSET('Tabla IV.2.'!$H$1,0,I1580-1)</f>
        <v>03</v>
      </c>
      <c r="H1580" s="1742">
        <f t="shared" si="489"/>
        <v>5</v>
      </c>
      <c r="I1580" s="1742">
        <f>+I1579+1</f>
        <v>3</v>
      </c>
      <c r="J1580" s="1742" t="str">
        <f ca="1">+'Tabla IV.2.'!$C$8</f>
        <v>Tabla IV.2.</v>
      </c>
      <c r="K1580" s="1742" t="str">
        <f t="shared" si="486"/>
        <v>C</v>
      </c>
      <c r="L1580" s="1738"/>
    </row>
    <row r="1581" spans="1:12">
      <c r="A1581" s="1738" t="s">
        <v>4237</v>
      </c>
      <c r="B1581" s="1739" t="str">
        <f t="shared" si="490"/>
        <v>202001</v>
      </c>
      <c r="C1581" s="1739" t="s">
        <v>230</v>
      </c>
      <c r="D1581" s="1740" t="str">
        <f t="shared" ca="1" si="488"/>
        <v>13.03.03.01.</v>
      </c>
      <c r="E1581" s="1738">
        <f t="shared" si="483"/>
        <v>0</v>
      </c>
      <c r="F1581" s="1741">
        <f ca="1">OFFSET('Tabla IV.2.'!$H$39,H1581-1,I1581-1)</f>
        <v>0</v>
      </c>
      <c r="G1581" s="1738" t="str">
        <f ca="1">OFFSET('Tabla IV.2.'!$H$1,0,I1581-1)</f>
        <v>04</v>
      </c>
      <c r="H1581" s="1742">
        <f t="shared" si="489"/>
        <v>5</v>
      </c>
      <c r="I1581" s="1742">
        <f>+I1580+1</f>
        <v>4</v>
      </c>
      <c r="J1581" s="1742" t="str">
        <f ca="1">+'Tabla IV.2.'!$C$8</f>
        <v>Tabla IV.2.</v>
      </c>
      <c r="K1581" s="1742" t="str">
        <f t="shared" si="486"/>
        <v>C</v>
      </c>
      <c r="L1581" s="1738"/>
    </row>
    <row r="1582" spans="1:12">
      <c r="A1582" s="1738" t="s">
        <v>4237</v>
      </c>
      <c r="B1582" s="1739" t="str">
        <f t="shared" si="490"/>
        <v>202001</v>
      </c>
      <c r="C1582" s="1739" t="s">
        <v>230</v>
      </c>
      <c r="D1582" s="1740" t="str">
        <f t="shared" ca="1" si="488"/>
        <v>13.03.03.01.</v>
      </c>
      <c r="E1582" s="1738">
        <f t="shared" si="483"/>
        <v>0</v>
      </c>
      <c r="F1582" s="1741">
        <f ca="1">OFFSET('Tabla IV.2.'!$H$39,H1582-1,I1582-1)</f>
        <v>0</v>
      </c>
      <c r="G1582" s="1738" t="str">
        <f ca="1">OFFSET('Tabla IV.2.'!$H$1,0,I1582-1)</f>
        <v>05</v>
      </c>
      <c r="H1582" s="1742">
        <f t="shared" si="489"/>
        <v>5</v>
      </c>
      <c r="I1582" s="1742">
        <f>+I1581+1</f>
        <v>5</v>
      </c>
      <c r="J1582" s="1742" t="str">
        <f ca="1">+'Tabla IV.2.'!$C$8</f>
        <v>Tabla IV.2.</v>
      </c>
      <c r="K1582" s="1742" t="str">
        <f t="shared" si="486"/>
        <v>C</v>
      </c>
      <c r="L1582" s="1738"/>
    </row>
    <row r="1583" spans="1:12">
      <c r="A1583" s="1738" t="s">
        <v>4237</v>
      </c>
      <c r="B1583" s="1739" t="str">
        <f t="shared" si="490"/>
        <v>202001</v>
      </c>
      <c r="C1583" s="1739" t="s">
        <v>230</v>
      </c>
      <c r="D1583" s="1740" t="str">
        <f t="shared" ca="1" si="488"/>
        <v>13.03.03.01.</v>
      </c>
      <c r="E1583" s="1738">
        <f t="shared" si="483"/>
        <v>0</v>
      </c>
      <c r="F1583" s="1741">
        <f ca="1">OFFSET('Tabla IV.2.'!$H$39,H1583-1,I1583-1)</f>
        <v>0</v>
      </c>
      <c r="G1583" s="1738" t="str">
        <f ca="1">OFFSET('Tabla IV.2.'!$H$1,0,I1583-1)</f>
        <v>06</v>
      </c>
      <c r="H1583" s="1742">
        <f t="shared" si="489"/>
        <v>5</v>
      </c>
      <c r="I1583" s="1742">
        <f>+I1582+1</f>
        <v>6</v>
      </c>
      <c r="J1583" s="1742" t="str">
        <f ca="1">+'Tabla IV.2.'!$C$8</f>
        <v>Tabla IV.2.</v>
      </c>
      <c r="K1583" s="1742" t="str">
        <f t="shared" si="486"/>
        <v>C</v>
      </c>
      <c r="L1583" s="1738"/>
    </row>
    <row r="1584" spans="1:12">
      <c r="A1584" s="1743" t="s">
        <v>4237</v>
      </c>
      <c r="B1584" s="1744" t="str">
        <f t="shared" si="490"/>
        <v>202001</v>
      </c>
      <c r="C1584" s="1744" t="s">
        <v>230</v>
      </c>
      <c r="D1584" s="1745" t="str">
        <f ca="1">OFFSET('Tabla IV.2.'!$F$39,H1584-1,0)</f>
        <v>13.03.03.02.</v>
      </c>
      <c r="E1584" s="1743">
        <f t="shared" si="483"/>
        <v>0</v>
      </c>
      <c r="F1584" s="1746">
        <f ca="1">OFFSET('Tabla IV.2.'!$H$39,H1584-1,I1584-1)</f>
        <v>0</v>
      </c>
      <c r="G1584" s="1743" t="str">
        <f ca="1">OFFSET('Tabla IV.2.'!$H$1,0,I1584-1)</f>
        <v>01</v>
      </c>
      <c r="H1584" s="1747">
        <v>6</v>
      </c>
      <c r="I1584" s="1747">
        <v>1</v>
      </c>
      <c r="J1584" s="1747" t="str">
        <f ca="1">+'Tabla IV.2.'!$C$8</f>
        <v>Tabla IV.2.</v>
      </c>
      <c r="K1584" s="1747" t="s">
        <v>642</v>
      </c>
      <c r="L1584" s="1743">
        <v>12</v>
      </c>
    </row>
    <row r="1585" spans="1:12">
      <c r="A1585" s="1743" t="s">
        <v>4237</v>
      </c>
      <c r="B1585" s="1744" t="str">
        <f t="shared" si="490"/>
        <v>202001</v>
      </c>
      <c r="C1585" s="1744" t="s">
        <v>230</v>
      </c>
      <c r="D1585" s="1745" t="str">
        <f t="shared" ca="1" si="488"/>
        <v>13.03.03.02.</v>
      </c>
      <c r="E1585" s="1743">
        <f t="shared" si="483"/>
        <v>0</v>
      </c>
      <c r="F1585" s="1746">
        <f ca="1">OFFSET('Tabla IV.2.'!$H$39,H1585-1,I1585-1)</f>
        <v>0</v>
      </c>
      <c r="G1585" s="1743" t="str">
        <f ca="1">OFFSET('Tabla IV.2.'!$H$1,0,I1585-1)</f>
        <v>02</v>
      </c>
      <c r="H1585" s="1747">
        <f t="shared" si="489"/>
        <v>6</v>
      </c>
      <c r="I1585" s="1747">
        <f>+I1584+1</f>
        <v>2</v>
      </c>
      <c r="J1585" s="1747" t="str">
        <f ca="1">+'Tabla IV.2.'!$C$8</f>
        <v>Tabla IV.2.</v>
      </c>
      <c r="K1585" s="1747" t="str">
        <f t="shared" si="486"/>
        <v>C</v>
      </c>
      <c r="L1585" s="1743"/>
    </row>
    <row r="1586" spans="1:12">
      <c r="A1586" s="1743" t="s">
        <v>4237</v>
      </c>
      <c r="B1586" s="1744" t="str">
        <f t="shared" si="490"/>
        <v>202001</v>
      </c>
      <c r="C1586" s="1744" t="s">
        <v>230</v>
      </c>
      <c r="D1586" s="1745" t="str">
        <f t="shared" ca="1" si="488"/>
        <v>13.03.03.02.</v>
      </c>
      <c r="E1586" s="1743">
        <f t="shared" si="483"/>
        <v>0</v>
      </c>
      <c r="F1586" s="1746">
        <f ca="1">OFFSET('Tabla IV.2.'!$H$39,H1586-1,I1586-1)</f>
        <v>0</v>
      </c>
      <c r="G1586" s="1743" t="str">
        <f ca="1">OFFSET('Tabla IV.2.'!$H$1,0,I1586-1)</f>
        <v>03</v>
      </c>
      <c r="H1586" s="1747">
        <f t="shared" si="489"/>
        <v>6</v>
      </c>
      <c r="I1586" s="1747">
        <f>+I1585+1</f>
        <v>3</v>
      </c>
      <c r="J1586" s="1747" t="str">
        <f ca="1">+'Tabla IV.2.'!$C$8</f>
        <v>Tabla IV.2.</v>
      </c>
      <c r="K1586" s="1747" t="str">
        <f t="shared" si="486"/>
        <v>C</v>
      </c>
      <c r="L1586" s="1743"/>
    </row>
    <row r="1587" spans="1:12">
      <c r="A1587" s="1743" t="s">
        <v>4237</v>
      </c>
      <c r="B1587" s="1744" t="str">
        <f t="shared" si="490"/>
        <v>202001</v>
      </c>
      <c r="C1587" s="1744" t="s">
        <v>230</v>
      </c>
      <c r="D1587" s="1745" t="str">
        <f t="shared" ca="1" si="488"/>
        <v>13.03.03.02.</v>
      </c>
      <c r="E1587" s="1743">
        <f t="shared" si="483"/>
        <v>0</v>
      </c>
      <c r="F1587" s="1746">
        <f ca="1">OFFSET('Tabla IV.2.'!$H$39,H1587-1,I1587-1)</f>
        <v>0</v>
      </c>
      <c r="G1587" s="1743" t="str">
        <f ca="1">OFFSET('Tabla IV.2.'!$H$1,0,I1587-1)</f>
        <v>04</v>
      </c>
      <c r="H1587" s="1747">
        <f t="shared" si="489"/>
        <v>6</v>
      </c>
      <c r="I1587" s="1747">
        <f>+I1586+1</f>
        <v>4</v>
      </c>
      <c r="J1587" s="1747" t="str">
        <f ca="1">+'Tabla IV.2.'!$C$8</f>
        <v>Tabla IV.2.</v>
      </c>
      <c r="K1587" s="1747" t="str">
        <f t="shared" si="486"/>
        <v>C</v>
      </c>
      <c r="L1587" s="1743"/>
    </row>
    <row r="1588" spans="1:12">
      <c r="A1588" s="1743" t="s">
        <v>4237</v>
      </c>
      <c r="B1588" s="1744" t="str">
        <f t="shared" si="490"/>
        <v>202001</v>
      </c>
      <c r="C1588" s="1744" t="s">
        <v>230</v>
      </c>
      <c r="D1588" s="1745" t="str">
        <f t="shared" ca="1" si="488"/>
        <v>13.03.03.02.</v>
      </c>
      <c r="E1588" s="1743">
        <f t="shared" si="483"/>
        <v>0</v>
      </c>
      <c r="F1588" s="1746">
        <f ca="1">OFFSET('Tabla IV.2.'!$H$39,H1588-1,I1588-1)</f>
        <v>0</v>
      </c>
      <c r="G1588" s="1743" t="str">
        <f ca="1">OFFSET('Tabla IV.2.'!$H$1,0,I1588-1)</f>
        <v>05</v>
      </c>
      <c r="H1588" s="1747">
        <f t="shared" si="489"/>
        <v>6</v>
      </c>
      <c r="I1588" s="1747">
        <f>+I1587+1</f>
        <v>5</v>
      </c>
      <c r="J1588" s="1747" t="str">
        <f ca="1">+'Tabla IV.2.'!$C$8</f>
        <v>Tabla IV.2.</v>
      </c>
      <c r="K1588" s="1747" t="str">
        <f t="shared" si="486"/>
        <v>C</v>
      </c>
      <c r="L1588" s="1743"/>
    </row>
    <row r="1589" spans="1:12">
      <c r="A1589" s="1743" t="s">
        <v>4237</v>
      </c>
      <c r="B1589" s="1744" t="str">
        <f t="shared" si="490"/>
        <v>202001</v>
      </c>
      <c r="C1589" s="1744" t="s">
        <v>230</v>
      </c>
      <c r="D1589" s="1745" t="str">
        <f ca="1">+D1588</f>
        <v>13.03.03.02.</v>
      </c>
      <c r="E1589" s="1743">
        <f t="shared" si="483"/>
        <v>0</v>
      </c>
      <c r="F1589" s="1746">
        <f ca="1">OFFSET('Tabla IV.2.'!$H$39,H1589-1,I1589-1)</f>
        <v>0</v>
      </c>
      <c r="G1589" s="1743" t="str">
        <f ca="1">OFFSET('Tabla IV.2.'!$H$1,0,I1589-1)</f>
        <v>06</v>
      </c>
      <c r="H1589" s="1747">
        <f>+H1588</f>
        <v>6</v>
      </c>
      <c r="I1589" s="1747">
        <f>+I1588+1</f>
        <v>6</v>
      </c>
      <c r="J1589" s="1747" t="str">
        <f ca="1">+'Tabla IV.2.'!$C$8</f>
        <v>Tabla IV.2.</v>
      </c>
      <c r="K1589" s="1747" t="str">
        <f t="shared" si="486"/>
        <v>C</v>
      </c>
      <c r="L1589" s="1743"/>
    </row>
    <row r="1590" spans="1:12" s="113" customFormat="1">
      <c r="A1590" s="114" t="s">
        <v>4237</v>
      </c>
      <c r="B1590" s="597" t="str">
        <f t="shared" si="490"/>
        <v>202001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8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202001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8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202001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8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202001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8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202001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8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202001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8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202001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8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202001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8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202001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8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202001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8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202001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8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202001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8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202001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8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202001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8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5" customFormat="1">
      <c r="A1604" s="1789" t="s">
        <v>4237</v>
      </c>
      <c r="B1604" s="1790" t="str">
        <f t="shared" si="490"/>
        <v>202001</v>
      </c>
      <c r="C1604" s="1790" t="s">
        <v>230</v>
      </c>
      <c r="D1604" s="1791" t="str">
        <f ca="1">OFFSET('Tabla IV.2.'!$F$73,H1604-1,0)</f>
        <v>15.01.</v>
      </c>
      <c r="E1604" s="1789">
        <f t="shared" si="483"/>
        <v>0</v>
      </c>
      <c r="F1604" s="1792">
        <f ca="1">OFFSET('Tabla IV.2.'!$K$73,H1604-1,I1604-1)</f>
        <v>0</v>
      </c>
      <c r="G1604" s="1793" t="str">
        <f ca="1">OFFSET('Tabla IV.2.'!$H$1,0,I1604-1)</f>
        <v>01</v>
      </c>
      <c r="H1604" s="1794">
        <v>1</v>
      </c>
      <c r="I1604" s="1794">
        <v>1</v>
      </c>
      <c r="J1604" s="1794" t="str">
        <f ca="1">+'Tabla IV.2.'!$C$8</f>
        <v>Tabla IV.2.</v>
      </c>
      <c r="K1604" s="1794" t="s">
        <v>643</v>
      </c>
      <c r="L1604" s="1789">
        <v>15</v>
      </c>
    </row>
    <row r="1605" spans="1:12" s="1795" customFormat="1">
      <c r="A1605" s="1789" t="s">
        <v>4237</v>
      </c>
      <c r="B1605" s="1790" t="str">
        <f t="shared" si="490"/>
        <v>202001</v>
      </c>
      <c r="C1605" s="1790" t="s">
        <v>230</v>
      </c>
      <c r="D1605" s="1791" t="str">
        <f ca="1">OFFSET('Tabla IV.2.'!$F$73,H1605-1,0)</f>
        <v>15.01.01.</v>
      </c>
      <c r="E1605" s="1789">
        <f t="shared" si="483"/>
        <v>0</v>
      </c>
      <c r="F1605" s="1792">
        <f ca="1">OFFSET('Tabla IV.2.'!$K$73,H1605-1,I1605-1)</f>
        <v>0</v>
      </c>
      <c r="G1605" s="1793" t="str">
        <f ca="1">OFFSET('Tabla IV.2.'!$H$1,0,I1605-1)</f>
        <v>01</v>
      </c>
      <c r="H1605" s="1794">
        <f t="shared" ref="H1605:H1617" si="493">+H1604+1</f>
        <v>2</v>
      </c>
      <c r="I1605" s="1794">
        <v>1</v>
      </c>
      <c r="J1605" s="1794" t="str">
        <f ca="1">+'Tabla IV.2.'!$C$8</f>
        <v>Tabla IV.2.</v>
      </c>
      <c r="K1605" s="1794" t="str">
        <f t="shared" ref="K1605:K1617" si="494">+K1604</f>
        <v>D</v>
      </c>
      <c r="L1605" s="1789"/>
    </row>
    <row r="1606" spans="1:12" s="1795" customFormat="1">
      <c r="A1606" s="1789" t="s">
        <v>4237</v>
      </c>
      <c r="B1606" s="1790" t="str">
        <f t="shared" si="490"/>
        <v>202001</v>
      </c>
      <c r="C1606" s="1790" t="s">
        <v>230</v>
      </c>
      <c r="D1606" s="1791" t="str">
        <f ca="1">OFFSET('Tabla IV.2.'!$F$73,H1606-1,0)</f>
        <v>15.01.01.01.</v>
      </c>
      <c r="E1606" s="1789">
        <f t="shared" si="483"/>
        <v>0</v>
      </c>
      <c r="F1606" s="1792">
        <f ca="1">OFFSET('Tabla IV.2.'!$K$73,H1606-1,I1606-1)</f>
        <v>0</v>
      </c>
      <c r="G1606" s="1793" t="str">
        <f ca="1">OFFSET('Tabla IV.2.'!$H$1,0,I1606-1)</f>
        <v>01</v>
      </c>
      <c r="H1606" s="1794">
        <f t="shared" si="493"/>
        <v>3</v>
      </c>
      <c r="I1606" s="1794">
        <v>1</v>
      </c>
      <c r="J1606" s="1794" t="str">
        <f ca="1">+'Tabla IV.2.'!$C$8</f>
        <v>Tabla IV.2.</v>
      </c>
      <c r="K1606" s="1794" t="str">
        <f t="shared" si="494"/>
        <v>D</v>
      </c>
      <c r="L1606" s="1789"/>
    </row>
    <row r="1607" spans="1:12" s="1795" customFormat="1">
      <c r="A1607" s="1789" t="s">
        <v>4237</v>
      </c>
      <c r="B1607" s="1790" t="str">
        <f t="shared" si="490"/>
        <v>202001</v>
      </c>
      <c r="C1607" s="1790" t="s">
        <v>230</v>
      </c>
      <c r="D1607" s="1791" t="str">
        <f ca="1">OFFSET('Tabla IV.2.'!$F$73,H1607-1,0)</f>
        <v>15.01.01.02.</v>
      </c>
      <c r="E1607" s="1789">
        <f t="shared" si="483"/>
        <v>0</v>
      </c>
      <c r="F1607" s="1792">
        <f ca="1">OFFSET('Tabla IV.2.'!$K$73,H1607-1,I1607-1)</f>
        <v>0</v>
      </c>
      <c r="G1607" s="1793" t="str">
        <f ca="1">OFFSET('Tabla IV.2.'!$H$1,0,I1607-1)</f>
        <v>01</v>
      </c>
      <c r="H1607" s="1794">
        <f t="shared" si="493"/>
        <v>4</v>
      </c>
      <c r="I1607" s="1794">
        <v>1</v>
      </c>
      <c r="J1607" s="1794" t="str">
        <f ca="1">+'Tabla IV.2.'!$C$8</f>
        <v>Tabla IV.2.</v>
      </c>
      <c r="K1607" s="1794" t="str">
        <f t="shared" si="494"/>
        <v>D</v>
      </c>
      <c r="L1607" s="1789"/>
    </row>
    <row r="1608" spans="1:12" s="1795" customFormat="1">
      <c r="A1608" s="1789" t="s">
        <v>4237</v>
      </c>
      <c r="B1608" s="1790" t="str">
        <f t="shared" si="490"/>
        <v>202001</v>
      </c>
      <c r="C1608" s="1790" t="s">
        <v>230</v>
      </c>
      <c r="D1608" s="1791" t="str">
        <f ca="1">OFFSET('Tabla IV.2.'!$F$73,H1608-1,0)</f>
        <v>15.01.02.</v>
      </c>
      <c r="E1608" s="1789">
        <f t="shared" si="483"/>
        <v>0</v>
      </c>
      <c r="F1608" s="1792">
        <f ca="1">OFFSET('Tabla IV.2.'!$K$73,H1608-1,I1608-1)</f>
        <v>0</v>
      </c>
      <c r="G1608" s="1793" t="str">
        <f ca="1">OFFSET('Tabla IV.2.'!$H$1,0,I1608-1)</f>
        <v>01</v>
      </c>
      <c r="H1608" s="1794">
        <f t="shared" si="493"/>
        <v>5</v>
      </c>
      <c r="I1608" s="1794">
        <v>1</v>
      </c>
      <c r="J1608" s="1794" t="str">
        <f ca="1">+'Tabla IV.2.'!$C$8</f>
        <v>Tabla IV.2.</v>
      </c>
      <c r="K1608" s="1794" t="str">
        <f t="shared" si="494"/>
        <v>D</v>
      </c>
      <c r="L1608" s="1789"/>
    </row>
    <row r="1609" spans="1:12" s="1795" customFormat="1">
      <c r="A1609" s="1789" t="s">
        <v>4237</v>
      </c>
      <c r="B1609" s="1790" t="str">
        <f t="shared" si="490"/>
        <v>202001</v>
      </c>
      <c r="C1609" s="1790" t="s">
        <v>230</v>
      </c>
      <c r="D1609" s="1791" t="str">
        <f ca="1">OFFSET('Tabla IV.2.'!$F$73,H1609-1,0)</f>
        <v>15.01.02.01</v>
      </c>
      <c r="E1609" s="1789">
        <f t="shared" si="483"/>
        <v>0</v>
      </c>
      <c r="F1609" s="1792">
        <f ca="1">OFFSET('Tabla IV.2.'!$K$73,H1609-1,I1609-1)</f>
        <v>0</v>
      </c>
      <c r="G1609" s="1793" t="str">
        <f ca="1">OFFSET('Tabla IV.2.'!$H$1,0,I1609-1)</f>
        <v>01</v>
      </c>
      <c r="H1609" s="1794">
        <f t="shared" si="493"/>
        <v>6</v>
      </c>
      <c r="I1609" s="1794">
        <v>1</v>
      </c>
      <c r="J1609" s="1794" t="str">
        <f ca="1">+'Tabla IV.2.'!$C$8</f>
        <v>Tabla IV.2.</v>
      </c>
      <c r="K1609" s="1794" t="str">
        <f t="shared" si="494"/>
        <v>D</v>
      </c>
      <c r="L1609" s="1789"/>
    </row>
    <row r="1610" spans="1:12" s="1795" customFormat="1">
      <c r="A1610" s="1789" t="s">
        <v>4237</v>
      </c>
      <c r="B1610" s="1790" t="str">
        <f t="shared" si="490"/>
        <v>202001</v>
      </c>
      <c r="C1610" s="1790" t="s">
        <v>230</v>
      </c>
      <c r="D1610" s="1791" t="str">
        <f ca="1">OFFSET('Tabla IV.2.'!$F$73,H1610-1,0)</f>
        <v>15.01.02.02</v>
      </c>
      <c r="E1610" s="1789">
        <f t="shared" si="483"/>
        <v>0</v>
      </c>
      <c r="F1610" s="1792">
        <f ca="1">OFFSET('Tabla IV.2.'!$K$73,H1610-1,I1610-1)</f>
        <v>0</v>
      </c>
      <c r="G1610" s="1793" t="str">
        <f ca="1">OFFSET('Tabla IV.2.'!$H$1,0,I1610-1)</f>
        <v>01</v>
      </c>
      <c r="H1610" s="1794">
        <f t="shared" si="493"/>
        <v>7</v>
      </c>
      <c r="I1610" s="1794">
        <v>1</v>
      </c>
      <c r="J1610" s="1794" t="str">
        <f ca="1">+'Tabla IV.2.'!$C$8</f>
        <v>Tabla IV.2.</v>
      </c>
      <c r="K1610" s="1794" t="str">
        <f t="shared" si="494"/>
        <v>D</v>
      </c>
      <c r="L1610" s="1789"/>
    </row>
    <row r="1611" spans="1:12" s="1795" customFormat="1">
      <c r="A1611" s="1789" t="s">
        <v>4237</v>
      </c>
      <c r="B1611" s="1790" t="str">
        <f t="shared" si="490"/>
        <v>202001</v>
      </c>
      <c r="C1611" s="1790" t="s">
        <v>230</v>
      </c>
      <c r="D1611" s="1791" t="str">
        <f ca="1">OFFSET('Tabla IV.2.'!$F$73,H1611-1,0)</f>
        <v>15.02.</v>
      </c>
      <c r="E1611" s="1789">
        <f t="shared" si="483"/>
        <v>0</v>
      </c>
      <c r="F1611" s="1792">
        <f ca="1">OFFSET('Tabla IV.2.'!$K$73,H1611-1,I1611-1)</f>
        <v>0</v>
      </c>
      <c r="G1611" s="1793" t="str">
        <f ca="1">OFFSET('Tabla IV.2.'!$H$1,0,I1611-1)</f>
        <v>01</v>
      </c>
      <c r="H1611" s="1794">
        <f t="shared" si="493"/>
        <v>8</v>
      </c>
      <c r="I1611" s="1794">
        <v>1</v>
      </c>
      <c r="J1611" s="1794" t="str">
        <f ca="1">+'Tabla IV.2.'!$C$8</f>
        <v>Tabla IV.2.</v>
      </c>
      <c r="K1611" s="1794" t="str">
        <f t="shared" si="494"/>
        <v>D</v>
      </c>
      <c r="L1611" s="1789"/>
    </row>
    <row r="1612" spans="1:12" s="1795" customFormat="1">
      <c r="A1612" s="1789" t="s">
        <v>4237</v>
      </c>
      <c r="B1612" s="1790" t="str">
        <f t="shared" si="490"/>
        <v>202001</v>
      </c>
      <c r="C1612" s="1790" t="s">
        <v>230</v>
      </c>
      <c r="D1612" s="1791" t="str">
        <f ca="1">OFFSET('Tabla IV.2.'!$F$73,H1612-1,0)</f>
        <v>15.02.01.</v>
      </c>
      <c r="E1612" s="1789">
        <f t="shared" si="483"/>
        <v>0</v>
      </c>
      <c r="F1612" s="1792">
        <f ca="1">OFFSET('Tabla IV.2.'!$K$73,H1612-1,I1612-1)</f>
        <v>0</v>
      </c>
      <c r="G1612" s="1793" t="str">
        <f ca="1">OFFSET('Tabla IV.2.'!$H$1,0,I1612-1)</f>
        <v>01</v>
      </c>
      <c r="H1612" s="1794">
        <f t="shared" si="493"/>
        <v>9</v>
      </c>
      <c r="I1612" s="1794">
        <v>1</v>
      </c>
      <c r="J1612" s="1794" t="str">
        <f ca="1">+'Tabla IV.2.'!$C$8</f>
        <v>Tabla IV.2.</v>
      </c>
      <c r="K1612" s="1794" t="str">
        <f t="shared" si="494"/>
        <v>D</v>
      </c>
      <c r="L1612" s="1789"/>
    </row>
    <row r="1613" spans="1:12" s="1795" customFormat="1">
      <c r="A1613" s="1789" t="s">
        <v>4237</v>
      </c>
      <c r="B1613" s="1790" t="str">
        <f t="shared" si="490"/>
        <v>202001</v>
      </c>
      <c r="C1613" s="1790" t="s">
        <v>230</v>
      </c>
      <c r="D1613" s="1791" t="str">
        <f ca="1">OFFSET('Tabla IV.2.'!$F$73,H1613-1,0)</f>
        <v>15.02.01.01.</v>
      </c>
      <c r="E1613" s="1789">
        <f t="shared" si="483"/>
        <v>0</v>
      </c>
      <c r="F1613" s="1792">
        <f ca="1">OFFSET('Tabla IV.2.'!$K$73,H1613-1,I1613-1)</f>
        <v>0</v>
      </c>
      <c r="G1613" s="1793" t="str">
        <f ca="1">OFFSET('Tabla IV.2.'!$H$1,0,I1613-1)</f>
        <v>01</v>
      </c>
      <c r="H1613" s="1794">
        <f t="shared" si="493"/>
        <v>10</v>
      </c>
      <c r="I1613" s="1794">
        <v>1</v>
      </c>
      <c r="J1613" s="1794" t="str">
        <f ca="1">+'Tabla IV.2.'!$C$8</f>
        <v>Tabla IV.2.</v>
      </c>
      <c r="K1613" s="1794" t="str">
        <f t="shared" si="494"/>
        <v>D</v>
      </c>
      <c r="L1613" s="1789"/>
    </row>
    <row r="1614" spans="1:12" s="1795" customFormat="1">
      <c r="A1614" s="1789" t="s">
        <v>4237</v>
      </c>
      <c r="B1614" s="1790" t="str">
        <f t="shared" si="490"/>
        <v>202001</v>
      </c>
      <c r="C1614" s="1790" t="s">
        <v>230</v>
      </c>
      <c r="D1614" s="1791" t="str">
        <f ca="1">OFFSET('Tabla IV.2.'!$F$73,H1614-1,0)</f>
        <v>15.02.01.02.</v>
      </c>
      <c r="E1614" s="1789">
        <f t="shared" si="483"/>
        <v>0</v>
      </c>
      <c r="F1614" s="1792">
        <f ca="1">OFFSET('Tabla IV.2.'!$K$73,H1614-1,I1614-1)</f>
        <v>0</v>
      </c>
      <c r="G1614" s="1793" t="str">
        <f ca="1">OFFSET('Tabla IV.2.'!$H$1,0,I1614-1)</f>
        <v>01</v>
      </c>
      <c r="H1614" s="1794">
        <f t="shared" si="493"/>
        <v>11</v>
      </c>
      <c r="I1614" s="1794">
        <v>1</v>
      </c>
      <c r="J1614" s="1794" t="str">
        <f ca="1">+'Tabla IV.2.'!$C$8</f>
        <v>Tabla IV.2.</v>
      </c>
      <c r="K1614" s="1794" t="str">
        <f t="shared" si="494"/>
        <v>D</v>
      </c>
      <c r="L1614" s="1789"/>
    </row>
    <row r="1615" spans="1:12" s="1795" customFormat="1">
      <c r="A1615" s="1789" t="s">
        <v>4237</v>
      </c>
      <c r="B1615" s="1790" t="str">
        <f t="shared" si="490"/>
        <v>202001</v>
      </c>
      <c r="C1615" s="1790" t="s">
        <v>230</v>
      </c>
      <c r="D1615" s="1791" t="str">
        <f ca="1">OFFSET('Tabla IV.2.'!$F$73,H1615-1,0)</f>
        <v>15.02.02.</v>
      </c>
      <c r="E1615" s="1789">
        <f t="shared" si="483"/>
        <v>0</v>
      </c>
      <c r="F1615" s="1792">
        <f ca="1">OFFSET('Tabla IV.2.'!$K$73,H1615-1,I1615-1)</f>
        <v>0</v>
      </c>
      <c r="G1615" s="1793" t="str">
        <f ca="1">OFFSET('Tabla IV.2.'!$H$1,0,I1615-1)</f>
        <v>01</v>
      </c>
      <c r="H1615" s="1794">
        <f t="shared" si="493"/>
        <v>12</v>
      </c>
      <c r="I1615" s="1794">
        <v>1</v>
      </c>
      <c r="J1615" s="1794" t="str">
        <f ca="1">+'Tabla IV.2.'!$C$8</f>
        <v>Tabla IV.2.</v>
      </c>
      <c r="K1615" s="1794" t="str">
        <f t="shared" si="494"/>
        <v>D</v>
      </c>
      <c r="L1615" s="1789"/>
    </row>
    <row r="1616" spans="1:12" s="1795" customFormat="1">
      <c r="A1616" s="1789" t="s">
        <v>4237</v>
      </c>
      <c r="B1616" s="1790" t="str">
        <f t="shared" si="490"/>
        <v>202001</v>
      </c>
      <c r="C1616" s="1790" t="s">
        <v>230</v>
      </c>
      <c r="D1616" s="1791" t="str">
        <f ca="1">OFFSET('Tabla IV.2.'!$F$73,H1616-1,0)</f>
        <v>15.02.02.01</v>
      </c>
      <c r="E1616" s="1789">
        <f t="shared" si="483"/>
        <v>0</v>
      </c>
      <c r="F1616" s="1792">
        <f ca="1">OFFSET('Tabla IV.2.'!$K$73,H1616-1,I1616-1)</f>
        <v>0</v>
      </c>
      <c r="G1616" s="1793" t="str">
        <f ca="1">OFFSET('Tabla IV.2.'!$H$1,0,I1616-1)</f>
        <v>01</v>
      </c>
      <c r="H1616" s="1794">
        <f t="shared" si="493"/>
        <v>13</v>
      </c>
      <c r="I1616" s="1794">
        <v>1</v>
      </c>
      <c r="J1616" s="1794" t="str">
        <f ca="1">+'Tabla IV.2.'!$C$8</f>
        <v>Tabla IV.2.</v>
      </c>
      <c r="K1616" s="1794" t="str">
        <f t="shared" si="494"/>
        <v>D</v>
      </c>
      <c r="L1616" s="1789"/>
    </row>
    <row r="1617" spans="1:13" s="1795" customFormat="1">
      <c r="A1617" s="1789" t="s">
        <v>4237</v>
      </c>
      <c r="B1617" s="1790" t="str">
        <f t="shared" si="490"/>
        <v>202001</v>
      </c>
      <c r="C1617" s="1790" t="s">
        <v>230</v>
      </c>
      <c r="D1617" s="1791" t="str">
        <f ca="1">OFFSET('Tabla IV.2.'!$F$73,H1617-1,0)</f>
        <v>15.02.02.02</v>
      </c>
      <c r="E1617" s="1789">
        <f t="shared" si="483"/>
        <v>0</v>
      </c>
      <c r="F1617" s="1792">
        <f ca="1">OFFSET('Tabla IV.2.'!$K$73,H1617-1,I1617-1)</f>
        <v>0</v>
      </c>
      <c r="G1617" s="1793" t="str">
        <f ca="1">OFFSET('Tabla IV.2.'!$H$1,0,I1617-1)</f>
        <v>01</v>
      </c>
      <c r="H1617" s="1794">
        <f t="shared" si="493"/>
        <v>14</v>
      </c>
      <c r="I1617" s="1794">
        <v>1</v>
      </c>
      <c r="J1617" s="1794" t="str">
        <f ca="1">+'Tabla IV.2.'!$C$8</f>
        <v>Tabla IV.2.</v>
      </c>
      <c r="K1617" s="1794" t="str">
        <f t="shared" si="494"/>
        <v>D</v>
      </c>
      <c r="L1617" s="1789"/>
    </row>
    <row r="1618" spans="1:13">
      <c r="A1618" s="125" t="s">
        <v>4237</v>
      </c>
      <c r="B1618" s="123" t="str">
        <f t="shared" si="490"/>
        <v>202001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202001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202001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202001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202001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202001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202001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202001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202001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202001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202001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202001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202001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202001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202001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202001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201904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202001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202001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202001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202001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202001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202001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202001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201904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202001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202001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202001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202001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202001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202001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202001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201904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202001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202001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202001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202001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202001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202001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202001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201904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202001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202001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202001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202001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202001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202001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202001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201904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202001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202001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202001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202001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202001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202001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202001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201904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202001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202001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202001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202001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202001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202001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202001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201904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202001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202001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202001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202001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202001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202001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202001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201904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201904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202001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202001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202001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202001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202001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202001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202001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202001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201904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201904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202001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202001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202001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201904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201904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202001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202001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202001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6" t="s">
        <v>4237</v>
      </c>
      <c r="B1710" s="2087" t="str">
        <f t="shared" ca="1" si="511"/>
        <v>201904</v>
      </c>
      <c r="C1710" s="2087" t="str">
        <f t="shared" ca="1" si="515"/>
        <v>v2</v>
      </c>
      <c r="D1710" s="2088" t="str">
        <f ca="1">OFFSET('Tabla VI.'!$F$48,H1710-1,0)</f>
        <v>18.01.01.02</v>
      </c>
      <c r="E1710" s="2086">
        <f t="shared" si="516"/>
        <v>0</v>
      </c>
      <c r="F1710" s="2089">
        <f ca="1">OFFSET('Tabla VI.'!$H$48,H1710-1,I1710-1)</f>
        <v>0</v>
      </c>
      <c r="G1710" s="2086" t="str">
        <f ca="1">OFFSET('Tabla VI.'!$H$1,0,I1710-1)</f>
        <v>01</v>
      </c>
      <c r="H1710" s="2090">
        <v>4</v>
      </c>
      <c r="I1710" s="2090">
        <v>1</v>
      </c>
      <c r="J1710" s="2090" t="str">
        <f ca="1">+'Tabla VI.'!$C$10</f>
        <v>Tabla VI.</v>
      </c>
      <c r="K1710" s="2090" t="str">
        <f>+K1709</f>
        <v>B</v>
      </c>
      <c r="L1710" s="2086">
        <f>+L1705+1</f>
        <v>4</v>
      </c>
    </row>
    <row r="1711" spans="1:14">
      <c r="A1711" s="2091" t="s">
        <v>4237</v>
      </c>
      <c r="B1711" s="2092" t="str">
        <f t="shared" ca="1" si="511"/>
        <v>201904</v>
      </c>
      <c r="C1711" s="2092" t="str">
        <f t="shared" ca="1" si="515"/>
        <v>v2</v>
      </c>
      <c r="D1711" s="2093" t="str">
        <f ca="1">OFFSET('Tabla VI.'!$F$48,H1711-1,0)</f>
        <v>18.01.01.02</v>
      </c>
      <c r="E1711" s="2091">
        <f t="shared" si="516"/>
        <v>0</v>
      </c>
      <c r="F1711" s="2094">
        <f ca="1">OFFSET('Tabla VI.'!$H$48,H1711-1,I1711-1)</f>
        <v>0</v>
      </c>
      <c r="G1711" s="2091" t="str">
        <f ca="1">OFFSET('Tabla VI.'!$H$1,0,I1711-1)</f>
        <v>02</v>
      </c>
      <c r="H1711" s="2095">
        <v>4</v>
      </c>
      <c r="I1711" s="2095">
        <v>2</v>
      </c>
      <c r="J1711" s="2095" t="str">
        <f ca="1">+'Tabla VI.'!$C$10</f>
        <v>Tabla VI.</v>
      </c>
      <c r="K1711" s="2095" t="str">
        <f>+K1709</f>
        <v>B</v>
      </c>
      <c r="L1711" s="2091"/>
    </row>
    <row r="1712" spans="1:14">
      <c r="A1712" s="2086" t="s">
        <v>4237</v>
      </c>
      <c r="B1712" s="2087" t="str">
        <f t="shared" ca="1" si="511"/>
        <v>202001</v>
      </c>
      <c r="C1712" s="2087" t="str">
        <f t="shared" ca="1" si="515"/>
        <v>v1</v>
      </c>
      <c r="D1712" s="2088" t="str">
        <f ca="1">+D1710</f>
        <v>18.01.01.02</v>
      </c>
      <c r="E1712" s="2086">
        <f t="shared" si="516"/>
        <v>0</v>
      </c>
      <c r="F1712" s="2089">
        <f ca="1">OFFSET('Tabla VI.'!$H$48,H1712-1,I1712-1)</f>
        <v>0</v>
      </c>
      <c r="G1712" s="2086" t="str">
        <f ca="1">OFFSET('Tabla VI.'!$H$1,0,I1712-1)</f>
        <v>03</v>
      </c>
      <c r="H1712" s="2090">
        <v>4</v>
      </c>
      <c r="I1712" s="2090">
        <v>3</v>
      </c>
      <c r="J1712" s="2090" t="str">
        <f ca="1">+'Tabla VI.'!$C$10</f>
        <v>Tabla VI.</v>
      </c>
      <c r="K1712" s="2090" t="str">
        <f>+K1710</f>
        <v>B</v>
      </c>
      <c r="L1712" s="2086"/>
    </row>
    <row r="1713" spans="1:12">
      <c r="A1713" s="2091" t="s">
        <v>4237</v>
      </c>
      <c r="B1713" s="2092" t="str">
        <f t="shared" ref="B1713" ca="1" si="517">IF(OR(G1713="01",G1713="02"),(IF(TRIM&gt;1,CONCATENATE(ANUAL,"0",TRIM-1),CONCATENATE(ANUAL-1,"04"))),PERIODO)</f>
        <v>202001</v>
      </c>
      <c r="C1713" s="2092" t="str">
        <f t="shared" ref="C1713" ca="1" si="518">IF(OR(G1713="01",G1713="02"),"v2","v1")</f>
        <v>v1</v>
      </c>
      <c r="D1713" s="2093" t="str">
        <f ca="1">OFFSET('Tabla VI.'!$F$48,H1713-1,0)</f>
        <v>18.01.01.02</v>
      </c>
      <c r="E1713" s="2091">
        <f t="shared" si="516"/>
        <v>0</v>
      </c>
      <c r="F1713" s="2094">
        <f ca="1">OFFSET('Tabla VI.'!$H$48,H1713-1,I1713-1)</f>
        <v>0</v>
      </c>
      <c r="G1713" s="2091" t="str">
        <f ca="1">OFFSET('Tabla VI.'!$H$1,0,I1713-1)</f>
        <v>09</v>
      </c>
      <c r="H1713" s="2095">
        <v>4</v>
      </c>
      <c r="I1713" s="2095">
        <v>9</v>
      </c>
      <c r="J1713" s="2095" t="str">
        <f ca="1">+'Tabla VI.'!$C$10</f>
        <v>Tabla VI.</v>
      </c>
      <c r="K1713" s="2095" t="str">
        <f>+K1711</f>
        <v>B</v>
      </c>
      <c r="L1713" s="2091"/>
    </row>
    <row r="1714" spans="1:12">
      <c r="A1714" s="2086" t="s">
        <v>4237</v>
      </c>
      <c r="B1714" s="2087" t="str">
        <f t="shared" ca="1" si="511"/>
        <v>202001</v>
      </c>
      <c r="C1714" s="2087" t="str">
        <f t="shared" ca="1" si="515"/>
        <v>v1</v>
      </c>
      <c r="D1714" s="2088" t="str">
        <f ca="1">+D1712</f>
        <v>18.01.01.02</v>
      </c>
      <c r="E1714" s="2086">
        <f t="shared" si="516"/>
        <v>0</v>
      </c>
      <c r="F1714" s="2089">
        <f ca="1">OFFSET('Tabla VI.'!$H$48,H1714-1,I1714-1)</f>
        <v>0</v>
      </c>
      <c r="G1714" s="2086" t="str">
        <f ca="1">OFFSET('Tabla VI.'!$H$1,0,I1714-1)</f>
        <v>10</v>
      </c>
      <c r="H1714" s="2090">
        <v>4</v>
      </c>
      <c r="I1714" s="2090">
        <v>10</v>
      </c>
      <c r="J1714" s="2090" t="str">
        <f ca="1">+'Tabla VI.'!$C$10</f>
        <v>Tabla VI.</v>
      </c>
      <c r="K1714" s="2090" t="str">
        <f>+K1710</f>
        <v>B</v>
      </c>
      <c r="L1714" s="2086"/>
    </row>
    <row r="1715" spans="1:12" s="113" customFormat="1">
      <c r="A1715" s="114" t="s">
        <v>4237</v>
      </c>
      <c r="B1715" s="597" t="str">
        <f t="shared" ca="1" si="511"/>
        <v>201904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201904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202001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202001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202001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201904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201904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202001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202001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202001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201904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201904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202001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202001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202001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201904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201904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202001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202001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202001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>
        <f>IF(TRIM=1,ANUAL-1,ANUAL&amp;"0"&amp;TRIM-1)</f>
        <v>2019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>
        <f>IF(TRIM=1,ANUAL-1,ANUAL&amp;"0"&amp;TRIM)</f>
        <v>2019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>
        <f>IF(TRIM=1,ANUAL-1,ANUAL&amp;"0"&amp;TRIM-1)</f>
        <v>2019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>
        <f>IF(TRIM=1,ANUAL-1,ANUAL&amp;"0"&amp;TRIM)</f>
        <v>2019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>
        <f>IF(TRIM=1,ANUAL-1,ANUAL&amp;"0"&amp;TRIM-1)</f>
        <v>2019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>
        <f>IF(TRIM=1,ANUAL-1,ANUAL&amp;"0"&amp;TRIM)</f>
        <v>2019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>
        <f>IF(TRIM=1,ANUAL-1,ANUAL&amp;"0"&amp;TRIM-1)</f>
        <v>2019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>
        <f>IF(TRIM=1,ANUAL-1,ANUAL&amp;"0"&amp;TRIM)</f>
        <v>2019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>
        <f>IF(TRIM=1,ANUAL-1,ANUAL&amp;"0"&amp;TRIM-1)</f>
        <v>2019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>
        <f>IF(TRIM=1,ANUAL-1,ANUAL&amp;"0"&amp;TRIM)</f>
        <v>2019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>
        <f>IF(TRIM=1,ANUAL-1,ANUAL&amp;"0"&amp;TRIM-1)</f>
        <v>2019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>
        <f>IF(TRIM=1,ANUAL-1,ANUAL&amp;"0"&amp;TRIM)</f>
        <v>2019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>
        <f>IF(TRIM=1,ANUAL-1,ANUAL&amp;"0"&amp;TRIM-1)</f>
        <v>2019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>
        <f>IF(TRIM=1,ANUAL-1,ANUAL&amp;"0"&amp;TRIM)</f>
        <v>2019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>
        <f>IF(TRIM=1,ANUAL-1,ANUAL&amp;"0"&amp;TRIM-1)</f>
        <v>2019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>
        <f>IF(TRIM=1,ANUAL-1,ANUAL&amp;"0"&amp;TRIM)</f>
        <v>2019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>
        <f>IF(TRIM=1,ANUAL-1,ANUAL&amp;"0"&amp;TRIM-1)</f>
        <v>2019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>
        <f>IF(TRIM=1,ANUAL-1,ANUAL&amp;"0"&amp;TRIM)</f>
        <v>2019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202001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202001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202001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202001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202001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202001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202001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202001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17" zoomScale="80" zoomScaleNormal="80" workbookViewId="0">
      <selection activeCell="E7" sqref="E7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07"/>
      <c r="E2" s="2008"/>
      <c r="F2" s="2009"/>
    </row>
    <row r="3" spans="1:19" ht="30">
      <c r="B3" s="150" t="str">
        <f ca="1">RIGHT(CELL("nombrearchivo",A1),LEN(CELL("nombrearchivo",A1))-SEARCH("]",CELL("nombrearchivo",A1)))</f>
        <v>TCambioSalida</v>
      </c>
      <c r="C3" s="136"/>
      <c r="D3" s="2010" t="s">
        <v>4264</v>
      </c>
      <c r="E3" s="2005"/>
      <c r="F3" s="2011"/>
    </row>
    <row r="4" spans="1:19" ht="15" customHeight="1">
      <c r="C4" s="136"/>
      <c r="D4" s="2012"/>
      <c r="E4" s="2006"/>
      <c r="F4" s="2013"/>
    </row>
    <row r="5" spans="1:19" s="38" customFormat="1" ht="30" customHeight="1" thickBot="1">
      <c r="A5" s="103"/>
      <c r="B5" s="103"/>
      <c r="C5" s="103"/>
      <c r="D5" s="2453" t="s">
        <v>4178</v>
      </c>
      <c r="E5" s="2454"/>
      <c r="F5" s="2455"/>
    </row>
    <row r="6" spans="1:19" s="38" customFormat="1" ht="30.75" customHeight="1" thickTop="1" thickBot="1">
      <c r="A6" s="103"/>
      <c r="B6" s="103"/>
      <c r="C6" s="103"/>
      <c r="D6" s="1920"/>
      <c r="E6" s="1919" t="str">
        <f>CONCATENATE(IF(TRIM=1,CONCATENATE("4T",Menu!C3-1),CONCATENATE(TRIM-1,"T",Menu!C3)))</f>
        <v>4T2019</v>
      </c>
      <c r="F6" s="1917" t="str">
        <f>CONCATENATE(Menu!D3,"T",Menu!C3)</f>
        <v>1T2020</v>
      </c>
    </row>
    <row r="7" spans="1:19" s="51" customFormat="1" ht="33" customHeight="1" thickTop="1">
      <c r="A7" s="137"/>
      <c r="B7" s="137"/>
      <c r="C7" s="137"/>
      <c r="D7" s="1921" t="s">
        <v>4244</v>
      </c>
      <c r="E7" s="1925">
        <f>1/VLOOKUP($E$6,TCambio!$D$4:$F$17,3,FALSE)</f>
        <v>0.30175015087507545</v>
      </c>
      <c r="F7" s="1926">
        <f>1/VLOOKUP($F$6,TCambio!$D$4:$F$17,3,FALSE)</f>
        <v>0.29048656499636893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2" t="s">
        <v>4245</v>
      </c>
      <c r="E8" s="1923">
        <f>1/VLOOKUP($E$6,TCambio!$D$4:$F$17,2,FALSE)</f>
        <v>0.29755289630102316</v>
      </c>
      <c r="F8" s="1924">
        <f>1/VLOOKUP($F$6,TCambio!$D$4:$F$17,2,FALSE)</f>
        <v>0.29382328365883442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7"/>
      <c r="E10" s="2008"/>
      <c r="F10" s="2009"/>
    </row>
    <row r="11" spans="1:19" ht="30">
      <c r="B11" s="38"/>
      <c r="C11" s="136"/>
      <c r="D11" s="2010" t="s">
        <v>4265</v>
      </c>
      <c r="E11" s="2005"/>
      <c r="F11" s="2011"/>
    </row>
    <row r="12" spans="1:19" ht="15" customHeight="1">
      <c r="C12" s="136"/>
      <c r="D12" s="2012"/>
      <c r="E12" s="2006"/>
      <c r="F12" s="2013"/>
    </row>
    <row r="13" spans="1:19" s="38" customFormat="1" ht="30" customHeight="1" thickBot="1">
      <c r="A13" s="103"/>
      <c r="B13" s="103"/>
      <c r="C13" s="103"/>
      <c r="D13" s="2453" t="s">
        <v>4269</v>
      </c>
      <c r="E13" s="2454"/>
      <c r="F13" s="2455"/>
    </row>
    <row r="14" spans="1:19" s="38" customFormat="1" ht="30.75" customHeight="1" thickTop="1" thickBot="1">
      <c r="A14" s="103"/>
      <c r="B14" s="103"/>
      <c r="C14" s="103"/>
      <c r="D14" s="297"/>
      <c r="E14" s="1918" t="str">
        <f>+E6</f>
        <v>4T2019</v>
      </c>
      <c r="F14" s="1917" t="str">
        <f>+F6</f>
        <v>1T2020</v>
      </c>
    </row>
    <row r="15" spans="1:19" s="51" customFormat="1" ht="33" customHeight="1" thickTop="1">
      <c r="A15" s="137"/>
      <c r="B15" s="137"/>
      <c r="C15" s="137"/>
      <c r="D15" s="1921" t="str">
        <f>+$D$7</f>
        <v xml:space="preserve">  1. TIPO DE CAMBIO DE FIN DE PERIODO (PARA SALDOS)</v>
      </c>
      <c r="E15" s="1925">
        <f>VLOOKUP($E$14,TCambio!$J$4:$L$17,3,FALSE)/VLOOKUP($E$6,TCambio!$D$4:$F$17,3,FALSE)</f>
        <v>1.1223340374170188</v>
      </c>
      <c r="F15" s="1926">
        <f>VLOOKUP($F$14,TCambio!$J$4:$L$17,3,FALSE)/VLOOKUP($F$6,TCambio!$D$4:$F$17,3,FALSE)</f>
        <v>1.1005083514887437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2" t="str">
        <f>+$D$8</f>
        <v xml:space="preserve">  2. TIPO DE  CAMBIO PROMEDIO (PARA FLUJOS)</v>
      </c>
      <c r="E16" s="1923">
        <f>VLOOKUP($E$14,TCambio!$J$4:$L$17,2,FALSE)/VLOOKUP($E$6,TCambio!$D$4:$F$17,2,FALSE)</f>
        <v>1.1056187271906002</v>
      </c>
      <c r="F16" s="1924">
        <f>VLOOKUP($F$14,TCambio!$J$4:$L$17,2,FALSE)/VLOOKUP($F$6,TCambio!$D$4:$F$17,2,FALSE)</f>
        <v>1.1117308946000788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7"/>
      <c r="E18" s="2008"/>
      <c r="F18" s="2009"/>
    </row>
    <row r="19" spans="1:19" ht="30">
      <c r="B19" s="38"/>
      <c r="C19" s="136"/>
      <c r="D19" s="2010" t="s">
        <v>4266</v>
      </c>
      <c r="E19" s="2005"/>
      <c r="F19" s="2011"/>
    </row>
    <row r="20" spans="1:19" ht="15" customHeight="1">
      <c r="C20" s="136"/>
      <c r="D20" s="2012"/>
      <c r="E20" s="2006"/>
      <c r="F20" s="2013"/>
    </row>
    <row r="21" spans="1:19" s="38" customFormat="1" ht="30" customHeight="1" thickBot="1">
      <c r="A21" s="103"/>
      <c r="B21" s="103"/>
      <c r="C21" s="103"/>
      <c r="D21" s="2453" t="s">
        <v>4270</v>
      </c>
      <c r="E21" s="2454"/>
      <c r="F21" s="2455"/>
    </row>
    <row r="22" spans="1:19" s="38" customFormat="1" ht="30.75" customHeight="1" thickTop="1" thickBot="1">
      <c r="A22" s="103"/>
      <c r="B22" s="103"/>
      <c r="C22" s="103"/>
      <c r="D22" s="297"/>
      <c r="E22" s="1918" t="str">
        <f>+E6</f>
        <v>4T2019</v>
      </c>
      <c r="F22" s="1917" t="str">
        <f>+F6</f>
        <v>1T2020</v>
      </c>
    </row>
    <row r="23" spans="1:19" s="51" customFormat="1" ht="33" customHeight="1" thickTop="1">
      <c r="A23" s="137"/>
      <c r="B23" s="137"/>
      <c r="C23" s="137"/>
      <c r="D23" s="1921" t="str">
        <f>+$D$7</f>
        <v xml:space="preserve">  1. TIPO DE CAMBIO DE FIN DE PERIODO (PARA SALDOS)</v>
      </c>
      <c r="E23" s="1927">
        <f>VLOOKUP($E$22,TCambio!$P$4:$R$17,3,FALSE)/VLOOKUP($E$6,TCambio!$D$4:$F$17,3,FALSE)</f>
        <v>9.2060953530476771E-3</v>
      </c>
      <c r="F23" s="1928">
        <f>VLOOKUP($F$22,TCambio!$P$4:$R$17,3,FALSE)/VLOOKUP($F$6,TCambio!$D$4:$F$17,3,FALSE)</f>
        <v>9.2955700798838057E-3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2" t="str">
        <f>+$D$8</f>
        <v xml:space="preserve">  2. TIPO DE  CAMBIO PROMEDIO (PARA FLUJOS)</v>
      </c>
      <c r="E24" s="1929">
        <f>VLOOKUP($E$22,TCambio!$P$4:$R$17,2,FALSE)/VLOOKUP($E$6,TCambio!$D$4:$F$17,2,FALSE)</f>
        <v>9.2237920427902572E-3</v>
      </c>
      <c r="F24" s="1930">
        <f>VLOOKUP($F$22,TCambio!$P$4:$R$17,2,FALSE)/VLOOKUP($F$6,TCambio!$D$4:$F$17,2,FALSE)</f>
        <v>9.4198100974400463E-3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pZn5d3WHznvhMjqUwcbBq9xOhTrAGNq1UjhOxTuB3PQBMGFKdK5kxYt4XB/po46Cm8+uEeZQxbZBUvB1tbs7KA==" saltValue="I52nxAr52TPHKYlL8MN4Jw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202001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202001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202001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202001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202001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202001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202001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202001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202001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202001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202001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202001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202001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202001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202001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202001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202001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202001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202001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202001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202001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202001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202001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202001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202001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202001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202001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202001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202001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202001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202001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202001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202001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202001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202001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202001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202001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202001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202001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202001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202001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202001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202001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202001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202001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202001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202001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202001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202001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202001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202001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202001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202001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202001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202001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202001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202001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202001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tabSelected="1" zoomScale="50" zoomScaleNormal="50" workbookViewId="0">
      <pane ySplit="2" topLeftCell="A3" activePane="bottomLeft" state="frozen"/>
      <selection activeCell="C15" sqref="C15"/>
      <selection pane="bottomLeft" activeCell="D17" sqref="D17:L17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3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1 TRIM. 2020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54.75" customHeight="1">
      <c r="B6" s="2107" t="s">
        <v>4236</v>
      </c>
      <c r="C6" s="972"/>
      <c r="D6" s="972"/>
      <c r="E6" s="972"/>
      <c r="F6" s="972"/>
      <c r="G6" s="972"/>
      <c r="H6" s="972"/>
      <c r="I6" s="972"/>
      <c r="J6" s="972"/>
      <c r="K6" s="972"/>
      <c r="L6" s="973"/>
    </row>
    <row r="7" spans="1:19" ht="51" customHeight="1" thickBot="1">
      <c r="B7" s="2108" t="s">
        <v>4338</v>
      </c>
      <c r="C7" s="1900"/>
      <c r="D7" s="1900"/>
      <c r="E7" s="1900"/>
      <c r="F7" s="1900"/>
      <c r="G7" s="1900"/>
      <c r="H7" s="1900"/>
      <c r="I7" s="1900"/>
      <c r="J7" s="1900"/>
      <c r="K7" s="1900"/>
      <c r="L7" s="1901"/>
    </row>
    <row r="8" spans="1:19" ht="60" customHeight="1" thickBot="1">
      <c r="B8" s="977"/>
      <c r="C8" s="978"/>
      <c r="D8" s="975"/>
      <c r="E8" s="2144" t="s">
        <v>4235</v>
      </c>
      <c r="F8" s="2145"/>
      <c r="G8" s="2145"/>
      <c r="H8" s="2145"/>
      <c r="I8" s="2146"/>
      <c r="J8" s="979"/>
      <c r="K8" s="980"/>
      <c r="L8" s="981"/>
    </row>
    <row r="9" spans="1:19" ht="12.75" customHeight="1" thickBot="1">
      <c r="B9" s="982"/>
      <c r="C9" s="983"/>
      <c r="D9" s="983"/>
      <c r="E9" s="983"/>
      <c r="F9" s="983"/>
      <c r="G9" s="983"/>
      <c r="H9" s="983"/>
      <c r="I9" s="983"/>
      <c r="J9" s="983"/>
      <c r="K9" s="983"/>
      <c r="L9" s="984"/>
    </row>
    <row r="10" spans="1:19" s="986" customFormat="1" ht="57.75" customHeight="1" thickTop="1" thickBot="1">
      <c r="A10" s="985"/>
      <c r="B10" s="2114" t="s">
        <v>4300</v>
      </c>
      <c r="C10" s="2115"/>
      <c r="D10" s="2115"/>
      <c r="E10" s="2115"/>
      <c r="F10" s="2115"/>
      <c r="G10" s="2115"/>
      <c r="H10" s="2115"/>
      <c r="I10" s="2115"/>
      <c r="J10" s="2115"/>
      <c r="K10" s="2115"/>
      <c r="L10" s="2116"/>
      <c r="M10" s="985"/>
      <c r="N10" s="985"/>
      <c r="O10" s="985"/>
      <c r="P10" s="985"/>
      <c r="Q10" s="985"/>
      <c r="R10" s="985"/>
      <c r="S10" s="985"/>
    </row>
    <row r="11" spans="1:19" s="986" customFormat="1" ht="31.5" customHeight="1" thickTop="1">
      <c r="A11" s="985"/>
      <c r="B11" s="2149" t="s">
        <v>629</v>
      </c>
      <c r="C11" s="2150"/>
      <c r="D11" s="2130"/>
      <c r="E11" s="2131"/>
      <c r="F11" s="2131"/>
      <c r="G11" s="2131"/>
      <c r="H11" s="2131"/>
      <c r="I11" s="2131"/>
      <c r="J11" s="2131"/>
      <c r="K11" s="2131"/>
      <c r="L11" s="2132"/>
      <c r="M11" s="985"/>
      <c r="N11" s="985"/>
      <c r="O11" s="985"/>
      <c r="P11" s="985"/>
      <c r="Q11" s="985"/>
      <c r="R11" s="985"/>
      <c r="S11" s="985"/>
    </row>
    <row r="12" spans="1:19" s="986" customFormat="1" ht="31.5" customHeight="1">
      <c r="A12" s="985"/>
      <c r="B12" s="2133" t="s">
        <v>637</v>
      </c>
      <c r="C12" s="2134"/>
      <c r="D12" s="2117"/>
      <c r="E12" s="2118"/>
      <c r="F12" s="2118"/>
      <c r="G12" s="2118"/>
      <c r="H12" s="2118"/>
      <c r="I12" s="2118"/>
      <c r="J12" s="2118"/>
      <c r="K12" s="2118"/>
      <c r="L12" s="2119"/>
      <c r="M12" s="985"/>
      <c r="N12" s="985"/>
      <c r="O12" s="985"/>
      <c r="P12" s="985"/>
      <c r="Q12" s="985"/>
      <c r="R12" s="985"/>
      <c r="S12" s="985"/>
    </row>
    <row r="13" spans="1:19" s="986" customFormat="1" ht="31.5" customHeight="1">
      <c r="A13" s="985"/>
      <c r="B13" s="2133" t="s">
        <v>638</v>
      </c>
      <c r="C13" s="2134"/>
      <c r="D13" s="2117"/>
      <c r="E13" s="2118"/>
      <c r="F13" s="2118"/>
      <c r="G13" s="2118"/>
      <c r="H13" s="2118"/>
      <c r="I13" s="2118"/>
      <c r="J13" s="2118"/>
      <c r="K13" s="2118"/>
      <c r="L13" s="2119"/>
      <c r="M13" s="985"/>
      <c r="N13" s="985"/>
      <c r="O13" s="985"/>
      <c r="P13" s="985"/>
      <c r="Q13" s="985"/>
      <c r="R13" s="985"/>
      <c r="S13" s="985"/>
    </row>
    <row r="14" spans="1:19" s="986" customFormat="1" ht="31.5" customHeight="1">
      <c r="A14" s="985"/>
      <c r="B14" s="2133" t="s">
        <v>267</v>
      </c>
      <c r="C14" s="2134"/>
      <c r="D14" s="2135"/>
      <c r="E14" s="2136"/>
      <c r="F14" s="2136"/>
      <c r="G14" s="2136"/>
      <c r="H14" s="2136"/>
      <c r="I14" s="2136"/>
      <c r="J14" s="2136"/>
      <c r="K14" s="2136"/>
      <c r="L14" s="2137"/>
      <c r="M14" s="985"/>
      <c r="N14" s="985"/>
      <c r="O14" s="985"/>
      <c r="P14" s="985"/>
      <c r="Q14" s="985"/>
      <c r="R14" s="985"/>
      <c r="S14" s="985"/>
    </row>
    <row r="15" spans="1:19" s="986" customFormat="1" ht="31.5" customHeight="1">
      <c r="A15" s="985"/>
      <c r="B15" s="2133" t="s">
        <v>232</v>
      </c>
      <c r="C15" s="2134"/>
      <c r="D15" s="2117"/>
      <c r="E15" s="2118"/>
      <c r="F15" s="2118"/>
      <c r="G15" s="2118"/>
      <c r="H15" s="2118"/>
      <c r="I15" s="2118"/>
      <c r="J15" s="2118"/>
      <c r="K15" s="2118"/>
      <c r="L15" s="2119"/>
      <c r="M15" s="985"/>
      <c r="N15" s="985"/>
      <c r="O15" s="985"/>
      <c r="P15" s="985"/>
      <c r="Q15" s="985"/>
      <c r="R15" s="985"/>
      <c r="S15" s="985"/>
    </row>
    <row r="16" spans="1:19" s="986" customFormat="1" ht="31.5" customHeight="1">
      <c r="A16" s="985"/>
      <c r="B16" s="2133" t="s">
        <v>628</v>
      </c>
      <c r="C16" s="2134"/>
      <c r="D16" s="2117"/>
      <c r="E16" s="2118"/>
      <c r="F16" s="2118"/>
      <c r="G16" s="2118"/>
      <c r="H16" s="2118"/>
      <c r="I16" s="2118"/>
      <c r="J16" s="2118"/>
      <c r="K16" s="2118"/>
      <c r="L16" s="2119"/>
      <c r="M16" s="985"/>
      <c r="N16" s="985"/>
      <c r="O16" s="985"/>
      <c r="P16" s="985"/>
      <c r="Q16" s="985"/>
      <c r="R16" s="985"/>
      <c r="S16" s="985"/>
    </row>
    <row r="17" spans="1:19" s="986" customFormat="1" ht="31.5" customHeight="1">
      <c r="A17" s="985"/>
      <c r="B17" s="2133" t="s">
        <v>228</v>
      </c>
      <c r="C17" s="2134"/>
      <c r="D17" s="2117"/>
      <c r="E17" s="2118"/>
      <c r="F17" s="2118"/>
      <c r="G17" s="2118"/>
      <c r="H17" s="2118"/>
      <c r="I17" s="2118"/>
      <c r="J17" s="2118"/>
      <c r="K17" s="2118"/>
      <c r="L17" s="2119"/>
      <c r="M17" s="985"/>
      <c r="N17" s="985"/>
      <c r="O17" s="985"/>
      <c r="P17" s="985"/>
      <c r="Q17" s="985"/>
      <c r="R17" s="985"/>
      <c r="S17" s="985"/>
    </row>
    <row r="18" spans="1:19" s="986" customFormat="1" ht="31.5" customHeight="1">
      <c r="A18" s="985"/>
      <c r="B18" s="2133" t="s">
        <v>229</v>
      </c>
      <c r="C18" s="2134"/>
      <c r="D18" s="2120"/>
      <c r="E18" s="2121"/>
      <c r="F18" s="2121"/>
      <c r="G18" s="2121"/>
      <c r="H18" s="2121"/>
      <c r="I18" s="2121"/>
      <c r="J18" s="2121"/>
      <c r="K18" s="2121"/>
      <c r="L18" s="2122"/>
      <c r="M18" s="985"/>
      <c r="N18" s="985"/>
      <c r="O18" s="985"/>
      <c r="P18" s="985"/>
      <c r="Q18" s="985"/>
      <c r="R18" s="985"/>
      <c r="S18" s="985"/>
    </row>
    <row r="19" spans="1:19" s="986" customFormat="1" ht="31.5" customHeight="1">
      <c r="A19" s="985"/>
      <c r="B19" s="2133" t="s">
        <v>268</v>
      </c>
      <c r="C19" s="2134"/>
      <c r="D19" s="2120"/>
      <c r="E19" s="2121"/>
      <c r="F19" s="2121"/>
      <c r="G19" s="2121"/>
      <c r="H19" s="2121"/>
      <c r="I19" s="2121"/>
      <c r="J19" s="2121"/>
      <c r="K19" s="2121"/>
      <c r="L19" s="2122"/>
      <c r="M19" s="985"/>
      <c r="N19" s="985"/>
      <c r="O19" s="985"/>
      <c r="P19" s="985"/>
      <c r="Q19" s="985"/>
      <c r="R19" s="985"/>
      <c r="S19" s="985"/>
    </row>
    <row r="20" spans="1:19" s="986" customFormat="1" ht="31.5" customHeight="1" thickBot="1">
      <c r="A20" s="985"/>
      <c r="B20" s="2147" t="s">
        <v>36</v>
      </c>
      <c r="C20" s="2148"/>
      <c r="D20" s="2125"/>
      <c r="E20" s="2126"/>
      <c r="F20" s="2126"/>
      <c r="G20" s="2126"/>
      <c r="H20" s="2126"/>
      <c r="I20" s="2126"/>
      <c r="J20" s="2126"/>
      <c r="K20" s="2126"/>
      <c r="L20" s="2127"/>
      <c r="M20" s="985"/>
      <c r="N20" s="985"/>
      <c r="O20" s="985"/>
      <c r="P20" s="985"/>
      <c r="Q20" s="985"/>
      <c r="R20" s="985"/>
      <c r="S20" s="985"/>
    </row>
    <row r="21" spans="1:19" ht="18.75" thickTop="1">
      <c r="B21" s="987"/>
      <c r="C21" s="988"/>
      <c r="D21" s="988"/>
      <c r="E21" s="988"/>
      <c r="F21" s="988"/>
      <c r="G21" s="988"/>
      <c r="H21" s="988"/>
      <c r="I21" s="988"/>
      <c r="J21" s="988"/>
      <c r="K21" s="988"/>
      <c r="L21" s="989"/>
    </row>
    <row r="22" spans="1:19">
      <c r="B22" s="974"/>
      <c r="C22" s="975"/>
      <c r="D22" s="975"/>
      <c r="E22" s="975"/>
      <c r="F22" s="975"/>
      <c r="G22" s="975"/>
      <c r="H22" s="975"/>
      <c r="I22" s="975"/>
      <c r="J22" s="975"/>
      <c r="K22" s="975"/>
      <c r="L22" s="976"/>
    </row>
    <row r="23" spans="1:19" s="986" customFormat="1" ht="43.5" hidden="1" customHeight="1">
      <c r="A23" s="985"/>
      <c r="B23" s="990"/>
      <c r="C23" s="991" t="s">
        <v>270</v>
      </c>
      <c r="D23" s="992"/>
      <c r="E23" s="992"/>
      <c r="F23" s="992"/>
      <c r="G23" s="992"/>
      <c r="H23" s="992"/>
      <c r="I23" s="992"/>
      <c r="J23" s="993"/>
      <c r="K23" s="994" t="s">
        <v>290</v>
      </c>
      <c r="L23" s="995"/>
      <c r="M23" s="985"/>
      <c r="N23" s="985"/>
      <c r="O23" s="985"/>
      <c r="P23" s="985"/>
      <c r="Q23" s="985"/>
      <c r="R23" s="985"/>
    </row>
    <row r="24" spans="1:19" s="986" customFormat="1" ht="34.5" hidden="1" customHeight="1" thickBot="1">
      <c r="A24" s="985"/>
      <c r="B24" s="748" t="s">
        <v>256</v>
      </c>
      <c r="C24" s="2128" t="s">
        <v>255</v>
      </c>
      <c r="D24" s="2128"/>
      <c r="E24" s="2128"/>
      <c r="F24" s="2128"/>
      <c r="G24" s="2128"/>
      <c r="H24" s="2128"/>
      <c r="I24" s="2128"/>
      <c r="J24" s="2129"/>
      <c r="K24" s="996"/>
      <c r="L24" s="995"/>
      <c r="N24" s="985"/>
      <c r="O24" s="997"/>
      <c r="P24" s="985"/>
      <c r="Q24" s="985"/>
      <c r="R24" s="985"/>
    </row>
    <row r="25" spans="1:19" s="986" customFormat="1" ht="36.75" hidden="1" customHeight="1" thickBot="1">
      <c r="A25" s="985"/>
      <c r="B25" s="749" t="s">
        <v>256</v>
      </c>
      <c r="C25" s="2123" t="s">
        <v>254</v>
      </c>
      <c r="D25" s="2123"/>
      <c r="E25" s="2123"/>
      <c r="F25" s="2123"/>
      <c r="G25" s="2123"/>
      <c r="H25" s="2123"/>
      <c r="I25" s="2123"/>
      <c r="J25" s="2124"/>
      <c r="K25" s="996"/>
      <c r="L25" s="995"/>
      <c r="M25" s="998"/>
      <c r="N25" s="985"/>
      <c r="O25" s="985"/>
      <c r="P25" s="985"/>
      <c r="Q25" s="985"/>
      <c r="R25" s="985"/>
    </row>
    <row r="26" spans="1:19" s="986" customFormat="1" ht="35.25" hidden="1" customHeight="1" thickBot="1">
      <c r="A26" s="985"/>
      <c r="B26" s="750" t="s">
        <v>256</v>
      </c>
      <c r="C26" s="2123" t="s">
        <v>260</v>
      </c>
      <c r="D26" s="2123"/>
      <c r="E26" s="2123"/>
      <c r="F26" s="2123"/>
      <c r="G26" s="2123"/>
      <c r="H26" s="2123"/>
      <c r="I26" s="2123"/>
      <c r="J26" s="2124"/>
      <c r="K26" s="999"/>
      <c r="L26" s="995"/>
      <c r="M26" s="1000"/>
      <c r="N26" s="985"/>
      <c r="O26" s="985"/>
      <c r="P26" s="985"/>
      <c r="Q26" s="985"/>
      <c r="R26" s="985"/>
    </row>
    <row r="27" spans="1:19" s="986" customFormat="1" ht="38.25" hidden="1" customHeight="1" thickBot="1">
      <c r="A27" s="985"/>
      <c r="B27" s="750" t="s">
        <v>256</v>
      </c>
      <c r="C27" s="2123" t="s">
        <v>257</v>
      </c>
      <c r="D27" s="2123"/>
      <c r="E27" s="2123"/>
      <c r="F27" s="2123"/>
      <c r="G27" s="2123"/>
      <c r="H27" s="2123"/>
      <c r="I27" s="2123"/>
      <c r="J27" s="2124"/>
      <c r="K27" s="999"/>
      <c r="L27" s="995"/>
      <c r="M27" s="985"/>
      <c r="N27" s="985"/>
      <c r="O27" s="985"/>
      <c r="P27" s="985"/>
      <c r="Q27" s="985"/>
      <c r="R27" s="985"/>
    </row>
    <row r="28" spans="1:19" s="986" customFormat="1" ht="41.25" hidden="1" customHeight="1" thickBot="1">
      <c r="A28" s="985"/>
      <c r="B28" s="750" t="s">
        <v>256</v>
      </c>
      <c r="C28" s="2123" t="s">
        <v>259</v>
      </c>
      <c r="D28" s="2123"/>
      <c r="E28" s="2123"/>
      <c r="F28" s="2123"/>
      <c r="G28" s="2123"/>
      <c r="H28" s="2123"/>
      <c r="I28" s="2123"/>
      <c r="J28" s="2124"/>
      <c r="K28" s="999"/>
      <c r="L28" s="995"/>
      <c r="M28" s="985"/>
      <c r="N28" s="985"/>
      <c r="O28" s="985"/>
      <c r="P28" s="985"/>
      <c r="Q28" s="985"/>
      <c r="R28" s="985"/>
    </row>
    <row r="29" spans="1:19" s="986" customFormat="1" ht="33.75" hidden="1" customHeight="1" thickBot="1">
      <c r="A29" s="985"/>
      <c r="B29" s="750" t="s">
        <v>256</v>
      </c>
      <c r="C29" s="2123" t="s">
        <v>262</v>
      </c>
      <c r="D29" s="2123"/>
      <c r="E29" s="2123"/>
      <c r="F29" s="2123"/>
      <c r="G29" s="2123"/>
      <c r="H29" s="2123"/>
      <c r="I29" s="2123"/>
      <c r="J29" s="2124"/>
      <c r="K29" s="999"/>
      <c r="L29" s="995"/>
      <c r="M29" s="985"/>
      <c r="N29" s="985"/>
      <c r="O29" s="985"/>
      <c r="P29" s="985"/>
      <c r="Q29" s="985"/>
      <c r="R29" s="985"/>
    </row>
    <row r="30" spans="1:19" s="986" customFormat="1" ht="39.75" hidden="1" customHeight="1" thickBot="1">
      <c r="A30" s="985"/>
      <c r="B30" s="750" t="s">
        <v>256</v>
      </c>
      <c r="C30" s="2123" t="s">
        <v>263</v>
      </c>
      <c r="D30" s="2123"/>
      <c r="E30" s="2123"/>
      <c r="F30" s="2123"/>
      <c r="G30" s="2123"/>
      <c r="H30" s="2123"/>
      <c r="I30" s="2123"/>
      <c r="J30" s="2124"/>
      <c r="K30" s="999"/>
      <c r="L30" s="995"/>
      <c r="M30" s="985"/>
      <c r="N30" s="985"/>
      <c r="O30" s="985"/>
      <c r="P30" s="985"/>
      <c r="Q30" s="985"/>
      <c r="R30" s="985"/>
    </row>
    <row r="31" spans="1:19" s="986" customFormat="1" ht="38.25" hidden="1" customHeight="1" thickBot="1">
      <c r="A31" s="985"/>
      <c r="B31" s="750" t="s">
        <v>256</v>
      </c>
      <c r="C31" s="2123" t="s">
        <v>266</v>
      </c>
      <c r="D31" s="2123"/>
      <c r="E31" s="2123"/>
      <c r="F31" s="2123"/>
      <c r="G31" s="2123"/>
      <c r="H31" s="2123"/>
      <c r="I31" s="2123"/>
      <c r="J31" s="2124"/>
      <c r="K31" s="999"/>
      <c r="L31" s="995"/>
      <c r="M31" s="985"/>
      <c r="N31" s="985"/>
      <c r="O31" s="985"/>
      <c r="P31" s="985"/>
      <c r="Q31" s="985"/>
      <c r="R31" s="985"/>
    </row>
    <row r="32" spans="1:19" s="986" customFormat="1" ht="38.25" hidden="1" customHeight="1" thickBot="1">
      <c r="A32" s="985"/>
      <c r="B32" s="750" t="s">
        <v>256</v>
      </c>
      <c r="C32" s="2123" t="s">
        <v>258</v>
      </c>
      <c r="D32" s="2123"/>
      <c r="E32" s="2123"/>
      <c r="F32" s="2123"/>
      <c r="G32" s="2123"/>
      <c r="H32" s="2123"/>
      <c r="I32" s="2123"/>
      <c r="J32" s="2124"/>
      <c r="K32" s="999"/>
      <c r="L32" s="995"/>
      <c r="M32" s="985"/>
      <c r="N32" s="985"/>
      <c r="O32" s="985"/>
      <c r="P32" s="985"/>
      <c r="Q32" s="985"/>
      <c r="R32" s="985"/>
    </row>
    <row r="33" spans="1:18" s="986" customFormat="1" ht="38.25" hidden="1" customHeight="1" thickBot="1">
      <c r="A33" s="985"/>
      <c r="B33" s="750"/>
      <c r="C33" s="2123" t="s">
        <v>631</v>
      </c>
      <c r="D33" s="2123"/>
      <c r="E33" s="2123"/>
      <c r="F33" s="2123"/>
      <c r="G33" s="2123"/>
      <c r="H33" s="2123"/>
      <c r="I33" s="2123"/>
      <c r="J33" s="2124"/>
      <c r="K33" s="999"/>
      <c r="L33" s="995"/>
      <c r="M33" s="985"/>
      <c r="N33" s="985"/>
      <c r="O33" s="985"/>
      <c r="P33" s="985"/>
      <c r="Q33" s="985"/>
      <c r="R33" s="985"/>
    </row>
    <row r="34" spans="1:18" s="986" customFormat="1" ht="38.25" hidden="1" customHeight="1" thickBot="1">
      <c r="A34" s="985"/>
      <c r="B34" s="750"/>
      <c r="C34" s="2123" t="s">
        <v>632</v>
      </c>
      <c r="D34" s="2123"/>
      <c r="E34" s="2123"/>
      <c r="F34" s="2123"/>
      <c r="G34" s="2123"/>
      <c r="H34" s="2123"/>
      <c r="I34" s="2123"/>
      <c r="J34" s="2124"/>
      <c r="K34" s="999"/>
      <c r="L34" s="995"/>
      <c r="M34" s="985"/>
      <c r="N34" s="985"/>
      <c r="O34" s="985"/>
      <c r="P34" s="985"/>
      <c r="Q34" s="985"/>
      <c r="R34" s="985"/>
    </row>
    <row r="35" spans="1:18" s="986" customFormat="1" ht="39.75" hidden="1" customHeight="1" thickBot="1">
      <c r="A35" s="985"/>
      <c r="B35" s="750" t="s">
        <v>256</v>
      </c>
      <c r="C35" s="2123" t="s">
        <v>269</v>
      </c>
      <c r="D35" s="2123"/>
      <c r="E35" s="2123"/>
      <c r="F35" s="2123"/>
      <c r="G35" s="2123"/>
      <c r="H35" s="2123"/>
      <c r="I35" s="2123"/>
      <c r="J35" s="2124"/>
      <c r="K35" s="999"/>
      <c r="L35" s="995"/>
      <c r="M35" s="985"/>
      <c r="N35" s="985"/>
      <c r="O35" s="985"/>
      <c r="P35" s="985"/>
      <c r="Q35" s="985"/>
      <c r="R35" s="985"/>
    </row>
    <row r="36" spans="1:18" s="986" customFormat="1" ht="39.75" hidden="1" customHeight="1" thickBot="1">
      <c r="A36" s="985"/>
      <c r="B36" s="1001"/>
      <c r="C36" s="2151" t="s">
        <v>261</v>
      </c>
      <c r="D36" s="2151"/>
      <c r="E36" s="2151"/>
      <c r="F36" s="2151"/>
      <c r="G36" s="2151"/>
      <c r="H36" s="2151"/>
      <c r="I36" s="2151"/>
      <c r="J36" s="2152"/>
      <c r="K36" s="1002"/>
      <c r="L36" s="995"/>
      <c r="M36" s="985"/>
      <c r="N36" s="985"/>
      <c r="O36" s="985"/>
      <c r="P36" s="985"/>
      <c r="Q36" s="985"/>
      <c r="R36" s="985"/>
    </row>
    <row r="37" spans="1:18">
      <c r="B37" s="974"/>
      <c r="C37" s="975"/>
      <c r="D37" s="975"/>
      <c r="E37" s="975"/>
      <c r="F37" s="975"/>
      <c r="G37" s="975"/>
      <c r="H37" s="975"/>
      <c r="I37" s="975"/>
      <c r="J37" s="975"/>
      <c r="K37" s="975"/>
      <c r="L37" s="976"/>
    </row>
    <row r="38" spans="1:18">
      <c r="B38" s="974"/>
      <c r="C38" s="975"/>
      <c r="D38" s="975"/>
      <c r="E38" s="975"/>
      <c r="F38" s="975"/>
      <c r="G38" s="975"/>
      <c r="H38" s="975"/>
      <c r="I38" s="975"/>
      <c r="J38" s="975"/>
      <c r="K38" s="975"/>
      <c r="L38" s="976"/>
    </row>
    <row r="39" spans="1:18" ht="19.5" customHeight="1">
      <c r="B39" s="974"/>
      <c r="C39" s="975"/>
      <c r="D39" s="975"/>
      <c r="E39" s="975"/>
      <c r="F39" s="975"/>
      <c r="G39" s="975"/>
      <c r="H39" s="975"/>
      <c r="I39" s="975"/>
      <c r="J39" s="975"/>
      <c r="K39" s="975"/>
      <c r="L39" s="976"/>
    </row>
    <row r="40" spans="1:18" ht="60.75" customHeight="1">
      <c r="B40" s="2138" t="s">
        <v>4301</v>
      </c>
      <c r="C40" s="2139"/>
      <c r="D40" s="2139"/>
      <c r="E40" s="2139"/>
      <c r="F40" s="2139"/>
      <c r="G40" s="2139"/>
      <c r="H40" s="2139"/>
      <c r="I40" s="2139"/>
      <c r="J40" s="2139"/>
      <c r="K40" s="2139"/>
      <c r="L40" s="2140"/>
    </row>
    <row r="41" spans="1:18" ht="76.5" customHeight="1" thickBot="1">
      <c r="B41" s="2141" t="s">
        <v>1643</v>
      </c>
      <c r="C41" s="2142"/>
      <c r="D41" s="2142"/>
      <c r="E41" s="2142"/>
      <c r="F41" s="2142"/>
      <c r="G41" s="2142"/>
      <c r="H41" s="2142"/>
      <c r="I41" s="2142"/>
      <c r="J41" s="2142"/>
      <c r="K41" s="2142"/>
      <c r="L41" s="2143"/>
    </row>
    <row r="42" spans="1:18" ht="18.75" thickTop="1">
      <c r="B42" s="1003"/>
      <c r="C42" s="1003"/>
      <c r="D42" s="1003"/>
      <c r="E42" s="1003"/>
      <c r="F42" s="1003"/>
      <c r="G42" s="1003"/>
      <c r="H42" s="1003"/>
      <c r="I42" s="858"/>
      <c r="J42" s="1003"/>
      <c r="K42" s="1003"/>
      <c r="L42" s="1003"/>
    </row>
    <row r="43" spans="1:18">
      <c r="B43" s="1003"/>
      <c r="C43" s="1003"/>
      <c r="D43" s="1003"/>
      <c r="E43" s="1003"/>
      <c r="F43" s="1003"/>
      <c r="G43" s="1003"/>
      <c r="H43" s="1003"/>
      <c r="I43" s="1003"/>
      <c r="J43" s="1003"/>
      <c r="K43" s="1003"/>
      <c r="L43" s="1003"/>
    </row>
    <row r="44" spans="1:18">
      <c r="B44" s="1003"/>
      <c r="C44" s="1003"/>
      <c r="D44" s="1003"/>
      <c r="E44" s="1003"/>
      <c r="F44" s="1003"/>
      <c r="G44" s="1003"/>
      <c r="H44" s="1003"/>
      <c r="I44" s="1003"/>
      <c r="J44" s="1003"/>
      <c r="K44" s="1003"/>
      <c r="L44" s="1003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algorithmName="SHA-512" hashValue="l24r/8PuMasAJIVs8alOU6pqBEns+huDPisDGmW6IJN+0Dj8q8CTlz4jJMOQYyge4z/dhTiCsTK70MPYNra5rw==" saltValue="Le6gxIOeor/wPdEkduz6YA==" spinCount="100000" sheet="1" objects="1" scenarios="1"/>
  <mergeCells count="37"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  <mergeCell ref="C27:J27"/>
    <mergeCell ref="C28:J28"/>
    <mergeCell ref="C33:J33"/>
    <mergeCell ref="C30:J30"/>
    <mergeCell ref="C31:J31"/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56" r:id="rId5" name="ComboBox10">
          <controlPr print="0" autoLine="0" autoPict="0" listFillRange="TCambio!#REF!" r:id="rId6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5" name="ComboBox10"/>
      </mc:Fallback>
    </mc:AlternateContent>
    <mc:AlternateContent xmlns:mc="http://schemas.openxmlformats.org/markup-compatibility/2006">
      <mc:Choice Requires="x14">
        <control shapeId="1055" r:id="rId7" name="ComboBox9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7" name="ComboBox9"/>
      </mc:Fallback>
    </mc:AlternateContent>
    <mc:AlternateContent xmlns:mc="http://schemas.openxmlformats.org/markup-compatibility/2006">
      <mc:Choice Requires="x14">
        <control shapeId="1054" r:id="rId9" name="ComboBox8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9" name="ComboBox8"/>
      </mc:Fallback>
    </mc:AlternateContent>
    <mc:AlternateContent xmlns:mc="http://schemas.openxmlformats.org/markup-compatibility/2006">
      <mc:Choice Requires="x14">
        <control shapeId="1053" r:id="rId11" name="ComboBox7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1" name="ComboBox7"/>
      </mc:Fallback>
    </mc:AlternateContent>
    <mc:AlternateContent xmlns:mc="http://schemas.openxmlformats.org/markup-compatibility/2006">
      <mc:Choice Requires="x14">
        <control shapeId="1052" r:id="rId13" name="ComboBox6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3" name="ComboBox6"/>
      </mc:Fallback>
    </mc:AlternateContent>
    <mc:AlternateContent xmlns:mc="http://schemas.openxmlformats.org/markup-compatibility/2006">
      <mc:Choice Requires="x14">
        <control shapeId="1051" r:id="rId15" name="ComboBox5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5" name="ComboBox5"/>
      </mc:Fallback>
    </mc:AlternateContent>
    <mc:AlternateContent xmlns:mc="http://schemas.openxmlformats.org/markup-compatibility/2006">
      <mc:Choice Requires="x14">
        <control shapeId="1050" r:id="rId17" name="ComboBox4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7" name="ComboBox4"/>
      </mc:Fallback>
    </mc:AlternateContent>
    <mc:AlternateContent xmlns:mc="http://schemas.openxmlformats.org/markup-compatibility/2006">
      <mc:Choice Requires="x14">
        <control shapeId="1049" r:id="rId19" name="ComboBox3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19" name="ComboBox3"/>
      </mc:Fallback>
    </mc:AlternateContent>
    <mc:AlternateContent xmlns:mc="http://schemas.openxmlformats.org/markup-compatibility/2006">
      <mc:Choice Requires="x14">
        <control shapeId="1048" r:id="rId21" name="ComboBox2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21" name="ComboBox2"/>
      </mc:Fallback>
    </mc:AlternateContent>
    <mc:AlternateContent xmlns:mc="http://schemas.openxmlformats.org/markup-compatibility/2006">
      <mc:Choice Requires="x14">
        <control shapeId="1047" r:id="rId23" name="ComboBox1">
          <controlPr locked="0" print="0" autoLine="0" autoPict="0" listFillRange="TCambio!#REF!" r:id="rId2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23" name="ComboBox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202001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202001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202001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202001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202001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202001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202001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202001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202001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202001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202001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202001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202001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202001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202001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202001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202001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202001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202001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202001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202001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202001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202001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202001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202001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202001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202001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202001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202001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202001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202001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202001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202001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202001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202001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202001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202001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202001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202001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202001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202001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202001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202001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202001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202001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202001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202001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202001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202001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202001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202001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202001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202001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202001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202001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202001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202001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202001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202001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202001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202001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202001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202001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202001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202001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202001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202001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202001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202001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202001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202001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202001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202001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202001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202001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202001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202001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202001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202001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202001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202001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202001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202001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202001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202001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202001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202001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202001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202001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202001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202001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202001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202001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202001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202001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202001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202001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202001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202001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202001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202001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202001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202001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202001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202001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202001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202001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202001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202001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202001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202001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202001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202001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202001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202001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202001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202001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202001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202001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202001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202001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202001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202001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202001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202001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202001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202001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202001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202001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202001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202001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202001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202001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202001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202001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202001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202001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202001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202001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202001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202001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202001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202001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202001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202001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202001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202001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202001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202001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202001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202001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202001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202001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202001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202001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202001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202001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202001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202001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202001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202001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202001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202001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202001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202001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202001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202001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202001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202001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202001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202001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202001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202001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202001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202001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202001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202001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202001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202001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202001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202001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202001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202001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202001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202001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202001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202001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202001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202001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202001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202001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202001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202001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202001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202001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202001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202001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202001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202001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202001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202001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202001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202001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202001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202001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202001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202001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202001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202001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202001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202001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202001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202001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202001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202001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202001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202001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202001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202001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202001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202001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202001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202001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202001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202001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202001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202001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202001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202001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202001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202001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202001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202001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202001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202001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202001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202001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202001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202001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202001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6" t="s">
        <v>296</v>
      </c>
      <c r="C1" s="2456"/>
      <c r="D1" s="2456"/>
      <c r="E1" s="2456"/>
      <c r="F1" s="2456"/>
      <c r="G1" s="2456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2" t="s">
        <v>4169</v>
      </c>
      <c r="C3" s="2462"/>
      <c r="D3" s="2462"/>
      <c r="E3" s="2462"/>
      <c r="F3" s="2462"/>
    </row>
    <row r="4" spans="2:6" ht="13.5" thickBot="1"/>
    <row r="5" spans="2:6" ht="16.5" customHeight="1" thickTop="1">
      <c r="B5" s="2457" t="s">
        <v>4167</v>
      </c>
      <c r="C5" s="1715" t="s">
        <v>4158</v>
      </c>
      <c r="D5" s="2459" t="s">
        <v>4159</v>
      </c>
      <c r="E5" s="2460"/>
      <c r="F5" s="2461"/>
    </row>
    <row r="6" spans="2:6" ht="21.75" customHeight="1">
      <c r="B6" s="2458"/>
      <c r="C6" s="1712" t="s">
        <v>4160</v>
      </c>
      <c r="D6" s="1713" t="s">
        <v>4164</v>
      </c>
      <c r="E6" s="1714" t="s">
        <v>4165</v>
      </c>
      <c r="F6" s="1716" t="s">
        <v>4166</v>
      </c>
    </row>
    <row r="7" spans="2:6" ht="21.75" customHeight="1">
      <c r="B7" s="1717" t="s">
        <v>4160</v>
      </c>
      <c r="C7" s="1720" t="s">
        <v>4163</v>
      </c>
      <c r="D7" s="1721" t="s">
        <v>4163</v>
      </c>
      <c r="E7" s="1722"/>
      <c r="F7" s="1723"/>
    </row>
    <row r="8" spans="2:6" ht="21.75" customHeight="1">
      <c r="B8" s="1718" t="s">
        <v>4161</v>
      </c>
      <c r="C8" s="1720" t="s">
        <v>4162</v>
      </c>
      <c r="D8" s="1721"/>
      <c r="E8" s="1722" t="s">
        <v>4162</v>
      </c>
      <c r="F8" s="1723"/>
    </row>
    <row r="9" spans="2:6" ht="21.75" customHeight="1" thickBot="1">
      <c r="B9" s="1719" t="s">
        <v>4168</v>
      </c>
      <c r="C9" s="1724" t="s">
        <v>4162</v>
      </c>
      <c r="D9" s="1725"/>
      <c r="E9" s="1726"/>
      <c r="F9" s="1727" t="s">
        <v>4162</v>
      </c>
    </row>
    <row r="10" spans="2:6" ht="13.5" thickTop="1">
      <c r="B10" s="1711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7" t="s">
        <v>674</v>
      </c>
      <c r="C2" s="2158"/>
      <c r="D2" s="2158"/>
      <c r="E2" s="2158"/>
      <c r="F2" s="2158"/>
      <c r="G2" s="2158"/>
      <c r="H2" s="2159"/>
    </row>
    <row r="3" spans="1:10" ht="44.25" customHeight="1"/>
    <row r="4" spans="1:10" s="69" customFormat="1" ht="19.5" customHeight="1">
      <c r="B4" s="2162" t="s">
        <v>673</v>
      </c>
      <c r="C4" s="2163"/>
      <c r="D4" s="2164"/>
      <c r="F4" s="2153" t="s">
        <v>668</v>
      </c>
      <c r="G4" s="2154"/>
      <c r="H4" s="2155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6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6"/>
    </row>
    <row r="8" spans="1:10" s="69" customFormat="1" ht="24.95" customHeight="1">
      <c r="A8" s="71"/>
      <c r="B8" s="71"/>
      <c r="C8" s="70"/>
      <c r="D8" s="71"/>
      <c r="E8" s="71"/>
      <c r="F8" s="71"/>
      <c r="G8" s="2160"/>
      <c r="H8" s="2156"/>
    </row>
    <row r="9" spans="1:10" s="69" customFormat="1" ht="24.95" customHeight="1">
      <c r="A9" s="71"/>
      <c r="B9" s="71"/>
      <c r="C9" s="70"/>
      <c r="D9" s="71"/>
      <c r="E9" s="71"/>
      <c r="F9" s="71"/>
      <c r="G9" s="2161"/>
      <c r="H9" s="2156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3" t="s">
        <v>669</v>
      </c>
      <c r="C11" s="2154"/>
      <c r="D11" s="2155"/>
      <c r="E11" s="71"/>
      <c r="F11" s="2165" t="s">
        <v>670</v>
      </c>
      <c r="G11" s="2166"/>
      <c r="H11" s="2167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55" zoomScaleNormal="55" workbookViewId="0">
      <selection activeCell="G11" sqref="G11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marzo 2020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0.75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68" t="s">
        <v>1638</v>
      </c>
      <c r="F7" s="2168"/>
      <c r="G7" s="2169"/>
      <c r="H7" s="2169"/>
      <c r="I7" s="2169"/>
    </row>
    <row r="8" spans="1:26" s="779" customFormat="1" ht="33.75" customHeight="1" thickTop="1">
      <c r="A8" s="777"/>
      <c r="B8" s="2170" t="str">
        <f ca="1">RIGHT(CELL("nombrearchivo",A6),LEN(CELL("nombrearchivo",A6))-SEARCH("]",CELL("nombrearchivo",A6)))</f>
        <v>Panorama A.</v>
      </c>
      <c r="C8" s="2171"/>
      <c r="D8" s="778"/>
      <c r="E8" s="2177" t="s">
        <v>801</v>
      </c>
      <c r="F8" s="2184" t="s">
        <v>1943</v>
      </c>
      <c r="G8" s="2179" t="str">
        <f>"A C C I O N I S T A S   I N M E D I A T O S  "&amp;$C$33&amp;"/"</f>
        <v>A C C I O N I S T A S   I N M E D I A T O S  1/</v>
      </c>
      <c r="H8" s="2181" t="s">
        <v>677</v>
      </c>
      <c r="I8" s="2172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8"/>
      <c r="F9" s="2185"/>
      <c r="G9" s="2180"/>
      <c r="H9" s="2182"/>
      <c r="I9" s="2173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8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8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8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8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8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8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8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8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8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8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0.75" thickBot="1">
      <c r="B38" s="823"/>
      <c r="C38" s="823"/>
      <c r="D38" s="824"/>
      <c r="E38" s="2168" t="s">
        <v>1639</v>
      </c>
      <c r="F38" s="2168"/>
      <c r="G38" s="2169"/>
      <c r="H38" s="2169"/>
      <c r="I38" s="2169"/>
      <c r="J38" s="830"/>
      <c r="K38" s="830"/>
      <c r="L38" s="830"/>
    </row>
    <row r="39" spans="1:26" s="779" customFormat="1" ht="39.75" customHeight="1" thickTop="1">
      <c r="A39" s="777"/>
      <c r="B39" s="2175" t="str">
        <f ca="1">RIGHT(CELL("nombrearchivo",A30),LEN(CELL("nombrearchivo",A30))-SEARCH("]",CELL("nombrearchivo",A30)))</f>
        <v>Panorama A.</v>
      </c>
      <c r="C39" s="2176"/>
      <c r="D39" s="778"/>
      <c r="E39" s="2177" t="s">
        <v>801</v>
      </c>
      <c r="F39" s="2181" t="s">
        <v>1943</v>
      </c>
      <c r="G39" s="2179" t="str">
        <f>"R A Z Ó N   S O C I A L  "&amp;C64&amp;"/"</f>
        <v>R A Z Ó N   S O C I A L  1/</v>
      </c>
      <c r="H39" s="2181" t="s">
        <v>677</v>
      </c>
      <c r="I39" s="2172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8"/>
      <c r="F40" s="2182"/>
      <c r="G40" s="2180"/>
      <c r="H40" s="2182"/>
      <c r="I40" s="2173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8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8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8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8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8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8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8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8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8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8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74"/>
      <c r="F66" s="2174"/>
      <c r="G66" s="2174"/>
      <c r="H66" s="2174"/>
      <c r="I66" s="2174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3" t="s">
        <v>1640</v>
      </c>
      <c r="F69" s="2183"/>
      <c r="G69" s="2183"/>
      <c r="H69" s="2183"/>
      <c r="I69" s="278"/>
      <c r="J69" s="830"/>
      <c r="K69" s="830"/>
      <c r="L69" s="830"/>
    </row>
    <row r="70" spans="1:26" s="779" customFormat="1" ht="39.75" customHeight="1" thickTop="1">
      <c r="A70" s="777"/>
      <c r="B70" s="2175" t="str">
        <f ca="1">RIGHT(CELL("nombrearchivo",A60),LEN(CELL("nombrearchivo",A60))-SEARCH("]",CELL("nombrearchivo",A60)))</f>
        <v>Panorama A.</v>
      </c>
      <c r="C70" s="2176"/>
      <c r="D70" s="778"/>
      <c r="E70" s="2177" t="s">
        <v>801</v>
      </c>
      <c r="F70" s="2181" t="s">
        <v>1943</v>
      </c>
      <c r="G70" s="2179" t="str">
        <f>"R A Z Ó N   S O C I A L  "&amp;C97&amp;"/"</f>
        <v>R A Z Ó N   S O C I A L  1/</v>
      </c>
      <c r="H70" s="2189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8"/>
      <c r="F71" s="2182"/>
      <c r="G71" s="2180"/>
      <c r="H71" s="2190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69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0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0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0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0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0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0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0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0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1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86" t="s">
        <v>1945</v>
      </c>
      <c r="F95" s="2187"/>
      <c r="G95" s="2187"/>
      <c r="H95" s="2188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F70:F71"/>
    <mergeCell ref="E95:H95"/>
    <mergeCell ref="B70:C70"/>
    <mergeCell ref="E70:E71"/>
    <mergeCell ref="G70:G71"/>
    <mergeCell ref="H70:H71"/>
    <mergeCell ref="E69:H69"/>
    <mergeCell ref="E8:E9"/>
    <mergeCell ref="G8:G9"/>
    <mergeCell ref="H8:H9"/>
    <mergeCell ref="F8:F9"/>
    <mergeCell ref="F39:F40"/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876" r:id="rId4" name="ComboBox2">
          <controlPr defaultSize="0" autoLine="0" linkedCell="H22" listFillRange="pais" r:id="rId5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4" name="ComboBox2"/>
      </mc:Fallback>
    </mc:AlternateContent>
    <mc:AlternateContent xmlns:mc="http://schemas.openxmlformats.org/markup-compatibility/2006">
      <mc:Choice Requires="x14">
        <control shapeId="87878" r:id="rId6" name="ComboBox3">
          <controlPr defaultSize="0" autoLine="0" linkedCell="H23" listFillRange="pais" r:id="rId7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" name="ComboBox3"/>
      </mc:Fallback>
    </mc:AlternateContent>
    <mc:AlternateContent xmlns:mc="http://schemas.openxmlformats.org/markup-compatibility/2006">
      <mc:Choice Requires="x14">
        <control shapeId="87879" r:id="rId8" name="ComboBox4">
          <controlPr defaultSize="0" autoLine="0" linkedCell="H24" listFillRange="pais" r:id="rId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8" name="ComboBox4"/>
      </mc:Fallback>
    </mc:AlternateContent>
    <mc:AlternateContent xmlns:mc="http://schemas.openxmlformats.org/markup-compatibility/2006">
      <mc:Choice Requires="x14">
        <control shapeId="87881" r:id="rId10" name="ComboBox5">
          <controlPr defaultSize="0" autoLine="0" linkedCell="H25" listFillRange="pais" r:id="rId11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10" name="ComboBox5"/>
      </mc:Fallback>
    </mc:AlternateContent>
    <mc:AlternateContent xmlns:mc="http://schemas.openxmlformats.org/markup-compatibility/2006">
      <mc:Choice Requires="x14">
        <control shapeId="87882" r:id="rId12" name="ComboBox6">
          <controlPr defaultSize="0" autoLine="0" linkedCell="H26" listFillRange="pais" r:id="rId13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12" name="ComboBox6"/>
      </mc:Fallback>
    </mc:AlternateContent>
    <mc:AlternateContent xmlns:mc="http://schemas.openxmlformats.org/markup-compatibility/2006">
      <mc:Choice Requires="x14">
        <control shapeId="87883" r:id="rId14" name="ComboBox7">
          <controlPr defaultSize="0" autoLine="0" linkedCell="H27" listFillRange="pais" r:id="rId15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14" name="ComboBox7"/>
      </mc:Fallback>
    </mc:AlternateContent>
    <mc:AlternateContent xmlns:mc="http://schemas.openxmlformats.org/markup-compatibility/2006">
      <mc:Choice Requires="x14">
        <control shapeId="87884" r:id="rId16" name="ComboBox8">
          <controlPr defaultSize="0" autoLine="0" linkedCell="H28" listFillRange="pais" r:id="rId17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16" name="ComboBox8"/>
      </mc:Fallback>
    </mc:AlternateContent>
    <mc:AlternateContent xmlns:mc="http://schemas.openxmlformats.org/markup-compatibility/2006">
      <mc:Choice Requires="x14">
        <control shapeId="87885" r:id="rId18" name="ComboBox9">
          <controlPr defaultSize="0" autoLine="0" linkedCell="H29" listFillRange="pais" r:id="rId1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18" name="ComboBox9"/>
      </mc:Fallback>
    </mc:AlternateContent>
    <mc:AlternateContent xmlns:mc="http://schemas.openxmlformats.org/markup-compatibility/2006">
      <mc:Choice Requires="x14">
        <control shapeId="87886" r:id="rId20" name="ComboBox10">
          <controlPr defaultSize="0" autoLine="0" linkedCell="H30" listFillRange="pais" r:id="rId21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20" name="ComboBox10"/>
      </mc:Fallback>
    </mc:AlternateContent>
    <mc:AlternateContent xmlns:mc="http://schemas.openxmlformats.org/markup-compatibility/2006">
      <mc:Choice Requires="x14">
        <control shapeId="87887" r:id="rId22" name="ComboBox11">
          <controlPr defaultSize="0" autoLine="0" linkedCell="H31" listFillRange="pais" r:id="rId23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22" name="ComboBox11"/>
      </mc:Fallback>
    </mc:AlternateContent>
    <mc:AlternateContent xmlns:mc="http://schemas.openxmlformats.org/markup-compatibility/2006">
      <mc:Choice Requires="x14">
        <control shapeId="87888" r:id="rId24" name="ComboBox12">
          <controlPr defaultSize="0" autoLine="0" linkedCell="H53" listFillRange="pais" r:id="rId25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24" name="ComboBox12"/>
      </mc:Fallback>
    </mc:AlternateContent>
    <mc:AlternateContent xmlns:mc="http://schemas.openxmlformats.org/markup-compatibility/2006">
      <mc:Choice Requires="x14">
        <control shapeId="87889" r:id="rId26" name="ComboBox13">
          <controlPr defaultSize="0" autoLine="0" linkedCell="H54" listFillRange="pais" r:id="rId27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26" name="ComboBox13"/>
      </mc:Fallback>
    </mc:AlternateContent>
    <mc:AlternateContent xmlns:mc="http://schemas.openxmlformats.org/markup-compatibility/2006">
      <mc:Choice Requires="x14">
        <control shapeId="87890" r:id="rId28" name="ComboBox14">
          <controlPr defaultSize="0" autoLine="0" linkedCell="H55" listFillRange="pais" r:id="rId2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28" name="ComboBox14"/>
      </mc:Fallback>
    </mc:AlternateContent>
    <mc:AlternateContent xmlns:mc="http://schemas.openxmlformats.org/markup-compatibility/2006">
      <mc:Choice Requires="x14">
        <control shapeId="87891" r:id="rId30" name="ComboBox15">
          <controlPr defaultSize="0" autoLine="0" linkedCell="H56" listFillRange="pais" r:id="rId31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0" name="ComboBox15"/>
      </mc:Fallback>
    </mc:AlternateContent>
    <mc:AlternateContent xmlns:mc="http://schemas.openxmlformats.org/markup-compatibility/2006">
      <mc:Choice Requires="x14">
        <control shapeId="87892" r:id="rId32" name="ComboBox16">
          <controlPr defaultSize="0" autoLine="0" linkedCell="H57" listFillRange="pais" r:id="rId33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2" name="ComboBox16"/>
      </mc:Fallback>
    </mc:AlternateContent>
    <mc:AlternateContent xmlns:mc="http://schemas.openxmlformats.org/markup-compatibility/2006">
      <mc:Choice Requires="x14">
        <control shapeId="87893" r:id="rId34" name="ComboBox17">
          <controlPr defaultSize="0" autoLine="0" linkedCell="H59" listFillRange="pais" r:id="rId35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4" name="ComboBox17"/>
      </mc:Fallback>
    </mc:AlternateContent>
    <mc:AlternateContent xmlns:mc="http://schemas.openxmlformats.org/markup-compatibility/2006">
      <mc:Choice Requires="x14">
        <control shapeId="87894" r:id="rId36" name="ComboBox18">
          <controlPr defaultSize="0" autoLine="0" linkedCell="H58" listFillRange="pais" r:id="rId37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6" name="ComboBox18"/>
      </mc:Fallback>
    </mc:AlternateContent>
    <mc:AlternateContent xmlns:mc="http://schemas.openxmlformats.org/markup-compatibility/2006">
      <mc:Choice Requires="x14">
        <control shapeId="87895" r:id="rId38" name="ComboBox19">
          <controlPr defaultSize="0" autoLine="0" linkedCell="H60" listFillRange="pais" r:id="rId3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38" name="ComboBox19"/>
      </mc:Fallback>
    </mc:AlternateContent>
    <mc:AlternateContent xmlns:mc="http://schemas.openxmlformats.org/markup-compatibility/2006">
      <mc:Choice Requires="x14">
        <control shapeId="87896" r:id="rId40" name="ComboBox20">
          <controlPr defaultSize="0" autoLine="0" linkedCell="H61" listFillRange="pais" r:id="rId41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40" name="ComboBox20"/>
      </mc:Fallback>
    </mc:AlternateContent>
    <mc:AlternateContent xmlns:mc="http://schemas.openxmlformats.org/markup-compatibility/2006">
      <mc:Choice Requires="x14">
        <control shapeId="87897" r:id="rId42" name="ComboBox21">
          <controlPr defaultSize="0" autoLine="0" linkedCell="H62" listFillRange="pais" r:id="rId43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42" name="ComboBox21"/>
      </mc:Fallback>
    </mc:AlternateContent>
    <mc:AlternateContent xmlns:mc="http://schemas.openxmlformats.org/markup-compatibility/2006">
      <mc:Choice Requires="x14">
        <control shapeId="87898" r:id="rId44" name="ComboBox22">
          <controlPr defaultSize="0" autoLine="0" linkedCell="H84" listFillRange="pais" r:id="rId45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44" name="ComboBox22"/>
      </mc:Fallback>
    </mc:AlternateContent>
    <mc:AlternateContent xmlns:mc="http://schemas.openxmlformats.org/markup-compatibility/2006">
      <mc:Choice Requires="x14">
        <control shapeId="87899" r:id="rId46" name="ComboBox23">
          <controlPr defaultSize="0" autoLine="0" linkedCell="H85" listFillRange="pais" r:id="rId47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46" name="ComboBox23"/>
      </mc:Fallback>
    </mc:AlternateContent>
    <mc:AlternateContent xmlns:mc="http://schemas.openxmlformats.org/markup-compatibility/2006">
      <mc:Choice Requires="x14">
        <control shapeId="87900" r:id="rId48" name="ComboBox24">
          <controlPr defaultSize="0" autoLine="0" linkedCell="H86" listFillRange="pais" r:id="rId4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48" name="ComboBox24"/>
      </mc:Fallback>
    </mc:AlternateContent>
    <mc:AlternateContent xmlns:mc="http://schemas.openxmlformats.org/markup-compatibility/2006">
      <mc:Choice Requires="x14">
        <control shapeId="87901" r:id="rId50" name="ComboBox25">
          <controlPr defaultSize="0" autoLine="0" linkedCell="H87" listFillRange="pais" r:id="rId51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50" name="ComboBox25"/>
      </mc:Fallback>
    </mc:AlternateContent>
    <mc:AlternateContent xmlns:mc="http://schemas.openxmlformats.org/markup-compatibility/2006">
      <mc:Choice Requires="x14">
        <control shapeId="87902" r:id="rId52" name="ComboBox26">
          <controlPr defaultSize="0" autoLine="0" linkedCell="H88" listFillRange="pais" r:id="rId53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52" name="ComboBox26"/>
      </mc:Fallback>
    </mc:AlternateContent>
    <mc:AlternateContent xmlns:mc="http://schemas.openxmlformats.org/markup-compatibility/2006">
      <mc:Choice Requires="x14">
        <control shapeId="87903" r:id="rId54" name="ComboBox27">
          <controlPr defaultSize="0" autoLine="0" linkedCell="H89" listFillRange="pais" r:id="rId55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54" name="ComboBox27"/>
      </mc:Fallback>
    </mc:AlternateContent>
    <mc:AlternateContent xmlns:mc="http://schemas.openxmlformats.org/markup-compatibility/2006">
      <mc:Choice Requires="x14">
        <control shapeId="87904" r:id="rId56" name="ComboBox28">
          <controlPr defaultSize="0" autoLine="0" linkedCell="H90" listFillRange="pais" r:id="rId57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56" name="ComboBox28"/>
      </mc:Fallback>
    </mc:AlternateContent>
    <mc:AlternateContent xmlns:mc="http://schemas.openxmlformats.org/markup-compatibility/2006">
      <mc:Choice Requires="x14">
        <control shapeId="87905" r:id="rId58" name="ComboBox29">
          <controlPr defaultSize="0" autoLine="0" linkedCell="H91" listFillRange="pais" r:id="rId5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58" name="ComboBox29"/>
      </mc:Fallback>
    </mc:AlternateContent>
    <mc:AlternateContent xmlns:mc="http://schemas.openxmlformats.org/markup-compatibility/2006">
      <mc:Choice Requires="x14">
        <control shapeId="87906" r:id="rId60" name="ComboBox30">
          <controlPr defaultSize="0" autoLine="0" linkedCell="H92" listFillRange="pais" r:id="rId61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0" name="ComboBox30"/>
      </mc:Fallback>
    </mc:AlternateContent>
    <mc:AlternateContent xmlns:mc="http://schemas.openxmlformats.org/markup-compatibility/2006">
      <mc:Choice Requires="x14">
        <control shapeId="87907" r:id="rId62" name="ComboBox1">
          <controlPr defaultSize="0" autoLine="0" linkedCell="H93" listFillRange="pais" r:id="rId63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62" name="ComboBox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4334</v>
      </c>
      <c r="E1" s="40" t="s">
        <v>4333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2020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2020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2020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2020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2020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2020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2020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2020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2020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2020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2020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2020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2020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2020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2020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2020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2020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2020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2020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2020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2020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2020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2020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2020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2020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2020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2020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2020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2020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2020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2020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2020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2020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2020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2020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2020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2020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2020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2020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2020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2020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2020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2020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2020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2020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2020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2020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2020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2020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2020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2020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2020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2020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2020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2020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2020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2020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2020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2020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2020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1" zoomScale="80" zoomScaleNormal="80" workbookViewId="0">
      <selection activeCell="H11" sqref="H11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23.25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1" t="str">
        <f ca="1">RIGHT(CELL("nombrearchivo",B2),LEN(CELL("nombrearchivo",B2))-SEARCH("]",CELL("nombrearchivo",B2)))</f>
        <v>Panorama B.</v>
      </c>
      <c r="D7" s="2192"/>
      <c r="E7" s="859"/>
      <c r="F7" s="874"/>
      <c r="G7" s="875"/>
      <c r="H7" s="2193" t="s">
        <v>4329</v>
      </c>
      <c r="I7" s="2194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2" t="str">
        <f>IF(TRIM&gt;1,Menu!C3,Menu!C3-1)&amp;": a "&amp;(LOWER(+Menu!F3))</f>
        <v>2019: a diciembre</v>
      </c>
      <c r="I8" s="1903" t="str">
        <f>+ANUAL&amp;": a "&amp;(LOWER(+Menu!E3))</f>
        <v>2020: a marzo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1">
        <f>SUM(H11,H12)</f>
        <v>0</v>
      </c>
      <c r="I10" s="1812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69"/>
      <c r="I15" s="1870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5">
        <f t="shared" si="1"/>
        <v>19</v>
      </c>
      <c r="B17" s="1956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3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password="EC0E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2" zoomScale="90" zoomScaleNormal="90" workbookViewId="0">
      <pane xSplit="1" ySplit="4" topLeftCell="F6" activePane="bottomRight" state="frozen"/>
      <selection activeCell="E2" sqref="E2"/>
      <selection pane="topRight" activeCell="F2" sqref="F2"/>
      <selection pane="bottomLeft" activeCell="E6" sqref="E6"/>
      <selection pane="bottomRight" activeCell="I10" sqref="I10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51">
      <c r="F4" s="1908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1" t="str">
        <f ca="1">RIGHT(CELL("nombrearchivo",$A$2),LEN(CELL("nombrearchivo",$A$2))-SEARCH("]",CELL("nombrearchivo",$A$2)))</f>
        <v>Panorama C.</v>
      </c>
      <c r="D7" s="2192"/>
      <c r="F7" s="928"/>
      <c r="G7" s="929"/>
      <c r="H7" s="2097">
        <f>+ANUAL</f>
        <v>2020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4" t="str">
        <f>TRIM&amp;" Trim. "&amp;Menu!E4</f>
        <v>1 Trim. (ENE - MAR)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5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6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57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4318</v>
      </c>
      <c r="H12" s="1958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68" t="s">
        <v>4321</v>
      </c>
      <c r="H13" s="1957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7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6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57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4319</v>
      </c>
      <c r="H17" s="1958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4320</v>
      </c>
      <c r="H18" s="1959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CONTROL</vt:lpstr>
      <vt:lpstr>Indice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Menu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Base_EABP</vt:lpstr>
      <vt:lpstr>TCambioSalida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Castillo Alvarado, Juan Francisco</cp:lastModifiedBy>
  <cp:lastPrinted>2019-07-12T21:28:08Z</cp:lastPrinted>
  <dcterms:created xsi:type="dcterms:W3CDTF">2005-08-25T22:05:06Z</dcterms:created>
  <dcterms:modified xsi:type="dcterms:W3CDTF">2020-04-27T17:10:52Z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